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305" yWindow="1395" windowWidth="24390" windowHeight="13335" tabRatio="600" firstSheet="0" activeTab="6" autoFilterDateGrouping="1"/>
  </bookViews>
  <sheets>
    <sheet name="Analysis" sheetId="1" state="visible" r:id="rId1"/>
    <sheet name="3a" sheetId="2" state="visible" r:id="rId2"/>
    <sheet name="3b" sheetId="3" state="visible" r:id="rId3"/>
    <sheet name="3c" sheetId="4" state="visible" r:id="rId4"/>
    <sheet name="3d" sheetId="5" state="visible" r:id="rId5"/>
    <sheet name="3e" sheetId="6" state="visible" r:id="rId6"/>
    <sheet name="3f" sheetId="7" state="visible" r:id="rId7"/>
    <sheet name="Indicator Map" sheetId="8" state="visible" r:id="rId8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8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sz val="10"/>
    </font>
    <font>
      <name val="Arial"/>
      <family val="2"/>
      <b val="1"/>
      <color theme="1"/>
      <sz val="14"/>
    </font>
    <font>
      <name val="Calibri"/>
      <family val="2"/>
      <sz val="8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2"/>
    </font>
  </fonts>
  <fills count="20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16" fillId="0" borderId="0"/>
    <xf numFmtId="0" fontId="8" fillId="0" borderId="0"/>
    <xf numFmtId="9" fontId="16" fillId="0" borderId="0"/>
  </cellStyleXfs>
  <cellXfs count="20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1" pivotButton="0" quotePrefix="0" xfId="0"/>
    <xf numFmtId="0" fontId="5" fillId="3" borderId="1" pivotButton="0" quotePrefix="0" xfId="0"/>
    <xf numFmtId="0" fontId="5" fillId="0" borderId="1" pivotButton="0" quotePrefix="0" xfId="0"/>
    <xf numFmtId="0" fontId="2" fillId="0" borderId="1" pivotButton="0" quotePrefix="0" xfId="0"/>
    <xf numFmtId="0" fontId="3" fillId="4" borderId="1" pivotButton="0" quotePrefix="0" xfId="0"/>
    <xf numFmtId="0" fontId="3" fillId="4" borderId="2" pivotButton="0" quotePrefix="0" xfId="0"/>
    <xf numFmtId="0" fontId="3" fillId="4" borderId="3" pivotButton="0" quotePrefix="0" xfId="0"/>
    <xf numFmtId="0" fontId="3" fillId="0" borderId="2" pivotButton="0" quotePrefix="0" xfId="0"/>
    <xf numFmtId="0" fontId="3" fillId="0" borderId="4" pivotButton="0" quotePrefix="0" xfId="0"/>
    <xf numFmtId="0" fontId="3" fillId="0" borderId="0" pivotButton="0" quotePrefix="0" xfId="0"/>
    <xf numFmtId="0" fontId="3" fillId="5" borderId="1" pivotButton="0" quotePrefix="0" xfId="0"/>
    <xf numFmtId="0" fontId="0" fillId="8" borderId="9" applyAlignment="1" pivotButton="0" quotePrefix="0" xfId="0">
      <alignment horizontal="center" vertical="center"/>
    </xf>
    <xf numFmtId="2" fontId="0" fillId="8" borderId="9" applyAlignment="1" pivotButton="0" quotePrefix="0" xfId="0">
      <alignment horizontal="center" vertical="center" wrapText="1"/>
    </xf>
    <xf numFmtId="1" fontId="0" fillId="9" borderId="9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8" borderId="9" applyAlignment="1" pivotButton="0" quotePrefix="0" xfId="0">
      <alignment horizontal="center" vertical="center"/>
    </xf>
    <xf numFmtId="2" fontId="1" fillId="8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 vertical="center"/>
    </xf>
    <xf numFmtId="164" fontId="11" fillId="0" borderId="2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3" borderId="5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/>
    </xf>
    <xf numFmtId="1" fontId="0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0" fontId="0" fillId="9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164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164" fontId="2" fillId="0" borderId="14" applyAlignment="1" pivotButton="0" quotePrefix="0" xfId="0">
      <alignment horizontal="center"/>
    </xf>
    <xf numFmtId="0" fontId="2" fillId="3" borderId="8" pivotButton="0" quotePrefix="0" xfId="0"/>
    <xf numFmtId="10" fontId="0" fillId="0" borderId="19" applyAlignment="1" pivotButton="0" quotePrefix="0" xfId="0">
      <alignment horizontal="center"/>
    </xf>
    <xf numFmtId="0" fontId="0" fillId="11" borderId="15" applyAlignment="1" pivotButton="0" quotePrefix="0" xfId="0">
      <alignment horizontal="center" vertical="center"/>
    </xf>
    <xf numFmtId="10" fontId="0" fillId="11" borderId="1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" fontId="0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0" fontId="8" fillId="0" borderId="9" pivotButton="0" quotePrefix="0" xfId="0"/>
    <xf numFmtId="0" fontId="9" fillId="11" borderId="9" applyAlignment="1" pivotButton="0" quotePrefix="0" xfId="0">
      <alignment horizontal="center"/>
    </xf>
    <xf numFmtId="0" fontId="9" fillId="0" borderId="9" pivotButton="0" quotePrefix="0" xfId="0"/>
    <xf numFmtId="0" fontId="8" fillId="0" borderId="9" applyAlignment="1" pivotButton="0" quotePrefix="0" xfId="0">
      <alignment horizontal="center"/>
    </xf>
    <xf numFmtId="2" fontId="9" fillId="11" borderId="9" applyAlignment="1" pivotButton="0" quotePrefix="0" xfId="0">
      <alignment horizontal="center"/>
    </xf>
    <xf numFmtId="0" fontId="8" fillId="0" borderId="22" pivotButton="0" quotePrefix="0" xfId="0"/>
    <xf numFmtId="0" fontId="9" fillId="11" borderId="22" applyAlignment="1" pivotButton="0" quotePrefix="0" xfId="0">
      <alignment horizontal="center"/>
    </xf>
    <xf numFmtId="0" fontId="9" fillId="3" borderId="22" pivotButton="0" quotePrefix="0" xfId="0"/>
    <xf numFmtId="0" fontId="9" fillId="3" borderId="9" pivotButton="0" quotePrefix="0" xfId="0"/>
    <xf numFmtId="10" fontId="8" fillId="0" borderId="9" pivotButton="0" quotePrefix="0" xfId="0"/>
    <xf numFmtId="10" fontId="9" fillId="11" borderId="9" pivotButton="0" quotePrefix="0" xfId="0"/>
    <xf numFmtId="0" fontId="9" fillId="11" borderId="9" pivotButton="0" quotePrefix="0" xfId="0"/>
    <xf numFmtId="9" fontId="8" fillId="0" borderId="9" pivotButton="0" quotePrefix="0" xfId="0"/>
    <xf numFmtId="9" fontId="9" fillId="11" borderId="9" pivotButton="0" quotePrefix="0" xfId="0"/>
    <xf numFmtId="0" fontId="13" fillId="7" borderId="9" applyAlignment="1" pivotButton="0" quotePrefix="0" xfId="0">
      <alignment horizontal="center"/>
    </xf>
    <xf numFmtId="0" fontId="13" fillId="7" borderId="21" applyAlignment="1" pivotButton="0" quotePrefix="0" xfId="0">
      <alignment horizontal="center"/>
    </xf>
    <xf numFmtId="0" fontId="13" fillId="7" borderId="23" applyAlignment="1" pivotButton="0" quotePrefix="0" xfId="0">
      <alignment horizontal="center"/>
    </xf>
    <xf numFmtId="0" fontId="13" fillId="7" borderId="28" applyAlignment="1" pivotButton="0" quotePrefix="0" xfId="0">
      <alignment horizontal="center"/>
    </xf>
    <xf numFmtId="0" fontId="13" fillId="7" borderId="25" applyAlignment="1" pivotButton="0" quotePrefix="0" xfId="0">
      <alignment horizontal="center"/>
    </xf>
    <xf numFmtId="0" fontId="13" fillId="7" borderId="22" applyAlignment="1" pivotButton="0" quotePrefix="0" xfId="0">
      <alignment horizontal="center"/>
    </xf>
    <xf numFmtId="0" fontId="8" fillId="0" borderId="10" pivotButton="0" quotePrefix="0" xfId="0"/>
    <xf numFmtId="0" fontId="8" fillId="12" borderId="10" pivotButton="0" quotePrefix="0" xfId="0"/>
    <xf numFmtId="0" fontId="9" fillId="11" borderId="10" applyAlignment="1" pivotButton="0" quotePrefix="0" xfId="0">
      <alignment horizontal="center"/>
    </xf>
    <xf numFmtId="0" fontId="8" fillId="0" borderId="12" pivotButton="0" quotePrefix="0" xfId="0"/>
    <xf numFmtId="0" fontId="9" fillId="11" borderId="12" applyAlignment="1" pivotButton="0" quotePrefix="0" xfId="0">
      <alignment horizontal="center"/>
    </xf>
    <xf numFmtId="0" fontId="8" fillId="13" borderId="22" pivotButton="0" quotePrefix="0" xfId="0"/>
    <xf numFmtId="0" fontId="8" fillId="13" borderId="9" pivotButton="0" quotePrefix="0" xfId="0"/>
    <xf numFmtId="0" fontId="14" fillId="0" borderId="9" applyAlignment="1" pivotButton="0" quotePrefix="0" xfId="0">
      <alignment horizontal="center"/>
    </xf>
    <xf numFmtId="0" fontId="5" fillId="3" borderId="0" pivotButton="0" quotePrefix="0" xfId="0"/>
    <xf numFmtId="0" fontId="15" fillId="11" borderId="9" applyAlignment="1" pivotButton="0" quotePrefix="0" xfId="0">
      <alignment horizontal="center"/>
    </xf>
    <xf numFmtId="0" fontId="9" fillId="0" borderId="22" pivotButton="0" quotePrefix="0" xfId="0"/>
    <xf numFmtId="0" fontId="8" fillId="14" borderId="22" applyAlignment="1" pivotButton="0" quotePrefix="0" xfId="0">
      <alignment horizontal="center"/>
    </xf>
    <xf numFmtId="2" fontId="9" fillId="11" borderId="22" applyAlignment="1" pivotButton="0" quotePrefix="0" xfId="0">
      <alignment horizontal="center"/>
    </xf>
    <xf numFmtId="0" fontId="8" fillId="0" borderId="29" pivotButton="0" quotePrefix="0" xfId="0"/>
    <xf numFmtId="0" fontId="9" fillId="0" borderId="26" applyAlignment="1" pivotButton="0" quotePrefix="0" xfId="0">
      <alignment horizontal="center"/>
    </xf>
    <xf numFmtId="0" fontId="9" fillId="11" borderId="27" applyAlignment="1" pivotButton="0" quotePrefix="0" xfId="0">
      <alignment horizontal="center"/>
    </xf>
    <xf numFmtId="0" fontId="9" fillId="0" borderId="10" pivotButton="0" quotePrefix="0" xfId="0"/>
    <xf numFmtId="0" fontId="8" fillId="0" borderId="10" applyAlignment="1" pivotButton="0" quotePrefix="0" xfId="0">
      <alignment horizontal="center"/>
    </xf>
    <xf numFmtId="2" fontId="9" fillId="11" borderId="10" applyAlignment="1" pivotButton="0" quotePrefix="0" xfId="0">
      <alignment horizontal="center"/>
    </xf>
    <xf numFmtId="10" fontId="8" fillId="0" borderId="22" pivotButton="0" quotePrefix="0" xfId="0"/>
    <xf numFmtId="9" fontId="8" fillId="0" borderId="22" pivotButton="0" quotePrefix="0" xfId="0"/>
    <xf numFmtId="9" fontId="9" fillId="11" borderId="22" pivotButton="0" quotePrefix="0" xfId="0"/>
    <xf numFmtId="164" fontId="9" fillId="0" borderId="29" applyAlignment="1" pivotButton="0" quotePrefix="0" xfId="0">
      <alignment horizontal="center"/>
    </xf>
    <xf numFmtId="0" fontId="9" fillId="0" borderId="5" applyAlignment="1" pivotButton="0" quotePrefix="0" xfId="0">
      <alignment horizontal="center" vertical="center"/>
    </xf>
    <xf numFmtId="0" fontId="8" fillId="15" borderId="9" pivotButton="0" quotePrefix="0" xfId="0"/>
    <xf numFmtId="0" fontId="8" fillId="15" borderId="10" pivotButton="0" quotePrefix="0" xfId="0"/>
    <xf numFmtId="0" fontId="8" fillId="9" borderId="9" pivotButton="0" quotePrefix="0" xfId="0"/>
    <xf numFmtId="0" fontId="8" fillId="9" borderId="10" pivotButton="0" quotePrefix="0" xfId="0"/>
    <xf numFmtId="16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164" fontId="11" fillId="0" borderId="0" pivotButton="0" quotePrefix="0" xfId="0"/>
    <xf numFmtId="10" fontId="0" fillId="11" borderId="17" applyAlignment="1" pivotButton="0" quotePrefix="0" xfId="0">
      <alignment horizontal="center" vertical="center"/>
    </xf>
    <xf numFmtId="10" fontId="0" fillId="0" borderId="18" applyAlignment="1" pivotButton="0" quotePrefix="0" xfId="0">
      <alignment horizontal="center"/>
    </xf>
    <xf numFmtId="10" fontId="9" fillId="11" borderId="22" pivotButton="0" quotePrefix="0" xfId="0"/>
    <xf numFmtId="0" fontId="1" fillId="8" borderId="28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3" fillId="0" borderId="1" applyAlignment="1" pivotButton="0" quotePrefix="0" xfId="0">
      <alignment textRotation="255"/>
    </xf>
    <xf numFmtId="0" fontId="8" fillId="15" borderId="9" applyAlignment="1" pivotButton="0" quotePrefix="0" xfId="0">
      <alignment horizontal="center"/>
    </xf>
    <xf numFmtId="0" fontId="14" fillId="15" borderId="9" applyAlignment="1" pivotButton="0" quotePrefix="0" xfId="0">
      <alignment horizontal="center"/>
    </xf>
    <xf numFmtId="10" fontId="0" fillId="0" borderId="30" applyAlignment="1" pivotButton="0" quotePrefix="0" xfId="0">
      <alignment horizontal="center" vertical="center"/>
    </xf>
    <xf numFmtId="0" fontId="0" fillId="0" borderId="9" pivotButton="0" quotePrefix="0" xfId="0"/>
    <xf numFmtId="164" fontId="0" fillId="8" borderId="12" applyAlignment="1" pivotButton="0" quotePrefix="0" xfId="0">
      <alignment horizontal="center"/>
    </xf>
    <xf numFmtId="0" fontId="2" fillId="11" borderId="8" applyAlignment="1" pivotButton="0" quotePrefix="0" xfId="0">
      <alignment vertical="center"/>
    </xf>
    <xf numFmtId="0" fontId="1" fillId="4" borderId="9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18" fillId="16" borderId="8" applyAlignment="1" pivotButton="0" quotePrefix="0" xfId="0">
      <alignment vertical="center"/>
    </xf>
    <xf numFmtId="0" fontId="2" fillId="17" borderId="8" applyAlignment="1" pivotButton="0" quotePrefix="0" xfId="0">
      <alignment vertical="center"/>
    </xf>
    <xf numFmtId="0" fontId="2" fillId="18" borderId="8" applyAlignment="1" pivotButton="0" quotePrefix="0" xfId="0">
      <alignment vertical="center"/>
    </xf>
    <xf numFmtId="0" fontId="1" fillId="19" borderId="9" applyAlignment="1" pivotButton="0" quotePrefix="0" xfId="0">
      <alignment horizontal="center" vertical="center"/>
    </xf>
    <xf numFmtId="0" fontId="17" fillId="0" borderId="0" pivotButton="0" quotePrefix="0" xfId="0"/>
    <xf numFmtId="0" fontId="1" fillId="0" borderId="22" applyAlignment="1" pivotButton="0" quotePrefix="0" xfId="0">
      <alignment horizontal="center"/>
    </xf>
    <xf numFmtId="0" fontId="0" fillId="0" borderId="22" applyAlignment="1" pivotButton="0" quotePrefix="0" xfId="0">
      <alignment horizontal="center" vertical="center"/>
    </xf>
    <xf numFmtId="164" fontId="2" fillId="0" borderId="31" applyAlignment="1" pivotButton="0" quotePrefix="0" xfId="0">
      <alignment horizontal="center"/>
    </xf>
    <xf numFmtId="0" fontId="18" fillId="16" borderId="5" applyAlignment="1" pivotButton="0" quotePrefix="0" xfId="0">
      <alignment vertical="center"/>
    </xf>
    <xf numFmtId="0" fontId="2" fillId="17" borderId="5" applyAlignment="1" pivotButton="0" quotePrefix="0" xfId="0">
      <alignment vertical="center"/>
    </xf>
    <xf numFmtId="0" fontId="2" fillId="11" borderId="5" applyAlignment="1" pivotButton="0" quotePrefix="0" xfId="0">
      <alignment vertical="center"/>
    </xf>
    <xf numFmtId="0" fontId="2" fillId="18" borderId="5" applyAlignment="1" pivotButton="0" quotePrefix="0" xfId="0">
      <alignment vertical="center"/>
    </xf>
    <xf numFmtId="164" fontId="0" fillId="0" borderId="32" applyAlignment="1" pivotButton="0" quotePrefix="0" xfId="0">
      <alignment horizontal="center"/>
    </xf>
    <xf numFmtId="10" fontId="0" fillId="0" borderId="16" applyAlignment="1" pivotButton="0" quotePrefix="0" xfId="2">
      <alignment horizontal="center" vertical="center"/>
    </xf>
    <xf numFmtId="10" fontId="0" fillId="11" borderId="33" applyAlignment="1" pivotButton="0" quotePrefix="0" xfId="0">
      <alignment horizontal="center"/>
    </xf>
    <xf numFmtId="2" fontId="0" fillId="11" borderId="34" applyAlignment="1" pivotButton="0" quotePrefix="0" xfId="0">
      <alignment horizontal="center" vertical="center"/>
    </xf>
    <xf numFmtId="164" fontId="11" fillId="0" borderId="0" applyAlignment="1" pivotButton="0" quotePrefix="0" xfId="0">
      <alignment vertical="center"/>
    </xf>
    <xf numFmtId="10" fontId="0" fillId="0" borderId="16" applyAlignment="1" pivotButton="0" quotePrefix="0" xfId="0">
      <alignment horizontal="center" vertical="center"/>
    </xf>
    <xf numFmtId="10" fontId="0" fillId="0" borderId="24" applyAlignment="1" pivotButton="0" quotePrefix="0" xfId="0">
      <alignment horizontal="center" vertical="center"/>
    </xf>
    <xf numFmtId="0" fontId="0" fillId="11" borderId="34" applyAlignment="1" pivotButton="0" quotePrefix="0" xfId="0">
      <alignment horizontal="center" vertical="center"/>
    </xf>
    <xf numFmtId="10" fontId="0" fillId="0" borderId="35" applyAlignment="1" pivotButton="0" quotePrefix="0" xfId="0">
      <alignment horizontal="center"/>
    </xf>
    <xf numFmtId="164" fontId="0" fillId="0" borderId="32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0" fontId="0" fillId="0" borderId="24" applyAlignment="1" pivotButton="0" quotePrefix="0" xfId="0">
      <alignment horizontal="center"/>
    </xf>
    <xf numFmtId="10" fontId="0" fillId="0" borderId="36" applyAlignment="1" pivotButton="0" quotePrefix="0" xfId="0">
      <alignment horizontal="center"/>
    </xf>
    <xf numFmtId="10" fontId="0" fillId="11" borderId="37" applyAlignment="1" pivotButton="0" quotePrefix="0" xfId="0">
      <alignment horizontal="center"/>
    </xf>
    <xf numFmtId="10" fontId="0" fillId="0" borderId="36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wrapText="1"/>
    </xf>
    <xf numFmtId="0" fontId="4" fillId="3" borderId="0" pivotButton="0" quotePrefix="0" xfId="0"/>
    <xf numFmtId="0" fontId="0" fillId="3" borderId="0" pivotButton="0" quotePrefix="0" xfId="0"/>
    <xf numFmtId="0" fontId="4" fillId="3" borderId="0" applyAlignment="1" pivotButton="0" quotePrefix="0" xfId="0">
      <alignment horizontal="center"/>
    </xf>
    <xf numFmtId="0" fontId="14" fillId="3" borderId="9" applyAlignment="1" pivotButton="0" quotePrefix="0" xfId="0">
      <alignment horizontal="center"/>
    </xf>
    <xf numFmtId="0" fontId="15" fillId="3" borderId="9" applyAlignment="1" pivotButton="0" quotePrefix="0" xfId="0">
      <alignment horizontal="center"/>
    </xf>
    <xf numFmtId="164" fontId="2" fillId="3" borderId="0" applyAlignment="1" pivotButton="0" quotePrefix="0" xfId="0">
      <alignment vertical="center"/>
    </xf>
    <xf numFmtId="0" fontId="2" fillId="3" borderId="0" pivotButton="0" quotePrefix="0" xfId="0"/>
    <xf numFmtId="10" fontId="3" fillId="3" borderId="0" pivotButton="0" quotePrefix="0" xfId="0"/>
    <xf numFmtId="0" fontId="3" fillId="3" borderId="0" pivotButton="0" quotePrefix="0" xfId="0"/>
    <xf numFmtId="164" fontId="2" fillId="3" borderId="0" applyAlignment="1" pivotButton="0" quotePrefix="0" xfId="0">
      <alignment horizontal="center"/>
    </xf>
    <xf numFmtId="9" fontId="3" fillId="3" borderId="0" pivotButton="0" quotePrefix="0" xfId="0"/>
    <xf numFmtId="0" fontId="8" fillId="3" borderId="0" pivotButton="0" quotePrefix="0" xfId="0"/>
    <xf numFmtId="9" fontId="1" fillId="3" borderId="0" pivotButton="0" quotePrefix="0" xfId="0"/>
    <xf numFmtId="2" fontId="8" fillId="0" borderId="9" pivotButton="0" quotePrefix="0" xfId="0"/>
    <xf numFmtId="164" fontId="8" fillId="0" borderId="9" pivotButton="0" quotePrefix="0" xfId="0"/>
    <xf numFmtId="0" fontId="11" fillId="0" borderId="0" pivotButton="0" quotePrefix="0" xfId="0"/>
    <xf numFmtId="0" fontId="3" fillId="9" borderId="1" pivotButton="0" quotePrefix="0" xfId="0"/>
    <xf numFmtId="0" fontId="4" fillId="4" borderId="1" pivotButton="0" quotePrefix="0" xfId="0"/>
    <xf numFmtId="2" fontId="1" fillId="0" borderId="0" applyAlignment="1" pivotButton="0" quotePrefix="0" xfId="0">
      <alignment horizontal="center" vertical="center"/>
    </xf>
    <xf numFmtId="0" fontId="0" fillId="4" borderId="9" applyAlignment="1" pivotButton="0" quotePrefix="0" xfId="0">
      <alignment horizontal="center" wrapText="1"/>
    </xf>
    <xf numFmtId="0" fontId="0" fillId="4" borderId="9" applyAlignment="1" pivotButton="0" quotePrefix="0" xfId="0">
      <alignment horizontal="center"/>
    </xf>
    <xf numFmtId="0" fontId="0" fillId="4" borderId="28" applyAlignment="1" pivotButton="0" quotePrefix="0" xfId="0">
      <alignment wrapText="1"/>
    </xf>
    <xf numFmtId="0" fontId="0" fillId="5" borderId="9" applyAlignment="1" pivotButton="0" quotePrefix="0" xfId="0">
      <alignment horizontal="center"/>
    </xf>
    <xf numFmtId="0" fontId="0" fillId="9" borderId="9" applyAlignment="1" pivotButton="0" quotePrefix="0" xfId="0">
      <alignment horizontal="center"/>
    </xf>
    <xf numFmtId="10" fontId="0" fillId="0" borderId="9" applyAlignment="1" pivotButton="0" quotePrefix="0" xfId="0">
      <alignment horizontal="center" vertical="center"/>
    </xf>
    <xf numFmtId="10" fontId="0" fillId="0" borderId="22" applyAlignment="1" pivotButton="0" quotePrefix="0" xfId="0">
      <alignment horizontal="center" vertical="center"/>
    </xf>
    <xf numFmtId="10" fontId="0" fillId="0" borderId="11" applyAlignment="1" pivotButton="0" quotePrefix="0" xfId="0">
      <alignment horizontal="center"/>
    </xf>
    <xf numFmtId="10" fontId="0" fillId="0" borderId="9" applyAlignment="1" pivotButton="0" quotePrefix="0" xfId="0">
      <alignment horizontal="center"/>
    </xf>
    <xf numFmtId="10" fontId="0" fillId="0" borderId="0" pivotButton="0" quotePrefix="0" xfId="0"/>
    <xf numFmtId="10" fontId="0" fillId="0" borderId="10" applyAlignment="1" pivotButton="0" quotePrefix="0" xfId="0">
      <alignment horizontal="center" vertical="center"/>
    </xf>
    <xf numFmtId="10" fontId="0" fillId="0" borderId="12" applyAlignment="1" pivotButton="0" quotePrefix="0" xfId="0">
      <alignment horizontal="center" vertical="center"/>
    </xf>
    <xf numFmtId="10" fontId="0" fillId="0" borderId="11" applyAlignment="1" pivotButton="0" quotePrefix="0" xfId="0">
      <alignment horizontal="center" vertical="center"/>
    </xf>
    <xf numFmtId="10" fontId="10" fillId="0" borderId="9" applyAlignment="1" pivotButton="0" quotePrefix="0" xfId="0">
      <alignment horizontal="center" vertical="center"/>
    </xf>
    <xf numFmtId="10" fontId="10" fillId="0" borderId="9" applyAlignment="1" pivotButton="0" quotePrefix="0" xfId="1">
      <alignment horizontal="center" vertical="center"/>
    </xf>
    <xf numFmtId="10" fontId="10" fillId="0" borderId="10" applyAlignment="1" pivotButton="0" quotePrefix="0" xfId="1">
      <alignment horizontal="center" vertical="center"/>
    </xf>
    <xf numFmtId="0" fontId="7" fillId="10" borderId="29" applyAlignment="1" pivotButton="0" quotePrefix="0" xfId="0">
      <alignment horizontal="center" wrapText="1"/>
    </xf>
    <xf numFmtId="0" fontId="7" fillId="10" borderId="26" applyAlignment="1" pivotButton="0" quotePrefix="0" xfId="0">
      <alignment horizontal="center" wrapText="1"/>
    </xf>
    <xf numFmtId="0" fontId="7" fillId="10" borderId="27" applyAlignment="1" pivotButton="0" quotePrefix="0" xfId="0">
      <alignment horizontal="center" wrapText="1"/>
    </xf>
    <xf numFmtId="0" fontId="2" fillId="3" borderId="0" applyAlignment="1" pivotButton="0" quotePrefix="0" xfId="0">
      <alignment horizontal="center" wrapText="1"/>
    </xf>
    <xf numFmtId="0" fontId="6" fillId="3" borderId="5" applyAlignment="1" pivotButton="0" quotePrefix="0" xfId="0">
      <alignment horizontal="center"/>
    </xf>
    <xf numFmtId="0" fontId="6" fillId="3" borderId="6" applyAlignment="1" pivotButton="0" quotePrefix="0" xfId="0">
      <alignment horizontal="center"/>
    </xf>
    <xf numFmtId="0" fontId="6" fillId="3" borderId="7" applyAlignment="1" pivotButton="0" quotePrefix="0" xfId="0">
      <alignment horizontal="center"/>
    </xf>
    <xf numFmtId="164" fontId="0" fillId="8" borderId="10" applyAlignment="1" pivotButton="0" quotePrefix="0" xfId="0">
      <alignment horizontal="center" vertical="center"/>
    </xf>
    <xf numFmtId="164" fontId="0" fillId="8" borderId="12" applyAlignment="1" pivotButton="0" quotePrefix="0" xfId="0">
      <alignment horizontal="center" vertical="center"/>
    </xf>
    <xf numFmtId="164" fontId="0" fillId="8" borderId="13" applyAlignment="1" pivotButton="0" quotePrefix="0" xfId="0">
      <alignment horizontal="center" vertical="center"/>
    </xf>
    <xf numFmtId="164" fontId="0" fillId="8" borderId="10" applyAlignment="1" pivotButton="0" quotePrefix="0" xfId="0">
      <alignment horizontal="center"/>
    </xf>
    <xf numFmtId="164" fontId="0" fillId="8" borderId="12" applyAlignment="1" pivotButton="0" quotePrefix="0" xfId="0">
      <alignment horizontal="center"/>
    </xf>
    <xf numFmtId="164" fontId="0" fillId="8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6" fillId="3" borderId="8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40" pivotButton="0" quotePrefix="0" xfId="0"/>
    <xf numFmtId="0" fontId="0" fillId="0" borderId="41" pivotButton="0" quotePrefix="0" xfId="0"/>
    <xf numFmtId="164" fontId="0" fillId="8" borderId="44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0" fillId="8" borderId="44" applyAlignment="1" pivotButton="0" quotePrefix="0" xfId="0">
      <alignment horizontal="center"/>
    </xf>
  </cellXfs>
  <cellStyles count="3">
    <cellStyle name="Normal" xfId="0" builtinId="0"/>
    <cellStyle name="Normal 7" xfId="1"/>
    <cellStyle name="Percent" xfId="2" builtinId="5"/>
  </cellStyles>
  <dxfs count="249"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Investigation (GA-3)</a:t>
            </a:r>
            <a:r>
              <a:rPr lang="en-US"/>
              <a:t>Number of Courses per Indicator Analysis</a:t>
            </a:r>
            <a:br>
              <a:rPr lang="en-US"/>
            </a:b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Analysis!$E$5</f>
              <strCache>
                <ptCount val="1"/>
                <pt idx="0">
                  <v>Number of Courses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3a</v>
                </pt>
                <pt idx="1">
                  <v>3b</v>
                </pt>
                <pt idx="2">
                  <v>3c</v>
                </pt>
                <pt idx="3">
                  <v>3d</v>
                </pt>
                <pt idx="4">
                  <v>3e</v>
                </pt>
                <pt idx="5">
                  <v>3f</v>
                </pt>
                <pt idx="6">
                  <v>Average</v>
                </pt>
              </strCache>
            </strRef>
          </cat>
          <val>
            <numRef>
              <f>Analysis!$F$5:$L$5</f>
              <numCache>
                <formatCode>General</formatCode>
                <ptCount val="7"/>
                <pt idx="0">
                  <v>14</v>
                </pt>
                <pt idx="1">
                  <v>5</v>
                </pt>
                <pt idx="2">
                  <v>16</v>
                </pt>
                <pt idx="3">
                  <v>10</v>
                </pt>
                <pt idx="4">
                  <v>11</v>
                </pt>
                <pt idx="5">
                  <v>11</v>
                </pt>
                <pt idx="6">
                  <formatCode>0.00</formatCode>
                  <v>11.16666666666667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0676431"/>
        <axId val="191088799"/>
      </barChart>
      <catAx>
        <axId val="180676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88799"/>
        <crosses val="autoZero"/>
        <auto val="1"/>
        <lblAlgn val="ctr"/>
        <lblOffset val="100"/>
        <noMultiLvlLbl val="0"/>
      </catAx>
      <valAx>
        <axId val="1910887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6764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Investigation (GA-3)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Analysis!$E$6</f>
              <strCache>
                <ptCount val="1"/>
                <pt idx="0">
                  <v>Number of CLO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2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3a</v>
                </pt>
                <pt idx="1">
                  <v>3b</v>
                </pt>
                <pt idx="2">
                  <v>3c</v>
                </pt>
                <pt idx="3">
                  <v>3d</v>
                </pt>
                <pt idx="4">
                  <v>3e</v>
                </pt>
                <pt idx="5">
                  <v>3f</v>
                </pt>
                <pt idx="6">
                  <v>Average</v>
                </pt>
              </strCache>
            </strRef>
          </cat>
          <val>
            <numRef>
              <f>Analysis!$F$6:$L$6</f>
              <numCache>
                <formatCode>General</formatCode>
                <ptCount val="7"/>
                <pt idx="0">
                  <v>21</v>
                </pt>
                <pt idx="1">
                  <v>6</v>
                </pt>
                <pt idx="2">
                  <v>25</v>
                </pt>
                <pt idx="3">
                  <v>12</v>
                </pt>
                <pt idx="4">
                  <v>15</v>
                </pt>
                <pt idx="5">
                  <v>12</v>
                </pt>
                <pt idx="6">
                  <formatCode>0.00</formatCode>
                  <v>15.16666666666667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6563295"/>
        <axId val="86564543"/>
      </barChart>
      <catAx>
        <axId val="86563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4543"/>
        <crosses val="autoZero"/>
        <auto val="1"/>
        <lblAlgn val="ctr"/>
        <lblOffset val="100"/>
        <noMultiLvlLbl val="0"/>
      </catAx>
      <valAx>
        <axId val="86564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329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Investigation (GA-3)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Introduced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1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3a</v>
                </pt>
                <pt idx="1">
                  <v>3b</v>
                </pt>
                <pt idx="2">
                  <v>3c</v>
                </pt>
                <pt idx="3">
                  <v>3d</v>
                </pt>
                <pt idx="4">
                  <v>3e</v>
                </pt>
                <pt idx="5">
                  <v>3f</v>
                </pt>
                <pt idx="6">
                  <v>Average</v>
                </pt>
              </strCache>
            </strRef>
          </cat>
          <val>
            <numRef>
              <f>Analysis!$F$7:$L$7</f>
              <numCache>
                <formatCode>General</formatCode>
                <ptCount val="7"/>
                <pt idx="0">
                  <v>3</v>
                </pt>
                <pt idx="1">
                  <v>1</v>
                </pt>
                <pt idx="2">
                  <v>3</v>
                </pt>
                <pt idx="3">
                  <v>2</v>
                </pt>
                <pt idx="4">
                  <v>3</v>
                </pt>
                <pt idx="5">
                  <v>1</v>
                </pt>
                <pt idx="6">
                  <formatCode>0.00</formatCode>
                  <v>2.166666666666667</v>
                </pt>
              </numCache>
            </numRef>
          </val>
        </ser>
        <ser>
          <idx val="1"/>
          <order val="1"/>
          <tx>
            <v>Developed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3a</v>
                </pt>
                <pt idx="1">
                  <v>3b</v>
                </pt>
                <pt idx="2">
                  <v>3c</v>
                </pt>
                <pt idx="3">
                  <v>3d</v>
                </pt>
                <pt idx="4">
                  <v>3e</v>
                </pt>
                <pt idx="5">
                  <v>3f</v>
                </pt>
                <pt idx="6">
                  <v>Average</v>
                </pt>
              </strCache>
            </strRef>
          </cat>
          <val>
            <numRef>
              <f>Analysis!$F$8:$L$8</f>
              <numCache>
                <formatCode>General</formatCode>
                <ptCount val="7"/>
                <pt idx="0">
                  <v>2</v>
                </pt>
                <pt idx="1">
                  <v>2</v>
                </pt>
                <pt idx="2">
                  <v>6</v>
                </pt>
                <pt idx="3">
                  <v>2</v>
                </pt>
                <pt idx="4">
                  <v>4</v>
                </pt>
                <pt idx="5">
                  <v>3</v>
                </pt>
                <pt idx="6">
                  <formatCode>0.00</formatCode>
                  <v>3.166666666666667</v>
                </pt>
              </numCache>
            </numRef>
          </val>
        </ser>
        <ser>
          <idx val="2"/>
          <order val="2"/>
          <tx>
            <v>Applied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3a</v>
                </pt>
                <pt idx="1">
                  <v>3b</v>
                </pt>
                <pt idx="2">
                  <v>3c</v>
                </pt>
                <pt idx="3">
                  <v>3d</v>
                </pt>
                <pt idx="4">
                  <v>3e</v>
                </pt>
                <pt idx="5">
                  <v>3f</v>
                </pt>
                <pt idx="6">
                  <v>Average</v>
                </pt>
              </strCache>
            </strRef>
          </cat>
          <val>
            <numRef>
              <f>Analysis!$F$9:$L$9</f>
              <numCache>
                <formatCode>General</formatCode>
                <ptCount val="7"/>
                <pt idx="0">
                  <v>7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3</v>
                </pt>
                <pt idx="5">
                  <v>7</v>
                </pt>
                <pt idx="6">
                  <formatCode>0.00</formatCode>
                  <v>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6363120"/>
        <axId val="188702735"/>
      </barChart>
      <catAx>
        <axId val="19863631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8702735"/>
        <crosses val="autoZero"/>
        <auto val="1"/>
        <lblAlgn val="ctr"/>
        <lblOffset val="100"/>
        <noMultiLvlLbl val="0"/>
      </catAx>
      <valAx>
        <axId val="188702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63631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109536</colOff>
      <row>28</row>
      <rowOff>76200</rowOff>
    </from>
    <to>
      <col>20</col>
      <colOff>587902</colOff>
      <row>40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128587</colOff>
      <row>2</row>
      <rowOff>19050</rowOff>
    </from>
    <to>
      <col>20</col>
      <colOff>606953</colOff>
      <row>14</row>
      <rowOff>63500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119061</colOff>
      <row>15</row>
      <rowOff>47625</rowOff>
    </from>
    <to>
      <col>20</col>
      <colOff>597427</colOff>
      <row>27</row>
      <rowOff>123825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94"/>
  <sheetViews>
    <sheetView zoomScale="90" zoomScaleNormal="90" workbookViewId="0">
      <selection activeCell="G29" sqref="G29"/>
    </sheetView>
  </sheetViews>
  <sheetFormatPr baseColWidth="8" defaultRowHeight="15.75" outlineLevelCol="0"/>
  <cols>
    <col width="16.140625" bestFit="1" customWidth="1" style="144" min="1" max="1"/>
    <col width="5.85546875" bestFit="1" customWidth="1" style="145" min="2" max="2"/>
    <col width="5.85546875" customWidth="1" style="145" min="3" max="3"/>
    <col width="9.140625" bestFit="1" customWidth="1" style="146" min="4" max="4"/>
    <col width="45.42578125" bestFit="1" customWidth="1" style="146" min="5" max="5"/>
    <col width="8.28515625" bestFit="1" customWidth="1" style="146" min="6" max="11"/>
    <col width="9" bestFit="1" customWidth="1" style="146" min="12" max="12"/>
    <col width="9.140625" customWidth="1" style="146" min="13" max="13"/>
    <col width="13" customWidth="1" style="146" min="14" max="14"/>
    <col width="9.140625" customWidth="1" style="146" min="15" max="20"/>
    <col width="10.5703125" customWidth="1" style="146" min="21" max="21"/>
    <col width="9.140625" customWidth="1" style="146" min="22" max="22"/>
    <col width="12.140625" customWidth="1" style="146" min="23" max="23"/>
    <col width="9.140625" customWidth="1" style="146" min="24" max="28"/>
    <col width="12.5703125" customWidth="1" style="146" min="29" max="29"/>
    <col width="9.140625" customWidth="1" style="146" min="30" max="16384"/>
  </cols>
  <sheetData>
    <row r="1" ht="24" customHeight="1" thickBot="1">
      <c r="D1" s="145" t="n"/>
      <c r="E1" s="194" t="inlineStr">
        <is>
          <t>Investigation (GA-3) 2021-2022</t>
        </is>
      </c>
      <c r="F1" s="195" t="n"/>
      <c r="G1" s="195" t="n"/>
      <c r="H1" s="195" t="n"/>
      <c r="I1" s="195" t="n"/>
      <c r="J1" s="195" t="n"/>
      <c r="K1" s="195" t="n"/>
      <c r="L1" s="195" t="n"/>
      <c r="M1" s="195" t="n"/>
      <c r="N1" s="196" t="n"/>
    </row>
    <row r="2" thickBot="1">
      <c r="A2" s="146" t="n"/>
      <c r="B2" s="146" t="n"/>
      <c r="C2" s="146" t="n"/>
    </row>
    <row r="3" ht="20.25" customHeight="1" thickBot="1" thickTop="1">
      <c r="A3" s="1" t="inlineStr">
        <is>
          <t>LO#</t>
        </is>
      </c>
      <c r="B3" s="162" t="inlineStr">
        <is>
          <t>GA-3</t>
        </is>
      </c>
      <c r="C3" s="147" t="n"/>
      <c r="E3" s="180" t="inlineStr">
        <is>
          <t>Investigation (GA -3)</t>
        </is>
      </c>
      <c r="F3" s="197" t="n"/>
      <c r="G3" s="197" t="n"/>
      <c r="H3" s="197" t="n"/>
      <c r="I3" s="197" t="n"/>
      <c r="J3" s="197" t="n"/>
      <c r="K3" s="197" t="n"/>
      <c r="L3" s="198" t="n"/>
      <c r="N3" s="150" t="n"/>
      <c r="O3" s="183" t="n"/>
    </row>
    <row r="4" ht="17.25" customHeight="1" thickBot="1" thickTop="1">
      <c r="A4" s="2" t="inlineStr">
        <is>
          <t>EPHY-1270-1</t>
        </is>
      </c>
      <c r="B4" s="4" t="inlineStr">
        <is>
          <t>3a</t>
        </is>
      </c>
      <c r="C4" s="77" t="n"/>
      <c r="E4" s="82" t="n"/>
      <c r="F4" s="83" t="inlineStr">
        <is>
          <t>3a</t>
        </is>
      </c>
      <c r="G4" s="83" t="inlineStr">
        <is>
          <t>3b</t>
        </is>
      </c>
      <c r="H4" s="83" t="inlineStr">
        <is>
          <t>3c</t>
        </is>
      </c>
      <c r="I4" s="83" t="inlineStr">
        <is>
          <t>3d</t>
        </is>
      </c>
      <c r="J4" s="83" t="inlineStr">
        <is>
          <t>3e</t>
        </is>
      </c>
      <c r="K4" s="83" t="inlineStr">
        <is>
          <t>3f</t>
        </is>
      </c>
      <c r="L4" s="84" t="inlineStr">
        <is>
          <t>Average</t>
        </is>
      </c>
      <c r="N4" s="150" t="n"/>
      <c r="O4" s="151" t="n"/>
      <c r="P4" s="151" t="n"/>
      <c r="Q4" s="151" t="n"/>
      <c r="R4" s="151" t="n"/>
      <c r="S4" s="151" t="n"/>
      <c r="T4" s="151" t="n"/>
      <c r="U4" s="151" t="n"/>
    </row>
    <row r="5" ht="17.25" customHeight="1" thickBot="1" thickTop="1">
      <c r="A5" s="2" t="inlineStr">
        <is>
          <t>EPHY-1270-3</t>
        </is>
      </c>
      <c r="B5" s="4" t="inlineStr">
        <is>
          <t>3a</t>
        </is>
      </c>
      <c r="C5" s="77" t="n"/>
      <c r="E5" s="79" t="inlineStr">
        <is>
          <t>Number of Courses</t>
        </is>
      </c>
      <c r="F5" s="80">
        <f>COUNTIF(F29:F76, "&gt;0")</f>
        <v/>
      </c>
      <c r="G5" s="80">
        <f>COUNTIF(G29:G76, "&gt;0")</f>
        <v/>
      </c>
      <c r="H5" s="80">
        <f>COUNTIF(H29:H76, "&gt;0")</f>
        <v/>
      </c>
      <c r="I5" s="80">
        <f>COUNTIF(I29:I76, "&gt;0")</f>
        <v/>
      </c>
      <c r="J5" s="80">
        <f>COUNTIF(J29:J76, "&gt;0")</f>
        <v/>
      </c>
      <c r="K5" s="80">
        <f>COUNTIF(K29:K76, "&gt;0")</f>
        <v/>
      </c>
      <c r="L5" s="81">
        <f>AVERAGE(F5:K5)</f>
        <v/>
      </c>
      <c r="N5" s="151" t="n"/>
      <c r="O5" s="152" t="n"/>
      <c r="P5" s="152" t="n"/>
      <c r="Q5" s="152" t="n"/>
      <c r="R5" s="152" t="n"/>
      <c r="S5" s="152" t="n"/>
      <c r="T5" s="152" t="n"/>
      <c r="U5" s="153" t="n"/>
    </row>
    <row r="6" ht="17.25" customHeight="1" thickBot="1" thickTop="1">
      <c r="A6" s="2" t="inlineStr">
        <is>
          <t>EPHY-1700-1</t>
        </is>
      </c>
      <c r="B6" s="4" t="inlineStr">
        <is>
          <t>3a</t>
        </is>
      </c>
      <c r="C6" s="77" t="n"/>
      <c r="E6" s="51" t="inlineStr">
        <is>
          <t>Number of CLO</t>
        </is>
      </c>
      <c r="F6" s="107">
        <f>COUNTIF(B:B, "3a")</f>
        <v/>
      </c>
      <c r="G6" s="107">
        <f>COUNTIF(B:B, "3b")</f>
        <v/>
      </c>
      <c r="H6" s="107">
        <f>COUNTIF(B:B, "3c")</f>
        <v/>
      </c>
      <c r="I6" s="107">
        <f>COUNTIF(B:B, "3d")</f>
        <v/>
      </c>
      <c r="J6" s="107">
        <f>COUNTIF(B:B, "3e")</f>
        <v/>
      </c>
      <c r="K6" s="107">
        <f>COUNTIF($B:$B, "3f")</f>
        <v/>
      </c>
      <c r="L6" s="53">
        <f>AVERAGE(F6:K6)</f>
        <v/>
      </c>
      <c r="N6" s="151" t="n"/>
      <c r="O6" s="183" t="n"/>
    </row>
    <row r="7" ht="17.25" customHeight="1" thickBot="1" thickTop="1">
      <c r="A7" s="2" t="inlineStr">
        <is>
          <t>EPHY-1700-2</t>
        </is>
      </c>
      <c r="B7" s="4" t="inlineStr">
        <is>
          <t>3a</t>
        </is>
      </c>
      <c r="C7" s="77" t="n"/>
      <c r="E7" s="51" t="inlineStr">
        <is>
          <t>Introduced (Number of Courses)</t>
        </is>
      </c>
      <c r="F7" s="52">
        <f>COUNTIF('Indicator Map'!$B$11:$M$11, "*a*")</f>
        <v/>
      </c>
      <c r="G7" s="52">
        <f>COUNTIF('Indicator Map'!$B$11:$M$11, "*b*")</f>
        <v/>
      </c>
      <c r="H7" s="52">
        <f>COUNTIF('Indicator Map'!$B$11:$M$11, "*c*")</f>
        <v/>
      </c>
      <c r="I7" s="52">
        <f>COUNTIF('Indicator Map'!$B$11:$M$11, "*d*")</f>
        <v/>
      </c>
      <c r="J7" s="52">
        <f>COUNTIF('Indicator Map'!$B$11:$M$11, "*e*")</f>
        <v/>
      </c>
      <c r="K7" s="52">
        <f>COUNTIF('Indicator Map'!$B$11:$M$11, "*f*")</f>
        <v/>
      </c>
      <c r="L7" s="53">
        <f>AVERAGE(F7:K7)</f>
        <v/>
      </c>
      <c r="N7" s="154" t="n"/>
      <c r="O7" s="151" t="n"/>
      <c r="P7" s="151" t="n"/>
      <c r="Q7" s="151" t="n"/>
      <c r="R7" s="151" t="n"/>
      <c r="S7" s="151" t="n"/>
      <c r="T7" s="151" t="n"/>
      <c r="U7" s="151" t="n"/>
    </row>
    <row r="8" ht="17.25" customHeight="1" thickBot="1" thickTop="1">
      <c r="A8" s="2" t="inlineStr">
        <is>
          <t>EPHY-1700-3</t>
        </is>
      </c>
      <c r="B8" s="4" t="inlineStr">
        <is>
          <t>3a</t>
        </is>
      </c>
      <c r="C8" s="77" t="n"/>
      <c r="E8" s="51" t="inlineStr">
        <is>
          <t>Developed (Number of Courses)</t>
        </is>
      </c>
      <c r="F8" s="52">
        <f>COUNTIF('Indicator Map'!$B$14:$K$14, "*a*")</f>
        <v/>
      </c>
      <c r="G8" s="52">
        <f>COUNTIF('Indicator Map'!$B$14:$K$14, "*b*")</f>
        <v/>
      </c>
      <c r="H8" s="52">
        <f>COUNTIF('Indicator Map'!$B$14:$K$14, "*c*")</f>
        <v/>
      </c>
      <c r="I8" s="52">
        <f>COUNTIF('Indicator Map'!$B$14:$K$14, "*d*")</f>
        <v/>
      </c>
      <c r="J8" s="52">
        <f>COUNTIF('Indicator Map'!$B$14:$K$14, "*e*")</f>
        <v/>
      </c>
      <c r="K8" s="52">
        <f>COUNTIF('Indicator Map'!$B$14:$K$14, "*f*")</f>
        <v/>
      </c>
      <c r="L8" s="53">
        <f>AVERAGE(F8:K8)</f>
        <v/>
      </c>
      <c r="N8" s="151" t="n"/>
      <c r="O8" s="155" t="n"/>
      <c r="P8" s="155" t="n"/>
      <c r="Q8" s="155" t="n"/>
      <c r="R8" s="155" t="n"/>
      <c r="S8" s="155" t="n"/>
      <c r="T8" s="155" t="n"/>
      <c r="U8" s="155" t="n"/>
    </row>
    <row r="9" ht="17.25" customHeight="1" thickBot="1" thickTop="1">
      <c r="A9" s="2" t="inlineStr">
        <is>
          <t>EPHY-1700-4</t>
        </is>
      </c>
      <c r="B9" s="4" t="inlineStr">
        <is>
          <t>3a</t>
        </is>
      </c>
      <c r="C9" s="77" t="n"/>
      <c r="E9" s="85" t="inlineStr">
        <is>
          <t>Applied (Number of Courses)</t>
        </is>
      </c>
      <c r="F9" s="86">
        <f>COUNTIF('Indicator Map'!$B$17:$K$17, "*a*")</f>
        <v/>
      </c>
      <c r="G9" s="86">
        <f>COUNTIF('Indicator Map'!$B$17:$K$17, "*b*")</f>
        <v/>
      </c>
      <c r="H9" s="86">
        <f>COUNTIF('Indicator Map'!$B$17:$K$17, "*c*")</f>
        <v/>
      </c>
      <c r="I9" s="86">
        <f>COUNTIF('Indicator Map'!$B$17:$K$17, "*d*")</f>
        <v/>
      </c>
      <c r="J9" s="86">
        <f>COUNTIF('Indicator Map'!$B$17:$K$17, "*e*")</f>
        <v/>
      </c>
      <c r="K9" s="86">
        <f>COUNTIF('Indicator Map'!$B$17:$K$17, "*f*")</f>
        <v/>
      </c>
      <c r="L9" s="87">
        <f>AVERAGE(F9:K9)</f>
        <v/>
      </c>
      <c r="N9" s="151" t="n"/>
      <c r="O9" s="155" t="n"/>
      <c r="P9" s="155" t="n"/>
      <c r="Q9" s="155" t="n"/>
      <c r="R9" s="155" t="n"/>
      <c r="S9" s="155" t="n"/>
      <c r="T9" s="155" t="n"/>
      <c r="U9" s="155" t="n"/>
    </row>
    <row r="10" ht="17.25" customHeight="1" thickBot="1" thickTop="1">
      <c r="A10" s="2" t="inlineStr">
        <is>
          <t>EPHY-1700-5</t>
        </is>
      </c>
      <c r="B10" s="4" t="inlineStr">
        <is>
          <t>3a</t>
        </is>
      </c>
      <c r="C10" s="77" t="n"/>
      <c r="E10" s="92" t="inlineStr">
        <is>
          <t>Scale</t>
        </is>
      </c>
      <c r="F10" s="83" t="inlineStr">
        <is>
          <t>3a</t>
        </is>
      </c>
      <c r="G10" s="83" t="inlineStr">
        <is>
          <t>3b</t>
        </is>
      </c>
      <c r="H10" s="83" t="inlineStr">
        <is>
          <t>3c</t>
        </is>
      </c>
      <c r="I10" s="83" t="inlineStr">
        <is>
          <t>3d</t>
        </is>
      </c>
      <c r="J10" s="83" t="inlineStr">
        <is>
          <t>3e</t>
        </is>
      </c>
      <c r="K10" s="83" t="inlineStr">
        <is>
          <t>3f</t>
        </is>
      </c>
      <c r="L10" s="84" t="inlineStr">
        <is>
          <t>Average</t>
        </is>
      </c>
      <c r="N10" s="151" t="n"/>
      <c r="O10" s="155" t="n"/>
      <c r="P10" s="155" t="n"/>
      <c r="Q10" s="155" t="n"/>
      <c r="R10" s="155" t="n"/>
      <c r="S10" s="155" t="n"/>
      <c r="T10" s="155" t="n"/>
      <c r="U10" s="155" t="n"/>
    </row>
    <row r="11" ht="17.25" customHeight="1" thickBot="1" thickTop="1">
      <c r="A11" s="2" t="inlineStr">
        <is>
          <t>EPHY-1700-6</t>
        </is>
      </c>
      <c r="B11" s="4" t="inlineStr">
        <is>
          <t>3a</t>
        </is>
      </c>
      <c r="C11" s="77" t="n"/>
      <c r="E11" s="56" t="inlineStr">
        <is>
          <t>Below Expectation (C- and below)  (%)</t>
        </is>
      </c>
      <c r="F11" s="88">
        <f>'3a'!W55</f>
        <v/>
      </c>
      <c r="G11" s="88">
        <f>'3b'!H55</f>
        <v/>
      </c>
      <c r="H11" s="88">
        <f>'3c'!AA55</f>
        <v/>
      </c>
      <c r="I11" s="88">
        <f>'3d'!N55</f>
        <v/>
      </c>
      <c r="J11" s="88">
        <f>'3e'!Q55</f>
        <v/>
      </c>
      <c r="K11" s="88">
        <f>'3f'!N55</f>
        <v/>
      </c>
      <c r="L11" s="102">
        <f>AVERAGE(F11:K11)</f>
        <v/>
      </c>
      <c r="N11" s="151" t="n"/>
      <c r="O11" s="155" t="n"/>
      <c r="P11" s="155" t="n"/>
      <c r="Q11" s="155" t="n"/>
      <c r="R11" s="155" t="n"/>
      <c r="S11" s="155" t="n"/>
      <c r="T11" s="155" t="n"/>
      <c r="U11" s="155" t="n"/>
    </row>
    <row r="12" ht="17.25" customHeight="1" thickBot="1" thickTop="1">
      <c r="A12" s="2" t="inlineStr">
        <is>
          <t>EPHY-1700-7</t>
        </is>
      </c>
      <c r="B12" s="4" t="inlineStr">
        <is>
          <t>3a</t>
        </is>
      </c>
      <c r="C12" s="77" t="n"/>
      <c r="E12" s="57" t="inlineStr">
        <is>
          <t>Marginal (C+, C)  (%)</t>
        </is>
      </c>
      <c r="F12" s="58">
        <f>'3a'!W56</f>
        <v/>
      </c>
      <c r="G12" s="58">
        <f>'3b'!H56</f>
        <v/>
      </c>
      <c r="H12" s="58">
        <f>'3c'!AA56</f>
        <v/>
      </c>
      <c r="I12" s="58">
        <f>'3d'!N56</f>
        <v/>
      </c>
      <c r="J12" s="88">
        <f>'3e'!Q56</f>
        <v/>
      </c>
      <c r="K12" s="88">
        <f>'3f'!N56</f>
        <v/>
      </c>
      <c r="L12" s="102">
        <f>AVERAGE(F12:K12)</f>
        <v/>
      </c>
      <c r="N12" s="151" t="n"/>
      <c r="O12" s="155" t="n"/>
      <c r="P12" s="155" t="n"/>
      <c r="Q12" s="155" t="n"/>
      <c r="R12" s="155" t="n"/>
      <c r="S12" s="155" t="n"/>
      <c r="T12" s="155" t="n"/>
      <c r="U12" s="155" t="n"/>
    </row>
    <row r="13" ht="17.25" customHeight="1" thickBot="1" thickTop="1">
      <c r="A13" s="2" t="inlineStr">
        <is>
          <t>CHEM-1520-1</t>
        </is>
      </c>
      <c r="B13" s="3" t="inlineStr">
        <is>
          <t>3a</t>
        </is>
      </c>
      <c r="C13" s="77" t="n"/>
      <c r="E13" s="57" t="inlineStr">
        <is>
          <t>Meets Expectation (B+, B, B-) (%)</t>
        </is>
      </c>
      <c r="F13" s="58">
        <f>'3a'!W57</f>
        <v/>
      </c>
      <c r="G13" s="58">
        <f>'3b'!H57</f>
        <v/>
      </c>
      <c r="H13" s="58">
        <f>'3c'!AA57</f>
        <v/>
      </c>
      <c r="I13" s="58">
        <f>'3d'!N57</f>
        <v/>
      </c>
      <c r="J13" s="88">
        <f>'3e'!Q57</f>
        <v/>
      </c>
      <c r="K13" s="88">
        <f>'3f'!N57</f>
        <v/>
      </c>
      <c r="L13" s="102">
        <f>AVERAGE(F13:K13)</f>
        <v/>
      </c>
      <c r="N13" s="151" t="n"/>
      <c r="O13" s="155" t="n"/>
      <c r="P13" s="155" t="n"/>
      <c r="Q13" s="155" t="n"/>
      <c r="R13" s="155" t="n"/>
      <c r="S13" s="155" t="n"/>
      <c r="T13" s="155" t="n"/>
      <c r="U13" s="155" t="n"/>
    </row>
    <row r="14" ht="17.25" customHeight="1" thickBot="1" thickTop="1">
      <c r="A14" s="2" t="inlineStr">
        <is>
          <t>EENG-3010-5</t>
        </is>
      </c>
      <c r="B14" s="4" t="inlineStr">
        <is>
          <t>3a</t>
        </is>
      </c>
      <c r="C14" s="77" t="n"/>
      <c r="E14" s="57" t="inlineStr">
        <is>
          <t>Exceeds Expectation (A+, A, A-) (%)</t>
        </is>
      </c>
      <c r="F14" s="58">
        <f>'3a'!W58</f>
        <v/>
      </c>
      <c r="G14" s="58">
        <f>'3b'!H58</f>
        <v/>
      </c>
      <c r="H14" s="58">
        <f>'3c'!AA58</f>
        <v/>
      </c>
      <c r="I14" s="58">
        <f>'3d'!N58</f>
        <v/>
      </c>
      <c r="J14" s="88">
        <f>'3e'!Q58</f>
        <v/>
      </c>
      <c r="K14" s="88">
        <f>'3f'!N58</f>
        <v/>
      </c>
      <c r="L14" s="102">
        <f>AVERAGE(F14:K14)</f>
        <v/>
      </c>
      <c r="N14" s="151" t="n"/>
      <c r="O14" s="155" t="n"/>
      <c r="P14" s="155" t="n"/>
      <c r="Q14" s="155" t="n"/>
      <c r="R14" s="155" t="n"/>
      <c r="S14" s="155" t="n"/>
      <c r="T14" s="155" t="n"/>
      <c r="U14" s="155" t="n"/>
    </row>
    <row r="15" ht="17.25" customHeight="1" thickBot="1" thickTop="1">
      <c r="A15" s="2" t="inlineStr">
        <is>
          <t>CENG-3310-2</t>
        </is>
      </c>
      <c r="B15" s="3" t="inlineStr">
        <is>
          <t>3a</t>
        </is>
      </c>
      <c r="C15" s="77" t="n"/>
      <c r="E15" s="51" t="inlineStr">
        <is>
          <t>Frequency Distribution Analysis (70% cutoff)</t>
        </is>
      </c>
      <c r="F15" s="58">
        <f>SUM(F13:F14)</f>
        <v/>
      </c>
      <c r="G15" s="58">
        <f>SUM(G13:G14)</f>
        <v/>
      </c>
      <c r="H15" s="58">
        <f>SUM(H13:H14)</f>
        <v/>
      </c>
      <c r="I15" s="58">
        <f>SUM(I13:I14)</f>
        <v/>
      </c>
      <c r="J15" s="58">
        <f>SUM(J13:J14)</f>
        <v/>
      </c>
      <c r="K15" s="58">
        <f>SUM(K13:K14)</f>
        <v/>
      </c>
      <c r="L15" s="59">
        <f>AVERAGE(F15:K15)</f>
        <v/>
      </c>
    </row>
    <row r="16" ht="17.25" customHeight="1" thickBot="1" thickTop="1">
      <c r="A16" s="2" t="inlineStr">
        <is>
          <t>SENG-3210-1</t>
        </is>
      </c>
      <c r="B16" s="3" t="inlineStr">
        <is>
          <t>3a</t>
        </is>
      </c>
      <c r="C16" s="77" t="n"/>
      <c r="E16" s="57" t="inlineStr">
        <is>
          <t>Overall indicator simple Average Analysis</t>
        </is>
      </c>
      <c r="F16" s="159">
        <f>'3a'!B44</f>
        <v/>
      </c>
      <c r="G16" s="159">
        <f>'3b'!B44</f>
        <v/>
      </c>
      <c r="H16" s="159">
        <f>'3c'!B44</f>
        <v/>
      </c>
      <c r="I16" s="159">
        <f>'3d'!B44</f>
        <v/>
      </c>
      <c r="J16" s="158">
        <f>'3e'!B44</f>
        <v/>
      </c>
      <c r="K16" s="159">
        <f>'3f'!B44</f>
        <v/>
      </c>
      <c r="L16" s="60">
        <f>AVERAGE(F16:K16)</f>
        <v/>
      </c>
    </row>
    <row r="17" ht="17.25" customHeight="1" thickBot="1" thickTop="1">
      <c r="A17" s="2" t="inlineStr">
        <is>
          <t>SENG-4120-2</t>
        </is>
      </c>
      <c r="B17" s="4" t="inlineStr">
        <is>
          <t>3a</t>
        </is>
      </c>
      <c r="C17" s="77" t="n"/>
      <c r="E17" s="91" t="inlineStr">
        <is>
          <t>Assessment Tool</t>
        </is>
      </c>
      <c r="F17" s="83" t="inlineStr">
        <is>
          <t>3a</t>
        </is>
      </c>
      <c r="G17" s="83" t="inlineStr">
        <is>
          <t>3b</t>
        </is>
      </c>
      <c r="H17" s="83" t="inlineStr">
        <is>
          <t>3c</t>
        </is>
      </c>
      <c r="I17" s="83" t="inlineStr">
        <is>
          <t>3d</t>
        </is>
      </c>
      <c r="J17" s="83" t="inlineStr">
        <is>
          <t>3e</t>
        </is>
      </c>
      <c r="K17" s="83" t="inlineStr">
        <is>
          <t>3f</t>
        </is>
      </c>
      <c r="L17" s="84" t="inlineStr">
        <is>
          <t>Average</t>
        </is>
      </c>
    </row>
    <row r="18" ht="17.25" customHeight="1" thickBot="1" thickTop="1">
      <c r="A18" s="2" t="inlineStr">
        <is>
          <t>SENG-4110-1</t>
        </is>
      </c>
      <c r="B18" s="4" t="inlineStr">
        <is>
          <t>3a</t>
        </is>
      </c>
      <c r="C18" s="77" t="n"/>
      <c r="E18" s="56" t="inlineStr">
        <is>
          <t>Assignment</t>
        </is>
      </c>
      <c r="F18" s="89">
        <f>'3a'!B51/'3a'!I51</f>
        <v/>
      </c>
      <c r="G18" s="89">
        <f>'3b'!B51/'3b'!I51</f>
        <v/>
      </c>
      <c r="H18" s="89">
        <f>'3c'!B51/'3c'!I51</f>
        <v/>
      </c>
      <c r="I18" s="89">
        <f>'3d'!B51/'3d'!I51</f>
        <v/>
      </c>
      <c r="J18" s="89">
        <f>'3e'!B51/'3e'!I51</f>
        <v/>
      </c>
      <c r="K18" s="89">
        <f>'3f'!B51/'3f'!I51</f>
        <v/>
      </c>
      <c r="L18" s="90">
        <f>AVERAGE(F18:K18)</f>
        <v/>
      </c>
      <c r="M18" s="156" t="n"/>
    </row>
    <row r="19" ht="17.25" customHeight="1" thickBot="1" thickTop="1">
      <c r="A19" s="2" t="inlineStr">
        <is>
          <t>SENG-4220-3</t>
        </is>
      </c>
      <c r="B19" s="3" t="inlineStr">
        <is>
          <t>3a</t>
        </is>
      </c>
      <c r="C19" s="77" t="n"/>
      <c r="E19" s="57" t="inlineStr">
        <is>
          <t>Quiz</t>
        </is>
      </c>
      <c r="F19" s="61">
        <f>'3a'!C51/'3a'!I51</f>
        <v/>
      </c>
      <c r="G19" s="89">
        <f>'3b'!C51/'3b'!I51</f>
        <v/>
      </c>
      <c r="H19" s="61">
        <f>'3c'!C51/'3c'!I51</f>
        <v/>
      </c>
      <c r="I19" s="61">
        <f>'3d'!C51/'3d'!I51</f>
        <v/>
      </c>
      <c r="J19" s="61">
        <f>'3e'!C51/'3e'!I51</f>
        <v/>
      </c>
      <c r="K19" s="61">
        <f>'3f'!C51/'3f'!I51</f>
        <v/>
      </c>
      <c r="L19" s="62">
        <f>AVERAGE(F19:K19)</f>
        <v/>
      </c>
      <c r="M19" s="156" t="n"/>
    </row>
    <row r="20" ht="17.25" customHeight="1" thickBot="1" thickTop="1">
      <c r="A20" s="2" t="inlineStr">
        <is>
          <t>SENG-4140-1</t>
        </is>
      </c>
      <c r="B20" s="3" t="inlineStr">
        <is>
          <t>3a</t>
        </is>
      </c>
      <c r="C20" s="77" t="n"/>
      <c r="E20" s="57" t="inlineStr">
        <is>
          <t>Mid Term</t>
        </is>
      </c>
      <c r="F20" s="61">
        <f>'3a'!D51/'3a'!I51</f>
        <v/>
      </c>
      <c r="G20" s="89">
        <f>'3b'!D51/'3b'!I51</f>
        <v/>
      </c>
      <c r="H20" s="61">
        <f>'3c'!D51/'3c'!I51</f>
        <v/>
      </c>
      <c r="I20" s="61">
        <f>'3d'!D51/'3d'!I51</f>
        <v/>
      </c>
      <c r="J20" s="61">
        <f>'3e'!D51/'3e'!I51</f>
        <v/>
      </c>
      <c r="K20" s="61">
        <f>'3f'!D51/'3f'!I51</f>
        <v/>
      </c>
      <c r="L20" s="62">
        <f>AVERAGE(F20:K20)</f>
        <v/>
      </c>
      <c r="M20" s="156" t="n"/>
    </row>
    <row r="21" ht="17.25" customHeight="1" thickBot="1" thickTop="1">
      <c r="A21" s="2" t="inlineStr">
        <is>
          <t>SENG-4620-1</t>
        </is>
      </c>
      <c r="B21" s="3" t="inlineStr">
        <is>
          <t>3a</t>
        </is>
      </c>
      <c r="C21" s="77" t="n"/>
      <c r="E21" s="57" t="inlineStr">
        <is>
          <t>Final Exam</t>
        </is>
      </c>
      <c r="F21" s="61">
        <f>'3a'!E51/'3a'!I51</f>
        <v/>
      </c>
      <c r="G21" s="89">
        <f>'3b'!E51/'3b'!I51</f>
        <v/>
      </c>
      <c r="H21" s="61">
        <f>'3c'!E51/'3c'!I51</f>
        <v/>
      </c>
      <c r="I21" s="61">
        <f>'3d'!E51/'3d'!I51</f>
        <v/>
      </c>
      <c r="J21" s="61">
        <f>'3e'!E51/'3e'!I51</f>
        <v/>
      </c>
      <c r="K21" s="61">
        <f>'3f'!E51/'3f'!I51</f>
        <v/>
      </c>
      <c r="L21" s="62">
        <f>AVERAGE(F21:K21)</f>
        <v/>
      </c>
      <c r="M21" s="156" t="n"/>
    </row>
    <row r="22" ht="17.25" customHeight="1" thickBot="1" thickTop="1">
      <c r="A22" s="2" t="inlineStr">
        <is>
          <t>SENG-4650-1</t>
        </is>
      </c>
      <c r="B22" s="3" t="inlineStr">
        <is>
          <t>3a</t>
        </is>
      </c>
      <c r="C22" s="77" t="n"/>
      <c r="E22" s="51" t="inlineStr">
        <is>
          <t>Project</t>
        </is>
      </c>
      <c r="F22" s="61">
        <f>'3a'!F51/'3a'!I51</f>
        <v/>
      </c>
      <c r="G22" s="89">
        <f>'3b'!F51/'3b'!I51</f>
        <v/>
      </c>
      <c r="H22" s="61">
        <f>'3c'!F51/'3c'!I51</f>
        <v/>
      </c>
      <c r="I22" s="61">
        <f>'3d'!F51/'3d'!I51</f>
        <v/>
      </c>
      <c r="J22" s="61">
        <f>'3e'!F51/'3e'!I51</f>
        <v/>
      </c>
      <c r="K22" s="61">
        <f>'3f'!F51/'3f'!I51</f>
        <v/>
      </c>
      <c r="L22" s="62">
        <f>AVERAGE(F22:K22)</f>
        <v/>
      </c>
      <c r="M22" s="156" t="n"/>
    </row>
    <row r="23" ht="17.25" customHeight="1" thickBot="1" thickTop="1">
      <c r="A23" s="2" t="inlineStr">
        <is>
          <t>SENG-4660-1</t>
        </is>
      </c>
      <c r="B23" s="3" t="inlineStr">
        <is>
          <t>3a</t>
        </is>
      </c>
      <c r="C23" s="77" t="n"/>
      <c r="E23" s="51" t="inlineStr">
        <is>
          <t>Lab</t>
        </is>
      </c>
      <c r="F23" s="61">
        <f>'3a'!G51/'3a'!I51</f>
        <v/>
      </c>
      <c r="G23" s="89">
        <f>'3b'!G51/'3b'!I51</f>
        <v/>
      </c>
      <c r="H23" s="61">
        <f>'3c'!G51/'3c'!I51</f>
        <v/>
      </c>
      <c r="I23" s="61">
        <f>'3d'!G51/'3d'!I51</f>
        <v/>
      </c>
      <c r="J23" s="61">
        <f>'3e'!G51/'3e'!I51</f>
        <v/>
      </c>
      <c r="K23" s="61">
        <f>'3f'!G51/'3f'!I51</f>
        <v/>
      </c>
      <c r="L23" s="62">
        <f>AVERAGE(F23:K23)</f>
        <v/>
      </c>
      <c r="M23" s="156" t="n"/>
    </row>
    <row r="24" ht="17.25" customHeight="1" thickBot="1" thickTop="1">
      <c r="A24" s="2" t="inlineStr">
        <is>
          <t>CENG-4320-1</t>
        </is>
      </c>
      <c r="B24" s="3" t="inlineStr">
        <is>
          <t>3a</t>
        </is>
      </c>
      <c r="C24" s="77" t="n"/>
      <c r="E24" s="57" t="inlineStr">
        <is>
          <t>Anyother</t>
        </is>
      </c>
      <c r="F24" s="61">
        <f>'3a'!H51/'3a'!I51</f>
        <v/>
      </c>
      <c r="G24" s="89">
        <f>'3b'!H51/'3b'!I51</f>
        <v/>
      </c>
      <c r="H24" s="61">
        <f>'3c'!H51/'3c'!I51</f>
        <v/>
      </c>
      <c r="I24" s="61">
        <f>'3d'!H51/'3d'!I51</f>
        <v/>
      </c>
      <c r="J24" s="61">
        <f>'3e'!H51/'3e'!I51</f>
        <v/>
      </c>
      <c r="K24" s="61">
        <f>'3f'!H51/'3f'!I51</f>
        <v/>
      </c>
      <c r="L24" s="62">
        <f>AVERAGE(F24:K24)</f>
        <v/>
      </c>
      <c r="M24" s="156" t="n"/>
    </row>
    <row r="25" ht="17.25" customHeight="1" thickBot="1" thickTop="1">
      <c r="A25" s="2" t="inlineStr">
        <is>
          <t>EPHY-1170-3</t>
        </is>
      </c>
      <c r="B25" s="4" t="inlineStr">
        <is>
          <t>3b</t>
        </is>
      </c>
      <c r="C25" s="77" t="n"/>
      <c r="L25" s="157" t="n"/>
      <c r="M25" s="156" t="n"/>
    </row>
    <row r="26" ht="17.25" customHeight="1" thickBot="1" thickTop="1">
      <c r="A26" s="2" t="inlineStr">
        <is>
          <t>EENG-3010-4</t>
        </is>
      </c>
      <c r="B26" s="4" t="inlineStr">
        <is>
          <t>3b</t>
        </is>
      </c>
      <c r="C26" s="77" t="n"/>
      <c r="E26" s="156" t="n"/>
      <c r="F26" s="156" t="n"/>
      <c r="G26" s="156" t="n"/>
      <c r="H26" s="156" t="n"/>
      <c r="I26" s="156" t="n"/>
      <c r="J26" s="156" t="n"/>
      <c r="K26" s="156" t="n"/>
      <c r="L26" s="156" t="n"/>
      <c r="M26" s="156" t="n"/>
    </row>
    <row r="27" ht="17.25" customHeight="1" thickBot="1" thickTop="1">
      <c r="A27" s="2" t="inlineStr">
        <is>
          <t>CENG-3310-3</t>
        </is>
      </c>
      <c r="B27" s="3" t="inlineStr">
        <is>
          <t>3b</t>
        </is>
      </c>
      <c r="C27" s="77" t="n"/>
      <c r="F27" s="156" t="n"/>
      <c r="H27" s="156" t="n"/>
      <c r="I27" s="156" t="n"/>
      <c r="J27" s="156" t="n"/>
      <c r="K27" s="156" t="n"/>
      <c r="L27" s="156" t="n"/>
      <c r="M27" s="156" t="n"/>
    </row>
    <row r="28" ht="17.25" customHeight="1" thickBot="1" thickTop="1">
      <c r="A28" s="2" t="inlineStr">
        <is>
          <t>SENG-4130-4</t>
        </is>
      </c>
      <c r="B28" s="4" t="inlineStr">
        <is>
          <t>3b</t>
        </is>
      </c>
      <c r="D28" s="148" t="inlineStr">
        <is>
          <t>Total LO</t>
        </is>
      </c>
      <c r="E28" s="76" t="inlineStr">
        <is>
          <t>Course</t>
        </is>
      </c>
      <c r="F28" s="83" t="inlineStr">
        <is>
          <t>3a</t>
        </is>
      </c>
      <c r="G28" s="83" t="inlineStr">
        <is>
          <t>3b</t>
        </is>
      </c>
      <c r="H28" s="83" t="inlineStr">
        <is>
          <t>3c</t>
        </is>
      </c>
      <c r="I28" s="83" t="inlineStr">
        <is>
          <t>3d</t>
        </is>
      </c>
      <c r="J28" s="83" t="inlineStr">
        <is>
          <t>3e</t>
        </is>
      </c>
      <c r="K28" s="83" t="inlineStr">
        <is>
          <t>3f</t>
        </is>
      </c>
      <c r="L28" s="76" t="inlineStr">
        <is>
          <t>Total</t>
        </is>
      </c>
    </row>
    <row r="29" ht="17.25" customHeight="1" thickBot="1" thickTop="1">
      <c r="A29" s="2" t="inlineStr">
        <is>
          <t>SENG-4220-2</t>
        </is>
      </c>
      <c r="B29" s="3" t="inlineStr">
        <is>
          <t>3b</t>
        </is>
      </c>
      <c r="D29" s="63">
        <f>COUNTIF(A:A, "CENG-2010*")</f>
        <v/>
      </c>
      <c r="E29" s="63" t="inlineStr">
        <is>
          <t>CENG 2010</t>
        </is>
      </c>
      <c r="F29" s="49">
        <f>COUNTIF('3a'!$B$1:$V$1, "CENG-2010*")</f>
        <v/>
      </c>
      <c r="G29" s="49">
        <f>COUNTIF('3b'!$B$1:$G$1, "CENG-2010*")</f>
        <v/>
      </c>
      <c r="H29" s="49">
        <f>COUNTIF('3c'!$B$1:$Z$1, "CENG-2010*")</f>
        <v/>
      </c>
      <c r="I29" s="49">
        <f>COUNTIF('3d'!$B$1:$M$1, "CENG-2010*")</f>
        <v/>
      </c>
      <c r="J29" s="95">
        <f>COUNTIFS('3e'!$B$1:$P$1, "CENG-2010*")</f>
        <v/>
      </c>
      <c r="K29" s="49">
        <f>COUNTIF('3f'!$B$1:$M$1, "CENG-2010*")</f>
        <v/>
      </c>
      <c r="L29" s="50">
        <f>SUM(F29:K29)</f>
        <v/>
      </c>
    </row>
    <row r="30" ht="17.25" customHeight="1" thickBot="1" thickTop="1">
      <c r="A30" s="2" t="inlineStr">
        <is>
          <t>SENG-4220-5</t>
        </is>
      </c>
      <c r="B30" s="3" t="inlineStr">
        <is>
          <t>3b</t>
        </is>
      </c>
      <c r="D30" s="63">
        <f>COUNTIF(A:A, "CENG-2030*")</f>
        <v/>
      </c>
      <c r="E30" s="63" t="inlineStr">
        <is>
          <t>CENG 2030</t>
        </is>
      </c>
      <c r="F30" s="49">
        <f>COUNTIF('3a'!$B$1:$V$1, "CENG-2030*")</f>
        <v/>
      </c>
      <c r="G30" s="49">
        <f>COUNTIF('3b'!$B$1:$G$1, "CENG-2030*")</f>
        <v/>
      </c>
      <c r="H30" s="49">
        <f>COUNTIF('3c'!$B$1:$Z$1, "CENG-2030*")</f>
        <v/>
      </c>
      <c r="I30" s="49">
        <f>COUNTIF('3d'!$B$1:$M$1, "CENG-2030*")</f>
        <v/>
      </c>
      <c r="J30" s="95">
        <f>COUNTIFS('3e'!$B$1:$P$1, "CENG-2030*")</f>
        <v/>
      </c>
      <c r="K30" s="49">
        <f>COUNTIF('3f'!$B$1:$M$1, "CENG-2030*")</f>
        <v/>
      </c>
      <c r="L30" s="50">
        <f>SUM(F30:K30)</f>
        <v/>
      </c>
    </row>
    <row r="31" ht="17.25" customHeight="1" thickBot="1" thickTop="1">
      <c r="A31" s="2" t="inlineStr">
        <is>
          <t>EPHY-1170-2</t>
        </is>
      </c>
      <c r="B31" s="4" t="inlineStr">
        <is>
          <t>3c</t>
        </is>
      </c>
      <c r="D31" s="63">
        <f>COUNTIF(A:A, "CENG-3010*")</f>
        <v/>
      </c>
      <c r="E31" s="63" t="inlineStr">
        <is>
          <t>CENG 3010</t>
        </is>
      </c>
      <c r="F31" s="49">
        <f>COUNTIF('3a'!$B$1:$V$1, "CENG-3010*")</f>
        <v/>
      </c>
      <c r="G31" s="49">
        <f>COUNTIF('3b'!$B$1:$G$1, "CENG-3010*")</f>
        <v/>
      </c>
      <c r="H31" s="49">
        <f>COUNTIF('3c'!$B$1:$Z$1, "CENG-3010*")</f>
        <v/>
      </c>
      <c r="I31" s="49">
        <f>COUNTIF('3d'!$B$1:$M$1, "CENG-3010*")</f>
        <v/>
      </c>
      <c r="J31" s="95">
        <f>COUNTIFS('3e'!$B$1:$P$1, "CENG-3010*")</f>
        <v/>
      </c>
      <c r="K31" s="49">
        <f>COUNTIF('3f'!$B$1:$M$1, "CENG-3010*")</f>
        <v/>
      </c>
      <c r="L31" s="50">
        <f>SUM(F31:K31)</f>
        <v/>
      </c>
    </row>
    <row r="32" ht="17.25" customHeight="1" thickBot="1" thickTop="1">
      <c r="A32" s="2" t="inlineStr">
        <is>
          <t>EPHY-1170-9</t>
        </is>
      </c>
      <c r="B32" s="4" t="inlineStr">
        <is>
          <t>3c</t>
        </is>
      </c>
      <c r="D32" s="63">
        <f>COUNTIF(A:A, "CENG-3020*")</f>
        <v/>
      </c>
      <c r="E32" s="63" t="inlineStr">
        <is>
          <t>CENG 3020</t>
        </is>
      </c>
      <c r="F32" s="49">
        <f>COUNTIF('3a'!$B$1:$V$1, "CENG-3020*")</f>
        <v/>
      </c>
      <c r="G32" s="49">
        <f>COUNTIF('3b'!$B$1:$G$1, "CENG-3020*")</f>
        <v/>
      </c>
      <c r="H32" s="49">
        <f>COUNTIF('3c'!$B$1:$Z$1, "CENG-3020*")</f>
        <v/>
      </c>
      <c r="I32" s="49">
        <f>COUNTIF('3d'!$B$1:$M$1, "CENG-3020*")</f>
        <v/>
      </c>
      <c r="J32" s="95">
        <f>COUNTIFS('3e'!$B$1:$P$1, "CENG-3020*")</f>
        <v/>
      </c>
      <c r="K32" s="49">
        <f>COUNTIF('3f'!$B$1:$M$1, "CENG-3020*")</f>
        <v/>
      </c>
      <c r="L32" s="50">
        <f>SUM(F32:K32)</f>
        <v/>
      </c>
      <c r="N32" s="55" t="n"/>
    </row>
    <row r="33" ht="17.25" customHeight="1" thickBot="1" thickTop="1">
      <c r="A33" s="2" t="inlineStr">
        <is>
          <t>EPHY-1270-2</t>
        </is>
      </c>
      <c r="B33" s="4" t="inlineStr">
        <is>
          <t>3c</t>
        </is>
      </c>
      <c r="D33" s="63">
        <f>COUNTIF(A:A, "CENG-3310*")</f>
        <v/>
      </c>
      <c r="E33" s="63" t="inlineStr">
        <is>
          <t xml:space="preserve">CENG 3310 </t>
        </is>
      </c>
      <c r="F33" s="69">
        <f>COUNTIF('3a'!$B$1:$V$1, "CENG-3310*")</f>
        <v/>
      </c>
      <c r="G33" s="49">
        <f>COUNTIF('3b'!$B$1:$G$1, "CENG-3310*")</f>
        <v/>
      </c>
      <c r="H33" s="49">
        <f>COUNTIF('3c'!$B$1:$Z$1, "CENG-3310*")</f>
        <v/>
      </c>
      <c r="I33" s="49">
        <f>COUNTIF('3d'!$B$1:$M$1, "CENG-3310*")</f>
        <v/>
      </c>
      <c r="J33" s="96">
        <f>COUNTIFS('3e'!$B$1:$P$1, "CENG-3310*")</f>
        <v/>
      </c>
      <c r="K33" s="49">
        <f>COUNTIF('3f'!$B$1:$M$1, "CENG-3310*")</f>
        <v/>
      </c>
      <c r="L33" s="71">
        <f>SUM(F33:K33)</f>
        <v/>
      </c>
    </row>
    <row r="34" ht="17.25" customHeight="1" thickBot="1" thickTop="1">
      <c r="A34" s="2" t="inlineStr">
        <is>
          <t>EPHY-1270-4</t>
        </is>
      </c>
      <c r="B34" s="4" t="inlineStr">
        <is>
          <t>3c</t>
        </is>
      </c>
      <c r="D34" s="63">
        <f>COUNTIF(A:A, "CENG-4320*")</f>
        <v/>
      </c>
      <c r="E34" s="63" t="inlineStr">
        <is>
          <t>CENG 4320</t>
        </is>
      </c>
      <c r="F34" s="69">
        <f>COUNTIF('3a'!$B$1:$V$1, "CENG-4320*")</f>
        <v/>
      </c>
      <c r="G34" s="49">
        <f>COUNTIF('3b'!$B$1:$G$1, "CENG-4320*")</f>
        <v/>
      </c>
      <c r="H34" s="49">
        <f>COUNTIF('3c'!$B$1:$Z$1, "CENG-4320*")</f>
        <v/>
      </c>
      <c r="I34" s="49">
        <f>COUNTIF('3d'!$B$1:$M$1, "CENG-4320*")</f>
        <v/>
      </c>
      <c r="J34" s="96">
        <f>COUNTIFS('3e'!$B$1:$P$1, "CENG-4320*")</f>
        <v/>
      </c>
      <c r="K34" s="49">
        <f>COUNTIF('3f'!$B$1:$M$1, "CENG-4320*")</f>
        <v/>
      </c>
      <c r="L34" s="71">
        <f>SUM(F34:K34)</f>
        <v/>
      </c>
    </row>
    <row r="35" ht="17.25" customHeight="1" thickBot="1" thickTop="1">
      <c r="A35" s="2" t="inlineStr">
        <is>
          <t>EPHY-1270-5</t>
        </is>
      </c>
      <c r="B35" s="4" t="inlineStr">
        <is>
          <t>3c</t>
        </is>
      </c>
      <c r="D35" s="63">
        <f>COUNTIF(A:A, "CHEM-1520*")</f>
        <v/>
      </c>
      <c r="E35" s="63" t="inlineStr">
        <is>
          <t>CHEM 1520</t>
        </is>
      </c>
      <c r="F35" s="94">
        <f>COUNTIF('3a'!$B$1:$V$1, "CHEM-1520*")</f>
        <v/>
      </c>
      <c r="G35" s="49">
        <f>COUNTIF('3b'!$B$1:$G$1, "CHEM-1520*")</f>
        <v/>
      </c>
      <c r="H35" s="49">
        <f>COUNTIF('3c'!$B$1:$Z$1, "CHEM-1520*")</f>
        <v/>
      </c>
      <c r="I35" s="49">
        <f>COUNTIF('3d'!$B$1:$M$1, "CHEM-1520*")</f>
        <v/>
      </c>
      <c r="J35" s="96">
        <f>COUNTIFS('3e'!$B$1:$P$1, "CHEM-1520*")</f>
        <v/>
      </c>
      <c r="K35" s="49">
        <f>COUNTIF('3f'!$B$1:$M$1, "CHEM-1520*")</f>
        <v/>
      </c>
      <c r="L35" s="71">
        <f>SUM(F35:K35)</f>
        <v/>
      </c>
    </row>
    <row r="36" ht="17.25" customHeight="1" thickBot="1" thickTop="1">
      <c r="A36" s="2" t="inlineStr">
        <is>
          <t>EPHY-1270-6</t>
        </is>
      </c>
      <c r="B36" s="4" t="inlineStr">
        <is>
          <t>3c</t>
        </is>
      </c>
      <c r="D36" s="63">
        <f>COUNTIF(A:A, "CMNS-1290*")</f>
        <v/>
      </c>
      <c r="E36" s="63" t="inlineStr">
        <is>
          <t>CMNS 1290</t>
        </is>
      </c>
      <c r="F36" s="94">
        <f>COUNTIF('3a'!$B$1:$V$1, "CMNS-1290*")</f>
        <v/>
      </c>
      <c r="G36" s="49">
        <f>COUNTIF('3b'!$B$1:$G$1, "CMNS-1290*")</f>
        <v/>
      </c>
      <c r="H36" s="49">
        <f>COUNTIF('3c'!$B$1:$Z$1, "CMNS-1290*")</f>
        <v/>
      </c>
      <c r="I36" s="49">
        <f>COUNTIF('3d'!$B$1:$M$1, "CMNS-1290*")</f>
        <v/>
      </c>
      <c r="J36" s="96">
        <f>COUNTIFS('3e'!$B$1:$P$1, "CMNS-1290*")</f>
        <v/>
      </c>
      <c r="K36" s="49">
        <f>COUNTIF('3f'!$B$1:$M$1, "CMNS-1290*")</f>
        <v/>
      </c>
      <c r="L36" s="71">
        <f>SUM(F36:K36)</f>
        <v/>
      </c>
    </row>
    <row r="37" ht="17.25" customHeight="1" thickBot="1" thickTop="1">
      <c r="A37" s="2" t="inlineStr">
        <is>
          <t>EPHY-1270-8</t>
        </is>
      </c>
      <c r="B37" s="4" t="inlineStr">
        <is>
          <t>3c</t>
        </is>
      </c>
      <c r="D37" s="63">
        <f>COUNTIF(A:A, "COMP-3410*")</f>
        <v/>
      </c>
      <c r="E37" s="63" t="inlineStr">
        <is>
          <t>COMP 3410</t>
        </is>
      </c>
      <c r="F37" s="49">
        <f>COUNTIF('3a'!$B$1:$V$1, "COMP-3410*")</f>
        <v/>
      </c>
      <c r="G37" s="49">
        <f>COUNTIF('3b'!$B$1:$G$1, "COMP-3410*")</f>
        <v/>
      </c>
      <c r="H37" s="49">
        <f>COUNTIF('3c'!$B$1:$Z$1, "COMP-3410*")</f>
        <v/>
      </c>
      <c r="I37" s="49">
        <f>COUNTIF('3d'!$B$1:$M$1, "COMP-3410*")</f>
        <v/>
      </c>
      <c r="J37" s="96">
        <f>COUNTIFS('3e'!$B$1:$P$1, "COMP-3410*")</f>
        <v/>
      </c>
      <c r="K37" s="49">
        <f>COUNTIF('3f'!$B$1:$M$1, "COMP-3410*")</f>
        <v/>
      </c>
      <c r="L37" s="50">
        <f>SUM(F37:K37)</f>
        <v/>
      </c>
    </row>
    <row r="38" ht="17.25" customHeight="1" thickBot="1" thickTop="1">
      <c r="A38" s="2" t="inlineStr">
        <is>
          <t>EPHY-2200-2</t>
        </is>
      </c>
      <c r="B38" s="4" t="inlineStr">
        <is>
          <t>3c</t>
        </is>
      </c>
      <c r="D38" s="63">
        <f>COUNTIF(A:A, "COMP-3610*")</f>
        <v/>
      </c>
      <c r="E38" s="63" t="inlineStr">
        <is>
          <t>COMP 3610</t>
        </is>
      </c>
      <c r="F38" s="49">
        <f>COUNTIF('3a'!$B$1:$V$1, "COMP-3610*")</f>
        <v/>
      </c>
      <c r="G38" s="49">
        <f>COUNTIF('3b'!$B$1:$G$1, "COMP-3610*")</f>
        <v/>
      </c>
      <c r="H38" s="49">
        <f>COUNTIF('3c'!$B$1:$Z$1, "COMP-3610*")</f>
        <v/>
      </c>
      <c r="I38" s="49">
        <f>COUNTIF('3d'!$B$1:$M$1, "COMP-3610*")</f>
        <v/>
      </c>
      <c r="J38" s="96">
        <f>COUNTIFS('3e'!$B$1:$P$1, "COMP-3610*")</f>
        <v/>
      </c>
      <c r="K38" s="49">
        <f>COUNTIF('3f'!$B$1:$M$1, "COMP-3610*")</f>
        <v/>
      </c>
      <c r="L38" s="50">
        <f>SUM(F38:K38)</f>
        <v/>
      </c>
    </row>
    <row r="39" ht="17.25" customHeight="1" thickBot="1" thickTop="1">
      <c r="A39" s="2" t="inlineStr">
        <is>
          <t>STAT-2230-1</t>
        </is>
      </c>
      <c r="B39" s="4" t="inlineStr">
        <is>
          <t>3c</t>
        </is>
      </c>
      <c r="D39" s="63">
        <f>COUNTIF(A:A, "EENG-3010*")</f>
        <v/>
      </c>
      <c r="E39" s="63" t="inlineStr">
        <is>
          <t>EENG 3010</t>
        </is>
      </c>
      <c r="F39" s="54">
        <f>COUNTIF('3a'!$B$1:$V$1, "EENG-3010*")</f>
        <v/>
      </c>
      <c r="G39" s="49">
        <f>COUNTIF('3b'!$B$1:$G$1, "EENG-3010*")</f>
        <v/>
      </c>
      <c r="H39" s="49">
        <f>COUNTIF('3c'!$B$1:$Z$1, "EENG-3010*")</f>
        <v/>
      </c>
      <c r="I39" s="49">
        <f>COUNTIF('3d'!$B$1:$M$1, "EENG-3010*")</f>
        <v/>
      </c>
      <c r="J39" s="96">
        <f>COUNTIFS('3e'!$B$1:$P$1, "EENG-3010*")</f>
        <v/>
      </c>
      <c r="K39" s="49">
        <f>COUNTIF('3f'!$B$1:$M$1, "EENG-3010*")</f>
        <v/>
      </c>
      <c r="L39" s="55">
        <f>SUM(F39:K39)</f>
        <v/>
      </c>
    </row>
    <row r="40" ht="17.25" customHeight="1" thickBot="1" thickTop="1">
      <c r="A40" s="2" t="inlineStr">
        <is>
          <t>EPHY-2300-5</t>
        </is>
      </c>
      <c r="B40" s="4" t="inlineStr">
        <is>
          <t>3c</t>
        </is>
      </c>
      <c r="D40" s="63">
        <f>COUNTIF(A:A, "ENGL-1100*")</f>
        <v/>
      </c>
      <c r="E40" s="63" t="inlineStr">
        <is>
          <t>ENGL 1100</t>
        </is>
      </c>
      <c r="F40" s="54">
        <f>COUNTIF('3a'!$B$1:$V$1, "ENGL-1100*")</f>
        <v/>
      </c>
      <c r="G40" s="49">
        <f>COUNTIF('3b'!$B$1:$G$1, "ENGL-1100*")</f>
        <v/>
      </c>
      <c r="H40" s="49">
        <f>COUNTIF('3c'!$B$1:$Z$1, "ENGL-1100*")</f>
        <v/>
      </c>
      <c r="I40" s="49">
        <f>COUNTIF('3d'!$B$1:$M$1, "ENGL-1100*")</f>
        <v/>
      </c>
      <c r="J40" s="96">
        <f>COUNTIFS('3e'!$B$1:$P$1, "ENGL-1100*")</f>
        <v/>
      </c>
      <c r="K40" s="49">
        <f>COUNTIF('3f'!$B$1:$M$1, "ENGL-1100*")</f>
        <v/>
      </c>
      <c r="L40" s="55">
        <f>SUM(F40:K40)</f>
        <v/>
      </c>
    </row>
    <row r="41" ht="17.25" customHeight="1" thickBot="1" thickTop="1">
      <c r="A41" s="2" t="inlineStr">
        <is>
          <t>CHEM-1520-2</t>
        </is>
      </c>
      <c r="B41" s="3" t="inlineStr">
        <is>
          <t>3c</t>
        </is>
      </c>
      <c r="D41" s="63">
        <f>COUNTIF(A:A, "ENGR-1100*")</f>
        <v/>
      </c>
      <c r="E41" s="63" t="inlineStr">
        <is>
          <t>ENGR 1100</t>
        </is>
      </c>
      <c r="F41" s="54">
        <f>COUNTIF('3a'!$B$1:$V$1, "ENGR-1100*")</f>
        <v/>
      </c>
      <c r="G41" s="49">
        <f>COUNTIF('3b'!$B$1:$G$1, "ENGR-1100*")</f>
        <v/>
      </c>
      <c r="H41" s="49">
        <f>COUNTIF('3c'!$B$1:$Z$1, "ENGR-1100*")</f>
        <v/>
      </c>
      <c r="I41" s="49">
        <f>COUNTIF('3d'!$B$1:$M$1, "ENGR-1100*")</f>
        <v/>
      </c>
      <c r="J41" s="96">
        <f>COUNTIFS('3e'!$B$1:$P$1, "ENGR1100*")</f>
        <v/>
      </c>
      <c r="K41" s="49">
        <f>COUNTIF('3f'!$B$1:$M$1, "ENGR-1100*")</f>
        <v/>
      </c>
      <c r="L41" s="55">
        <f>SUM(F41:K41)</f>
        <v/>
      </c>
    </row>
    <row r="42" ht="17.25" customHeight="1" thickBot="1" thickTop="1">
      <c r="A42" s="2" t="inlineStr">
        <is>
          <t>CHEM-1520-3</t>
        </is>
      </c>
      <c r="B42" s="3" t="inlineStr">
        <is>
          <t>3c</t>
        </is>
      </c>
      <c r="D42" s="63">
        <f>COUNTIF(A:A, "ENGR-1200*")</f>
        <v/>
      </c>
      <c r="E42" s="63" t="inlineStr">
        <is>
          <t>ENGR 1200</t>
        </is>
      </c>
      <c r="F42" s="54">
        <f>COUNTIF('3a'!$B$1:$V$1, "ENGR-1200*")</f>
        <v/>
      </c>
      <c r="G42" s="49">
        <f>COUNTIF('3b'!$B$1:$G$1, "ENGR-1200*")</f>
        <v/>
      </c>
      <c r="H42" s="49">
        <f>COUNTIF('3c'!$B$1:$Z$1, "ENGR-1200*")</f>
        <v/>
      </c>
      <c r="I42" s="49">
        <f>COUNTIF('3d'!$B$1:$M$1, "ENGR-1200*")</f>
        <v/>
      </c>
      <c r="J42" s="96">
        <f>COUNTIFS('3e'!$B$1:$P$1, "ENGR-1200*")</f>
        <v/>
      </c>
      <c r="K42" s="49">
        <f>COUNTIF('3f'!$B$1:$M$1, "ENGR-1200*")</f>
        <v/>
      </c>
      <c r="L42" s="55">
        <f>SUM(F42:K42)</f>
        <v/>
      </c>
    </row>
    <row r="43" ht="17.25" customHeight="1" thickBot="1" thickTop="1">
      <c r="A43" s="2" t="inlineStr">
        <is>
          <t>SENG-3110-3</t>
        </is>
      </c>
      <c r="B43" s="4" t="inlineStr">
        <is>
          <t>3c</t>
        </is>
      </c>
      <c r="D43" s="63">
        <f>COUNTIF(A:A, "ENGR-2000*")</f>
        <v/>
      </c>
      <c r="E43" s="63" t="inlineStr">
        <is>
          <t>ENGR 2000</t>
        </is>
      </c>
      <c r="F43" s="54">
        <f>COUNTIF('3a'!$B$1:$V$1, "ENGR-2000*")</f>
        <v/>
      </c>
      <c r="G43" s="49">
        <f>COUNTIF('3b'!$B$1:$G$1, "ENGR-2000*")</f>
        <v/>
      </c>
      <c r="H43" s="49">
        <f>COUNTIF('3c'!$B$1:$Z$1, "ENGR-2000*")</f>
        <v/>
      </c>
      <c r="I43" s="49">
        <f>COUNTIF('3d'!$B$1:$M$1, "ENGR-2000*")</f>
        <v/>
      </c>
      <c r="J43" s="96">
        <f>COUNTIFS('3e'!$B$1:$P$1, "ENGR-2000*")</f>
        <v/>
      </c>
      <c r="K43" s="49">
        <f>COUNTIF('3f'!$B$1:$M$1, "ENGR-2000*")</f>
        <v/>
      </c>
      <c r="L43" s="55">
        <f>SUM(F43:K43)</f>
        <v/>
      </c>
    </row>
    <row r="44" ht="17.25" customHeight="1" thickBot="1" thickTop="1">
      <c r="A44" s="2" t="inlineStr">
        <is>
          <t>EENG-3010-3</t>
        </is>
      </c>
      <c r="B44" s="4" t="inlineStr">
        <is>
          <t>3c</t>
        </is>
      </c>
      <c r="D44" s="63">
        <f>COUNTIF(A:A, "ENGR-2200*")</f>
        <v/>
      </c>
      <c r="E44" s="63" t="inlineStr">
        <is>
          <t>ENGR 2200</t>
        </is>
      </c>
      <c r="F44" s="54">
        <f>COUNTIF('3a'!$B$1:$V$1, "ENGR-2200*")</f>
        <v/>
      </c>
      <c r="G44" s="49">
        <f>COUNTIF('3b'!$B$1:$G$1, "ENGR-2200*")</f>
        <v/>
      </c>
      <c r="H44" s="49">
        <f>COUNTIF('3c'!$B$1:$Z$1, "ENGR-2200*")</f>
        <v/>
      </c>
      <c r="I44" s="49">
        <f>COUNTIF('3d'!$B$1:$M$1, "ENGR-2200*")</f>
        <v/>
      </c>
      <c r="J44" s="96">
        <f>COUNTIFS('3e'!$B$1:$P$1, "ENGR-2200*")</f>
        <v/>
      </c>
      <c r="K44" s="49">
        <f>COUNTIF('3f'!$B$1:$M$1, "ENGR-2200*")</f>
        <v/>
      </c>
      <c r="L44" s="55">
        <f>SUM(F44:K44)</f>
        <v/>
      </c>
    </row>
    <row r="45" ht="17.25" customHeight="1" thickBot="1" thickTop="1">
      <c r="A45" s="2" t="inlineStr">
        <is>
          <t>CENG-3310-4</t>
        </is>
      </c>
      <c r="B45" s="3" t="inlineStr">
        <is>
          <t>3c</t>
        </is>
      </c>
      <c r="D45" s="63">
        <f>COUNTIF(A:A, "ENGR-2300*")</f>
        <v/>
      </c>
      <c r="E45" s="63" t="inlineStr">
        <is>
          <t>ENGR 2300</t>
        </is>
      </c>
      <c r="F45" s="54">
        <f>COUNTIF('3a'!$B$1:$V$1, "ENGR-2300*")</f>
        <v/>
      </c>
      <c r="G45" s="49">
        <f>COUNTIF('3b'!$B$1:$G$1, "ENGR-2300*")</f>
        <v/>
      </c>
      <c r="H45" s="49">
        <f>COUNTIF('3c'!$B$1:$Z$1, "ENGR-2300*")</f>
        <v/>
      </c>
      <c r="I45" s="49">
        <f>COUNTIF('3d'!$B$1:$M$1, "ENGR-2300*")</f>
        <v/>
      </c>
      <c r="J45" s="96">
        <f>COUNTIFS('3e'!$B$1:$P$1, "ENGR-2300*")</f>
        <v/>
      </c>
      <c r="K45" s="49">
        <f>COUNTIF('3f'!$B$1:$M$1, "ENGR-2300*")</f>
        <v/>
      </c>
      <c r="L45" s="55">
        <f>SUM(F45:K45)</f>
        <v/>
      </c>
    </row>
    <row r="46" ht="17.25" customHeight="1" thickBot="1" thickTop="1">
      <c r="A46" s="2" t="inlineStr">
        <is>
          <t>SENG-3210-3</t>
        </is>
      </c>
      <c r="B46" s="3" t="inlineStr">
        <is>
          <t>3c</t>
        </is>
      </c>
      <c r="D46" s="63">
        <f>COUNTIF(A:A, "ENGR-2400*")</f>
        <v/>
      </c>
      <c r="E46" s="63" t="inlineStr">
        <is>
          <t>ENGR 2400</t>
        </is>
      </c>
      <c r="F46" s="54">
        <f>COUNTIF('3a'!$B$1:$V$1, "ENGR-2400*")</f>
        <v/>
      </c>
      <c r="G46" s="49">
        <f>COUNTIF('3b'!$B$1:$G$1, "ENGR-2400*")</f>
        <v/>
      </c>
      <c r="H46" s="49">
        <f>COUNTIF('3c'!$B$1:$Z$1, "ENGR-2400*")</f>
        <v/>
      </c>
      <c r="I46" s="49">
        <f>COUNTIF('3d'!$B$1:$M$1, "ENGR-2400*")</f>
        <v/>
      </c>
      <c r="J46" s="96">
        <f>COUNTIFS('3e'!$B$1:$P$1, "ENGR-2400*")</f>
        <v/>
      </c>
      <c r="K46" s="49">
        <f>COUNTIF('3f'!$B$1:$M$1, "ENGR-2400*")</f>
        <v/>
      </c>
      <c r="L46" s="55">
        <f>SUM(F46:K46)</f>
        <v/>
      </c>
    </row>
    <row r="47" ht="17.25" customHeight="1" thickBot="1" thickTop="1">
      <c r="A47" s="2" t="inlineStr">
        <is>
          <t>SENG-3210-5</t>
        </is>
      </c>
      <c r="B47" s="3" t="inlineStr">
        <is>
          <t>3c</t>
        </is>
      </c>
      <c r="D47" s="63">
        <f>COUNTIF(A:A, "ENGR-3300*")</f>
        <v/>
      </c>
      <c r="E47" s="63" t="inlineStr">
        <is>
          <t>ENGR 3300</t>
        </is>
      </c>
      <c r="F47" s="54">
        <f>COUNTIF('3a'!$B$1:$V$1, "ENGR-3300*")</f>
        <v/>
      </c>
      <c r="G47" s="49">
        <f>COUNTIF('3b'!$B$1:$G$1, "ENGR-3300*")</f>
        <v/>
      </c>
      <c r="H47" s="49">
        <f>COUNTIF('3c'!$B$1:$Z$1, "ENGR-3300*")</f>
        <v/>
      </c>
      <c r="I47" s="49">
        <f>COUNTIF('3d'!$B$1:$M$1, "ENGR-3300*")</f>
        <v/>
      </c>
      <c r="J47" s="96">
        <f>COUNTIFS('3e'!$B$1:$P$1, "ENGR-3300*")</f>
        <v/>
      </c>
      <c r="K47" s="49">
        <f>COUNTIF('3f'!$B$1:$M$1, "ENGR-3300*")</f>
        <v/>
      </c>
      <c r="L47" s="55">
        <f>SUM(F47:K47)</f>
        <v/>
      </c>
    </row>
    <row r="48" ht="17.25" customHeight="1" thickBot="1" thickTop="1">
      <c r="A48" s="2" t="inlineStr">
        <is>
          <t>SENG-4110-2</t>
        </is>
      </c>
      <c r="B48" s="4" t="inlineStr">
        <is>
          <t>3c</t>
        </is>
      </c>
      <c r="D48" s="63">
        <f>COUNTIF(A:A, "EPHY-1170*")</f>
        <v/>
      </c>
      <c r="E48" s="64" t="inlineStr">
        <is>
          <t xml:space="preserve">EPHY 1170 </t>
        </is>
      </c>
      <c r="F48" s="70">
        <f>COUNTIF('3a'!$B$1:$V$1, "EPHY-1170*")</f>
        <v/>
      </c>
      <c r="G48" s="49">
        <f>COUNTIF('3b'!$B$1:$G$1, "EPHY-1170*")</f>
        <v/>
      </c>
      <c r="H48" s="49">
        <f>COUNTIF('3c'!$B$1:$Z$1, "EPHY-1170*")</f>
        <v/>
      </c>
      <c r="I48" s="49">
        <f>COUNTIF('3d'!$B$1:$M$1, "EPHY-1170*")</f>
        <v/>
      </c>
      <c r="J48" s="96">
        <f>COUNTIFS('3e'!$B$1:$P$1, "EPHY-1170*")</f>
        <v/>
      </c>
      <c r="K48" s="49">
        <f>COUNTIF('3f'!$B$1:$M$1, "EPHY-1170*")</f>
        <v/>
      </c>
      <c r="L48" s="71">
        <f>SUM(F48:K48)</f>
        <v/>
      </c>
    </row>
    <row r="49" ht="17.25" customHeight="1" thickBot="1" thickTop="1">
      <c r="A49" s="2" t="inlineStr">
        <is>
          <t>SENG-4130-6</t>
        </is>
      </c>
      <c r="B49" s="4" t="inlineStr">
        <is>
          <t>3c</t>
        </is>
      </c>
      <c r="D49" s="63">
        <f>COUNTIF(A:A, "EPHY-1270*")</f>
        <v/>
      </c>
      <c r="E49" s="63" t="inlineStr">
        <is>
          <t>EPHY 1270</t>
        </is>
      </c>
      <c r="F49" s="93">
        <f>COUNTIF('3a'!$B$1:$V$1, "EPHY-1270*")</f>
        <v/>
      </c>
      <c r="G49" s="49">
        <f>COUNTIF('3b'!$B$1:$G$1, "EPHY-1270*")</f>
        <v/>
      </c>
      <c r="H49" s="49">
        <f>COUNTIF('3c'!$B$1:$Z$1, "EPHY-1270*")</f>
        <v/>
      </c>
      <c r="I49" s="49">
        <f>COUNTIF('3d'!$B$1:$M$1, "EPHY-1270*")</f>
        <v/>
      </c>
      <c r="J49" s="96">
        <f>COUNTIFS('3e'!$B$1:$P$1, "EPHY-1270*")</f>
        <v/>
      </c>
      <c r="K49" s="49">
        <f>COUNTIF('3f'!$B$1:$M$1, "EPHY-1270*")</f>
        <v/>
      </c>
      <c r="L49" s="50">
        <f>SUM(F49:K49)</f>
        <v/>
      </c>
    </row>
    <row r="50" ht="17.25" customHeight="1" thickBot="1" thickTop="1">
      <c r="A50" s="2" t="inlineStr">
        <is>
          <t>SENG-4230-3</t>
        </is>
      </c>
      <c r="B50" s="4" t="inlineStr">
        <is>
          <t>3c</t>
        </is>
      </c>
      <c r="D50" s="63">
        <f>COUNTIF(A:A, "EPHY-1700*")</f>
        <v/>
      </c>
      <c r="E50" s="63" t="inlineStr">
        <is>
          <t>EPHY 1700</t>
        </is>
      </c>
      <c r="F50" s="72">
        <f>COUNTIF('3a'!$B$1:$V$1, "EPHY-1700*")</f>
        <v/>
      </c>
      <c r="G50" s="49">
        <f>COUNTIF('3b'!$B$1:$G$1, "EPHY-1700*")</f>
        <v/>
      </c>
      <c r="H50" s="49">
        <f>COUNTIF('3c'!$B$1:$Z$1, "EPHY-1700*")</f>
        <v/>
      </c>
      <c r="I50" s="49">
        <f>COUNTIF('3d'!$B$1:$M$1, "EPHY-1700*")</f>
        <v/>
      </c>
      <c r="J50" s="96">
        <f>COUNTIFS('3e'!$B$1:$P$1, "EPHY-1700*")</f>
        <v/>
      </c>
      <c r="K50" s="49">
        <f>COUNTIF('3f'!$B$1:$M$1, "EPHY-1700*")</f>
        <v/>
      </c>
      <c r="L50" s="73">
        <f>SUM(F50:K50)</f>
        <v/>
      </c>
    </row>
    <row r="51" ht="17.25" customHeight="1" thickBot="1" thickTop="1">
      <c r="A51" s="2" t="inlineStr">
        <is>
          <t>SENG-4230-4</t>
        </is>
      </c>
      <c r="B51" s="4" t="inlineStr">
        <is>
          <t>3c</t>
        </is>
      </c>
      <c r="D51" s="63">
        <f>COUNTIF(A:A, "EPHY-2200*")</f>
        <v/>
      </c>
      <c r="E51" s="63" t="inlineStr">
        <is>
          <t>EPHY 2200</t>
        </is>
      </c>
      <c r="F51" s="49">
        <f>COUNTIF('3a'!$B$1:$V$1, "EPHY-2200*")</f>
        <v/>
      </c>
      <c r="G51" s="49">
        <f>COUNTIF('3b'!$B$1:$G$1, "EPHY-2200*")</f>
        <v/>
      </c>
      <c r="H51" s="49">
        <f>COUNTIF('3c'!$B$1:$Z$1, "EPHY-2200*")</f>
        <v/>
      </c>
      <c r="I51" s="49">
        <f>COUNTIF('3d'!$B$1:$M$1, "EPHY-2200*")</f>
        <v/>
      </c>
      <c r="J51" s="96">
        <f>COUNTIFS('3e'!$B$1:$P$1, "EPHY-2200*")</f>
        <v/>
      </c>
      <c r="K51" s="49">
        <f>COUNTIF('3f'!$B$1:$M$1, "EPHY-2200*")</f>
        <v/>
      </c>
      <c r="L51" s="50">
        <f>SUM(F51:K51)</f>
        <v/>
      </c>
    </row>
    <row r="52" ht="17.25" customHeight="1" thickBot="1" thickTop="1">
      <c r="A52" s="2" t="inlineStr">
        <is>
          <t>SENG-4140-2</t>
        </is>
      </c>
      <c r="B52" s="3" t="inlineStr">
        <is>
          <t>3c</t>
        </is>
      </c>
      <c r="D52" s="63">
        <f>COUNTIF(A:A, "EPHY-2300*")</f>
        <v/>
      </c>
      <c r="E52" s="65" t="inlineStr">
        <is>
          <t>EPHY 2300</t>
        </is>
      </c>
      <c r="F52" s="54">
        <f>COUNTIF('3a'!$B$1:$V$1, "EPHY-2300*")</f>
        <v/>
      </c>
      <c r="G52" s="49">
        <f>COUNTIF('3b'!$B$1:$G$1, "EPHY-2300*")</f>
        <v/>
      </c>
      <c r="H52" s="49">
        <f>COUNTIF('3c'!$B$1:$Z$1, "EPHY-2300*")</f>
        <v/>
      </c>
      <c r="I52" s="49">
        <f>COUNTIF('3d'!$B$1:$M$1, "EPHY-2300*")</f>
        <v/>
      </c>
      <c r="J52" s="96">
        <f>COUNTIFS('3e'!$B$1:$P$1, "EPHY-2300*")</f>
        <v/>
      </c>
      <c r="K52" s="49">
        <f>COUNTIF('3f'!$B$1:$M$1, "EPHY-2300*")</f>
        <v/>
      </c>
      <c r="L52" s="55">
        <f>SUM(F52:K52)</f>
        <v/>
      </c>
    </row>
    <row r="53" ht="17.25" customHeight="1" thickBot="1" thickTop="1">
      <c r="A53" s="2" t="inlineStr">
        <is>
          <t>SENG-4650-2</t>
        </is>
      </c>
      <c r="B53" s="3" t="inlineStr">
        <is>
          <t>3c</t>
        </is>
      </c>
      <c r="D53" s="63">
        <f>COUNTIF(A:A, "MATH-1130*")</f>
        <v/>
      </c>
      <c r="E53" s="66" t="inlineStr">
        <is>
          <t xml:space="preserve">MATH 1130 </t>
        </is>
      </c>
      <c r="F53" s="49">
        <f>COUNTIF('3a'!$B$1:$V$1, "MATH-1130*")</f>
        <v/>
      </c>
      <c r="G53" s="49">
        <f>COUNTIF('3b'!$B$1:$G$1, "MATH-1130*")</f>
        <v/>
      </c>
      <c r="H53" s="49">
        <f>COUNTIF('3c'!$B$1:$Z$1, "MATH-1130*")</f>
        <v/>
      </c>
      <c r="I53" s="49">
        <f>COUNTIF('3d'!$B$1:$M$1, "MATH-1130*")</f>
        <v/>
      </c>
      <c r="J53" s="96">
        <f>COUNTIFS('3e'!$B$1:$P$1, "MATH-1130*")</f>
        <v/>
      </c>
      <c r="K53" s="49">
        <f>COUNTIF('3f'!$B$1:$M$1, "MATH-1130'*")</f>
        <v/>
      </c>
      <c r="L53" s="50">
        <f>SUM(F53:K53)</f>
        <v/>
      </c>
    </row>
    <row r="54" ht="17.25" customHeight="1" thickBot="1" thickTop="1">
      <c r="A54" s="2" t="inlineStr">
        <is>
          <t>SENG-4660-2</t>
        </is>
      </c>
      <c r="B54" s="3" t="inlineStr">
        <is>
          <t>3c</t>
        </is>
      </c>
      <c r="D54" s="63">
        <f>COUNTIF(A:A, "MATH-1230*")</f>
        <v/>
      </c>
      <c r="E54" s="63" t="inlineStr">
        <is>
          <t>MATH 1230</t>
        </is>
      </c>
      <c r="F54" s="49">
        <f>COUNTIF('3a'!$B$1:$V$1, "MATH-1230*")</f>
        <v/>
      </c>
      <c r="G54" s="49">
        <f>COUNTIF('3b'!$B$1:$G$1, "MATH-1230*")</f>
        <v/>
      </c>
      <c r="H54" s="49">
        <f>COUNTIF('3c'!$B$1:$Z$1, "MATH-1230*")</f>
        <v/>
      </c>
      <c r="I54" s="49">
        <f>COUNTIF('3d'!$B$1:$M$1, "MATH-1230*")</f>
        <v/>
      </c>
      <c r="J54" s="96">
        <f>COUNTIFS('3e'!$B$1:$P$1, "MATH-1230*")</f>
        <v/>
      </c>
      <c r="K54" s="49">
        <f>COUNTIF('3f'!$B$1:$M$1, "MATH-1230*")</f>
        <v/>
      </c>
      <c r="L54" s="50">
        <f>SUM(F54:K54)</f>
        <v/>
      </c>
    </row>
    <row r="55" ht="17.25" customHeight="1" thickBot="1" thickTop="1">
      <c r="A55" s="2" t="inlineStr">
        <is>
          <t>CENG-4320-2</t>
        </is>
      </c>
      <c r="B55" s="3" t="inlineStr">
        <is>
          <t>3c</t>
        </is>
      </c>
      <c r="D55" s="63">
        <f>COUNTIF(A:A, "MATH-1300*")</f>
        <v/>
      </c>
      <c r="E55" s="65" t="inlineStr">
        <is>
          <t xml:space="preserve">MATH 1300 </t>
        </is>
      </c>
      <c r="F55" s="49">
        <f>COUNTIF('3a'!$B$1:$V$1, "MATH-1300*")</f>
        <v/>
      </c>
      <c r="G55" s="49">
        <f>COUNTIF('3b'!$B$1:$G$1, "MATH-1300*")</f>
        <v/>
      </c>
      <c r="H55" s="49">
        <f>COUNTIF('3c'!$B$1:$Z$1, "MATH-1300*")</f>
        <v/>
      </c>
      <c r="I55" s="49">
        <f>COUNTIF('3d'!$B$1:$M$1, "MATH-1300*")</f>
        <v/>
      </c>
      <c r="J55" s="96">
        <f>COUNTIFS('3e'!$B$1:$P$1, "MATH-1300*")</f>
        <v/>
      </c>
      <c r="K55" s="49">
        <f>COUNTIF('3f'!$B$1:$M$1, "MATH-1300*")</f>
        <v/>
      </c>
      <c r="L55" s="50">
        <f>SUM(F55:K55)</f>
        <v/>
      </c>
    </row>
    <row r="56" ht="17.25" customHeight="1" thickBot="1" thickTop="1">
      <c r="A56" s="2" t="inlineStr">
        <is>
          <t>EPHY-1170-7</t>
        </is>
      </c>
      <c r="B56" s="4" t="inlineStr">
        <is>
          <t>3d</t>
        </is>
      </c>
      <c r="D56" s="63">
        <f>COUNTIF(A:A, "MATH-1700*")</f>
        <v/>
      </c>
      <c r="E56" s="66" t="inlineStr">
        <is>
          <t>MATH 1700</t>
        </is>
      </c>
      <c r="F56" s="49">
        <f>COUNTIF('3a'!$B$1:$V$1, "MATH-1700*")</f>
        <v/>
      </c>
      <c r="G56" s="49">
        <f>COUNTIF('3b'!$B$1:$G$1, "MATH-1700*")</f>
        <v/>
      </c>
      <c r="H56" s="49">
        <f>COUNTIF('3c'!$B$1:$Z$1, "MATH-1700*")</f>
        <v/>
      </c>
      <c r="I56" s="49">
        <f>COUNTIF('3d'!$B$1:$M$1, "MATH-1700*")</f>
        <v/>
      </c>
      <c r="J56" s="96">
        <f>COUNTIFS('3e'!$B$1:$P$1, "MATH-1700*")</f>
        <v/>
      </c>
      <c r="K56" s="49">
        <f>COUNTIF('3f'!$B$1:$M$1, "MATH-1700*")</f>
        <v/>
      </c>
      <c r="L56" s="50">
        <f>SUM(F56:K56)</f>
        <v/>
      </c>
    </row>
    <row r="57" ht="17.25" customHeight="1" thickBot="1" thickTop="1">
      <c r="A57" s="2" t="inlineStr">
        <is>
          <t>MATH-1130-4</t>
        </is>
      </c>
      <c r="B57" s="4" t="inlineStr">
        <is>
          <t>3d</t>
        </is>
      </c>
      <c r="D57" s="63">
        <f>COUNTIF(A:A, "PHYS-2150*")</f>
        <v/>
      </c>
      <c r="E57" s="66" t="inlineStr">
        <is>
          <t>PHYS 2150</t>
        </is>
      </c>
      <c r="F57" s="49">
        <f>COUNTIF('3a'!$B$1:$V$1, "PHYS-2150*")</f>
        <v/>
      </c>
      <c r="G57" s="49">
        <f>COUNTIF('3b'!$B$1:$G$1, "PHYS-2150*")</f>
        <v/>
      </c>
      <c r="H57" s="49">
        <f>COUNTIF('3c'!$B$1:$Z$1, "PHYS-2150*")</f>
        <v/>
      </c>
      <c r="I57" s="49">
        <f>COUNTIF('3d'!$B$1:$M$1, "PHYS-2150*")</f>
        <v/>
      </c>
      <c r="J57" s="96">
        <f>COUNTIFS('3e'!$B$1:$P$1, "PHYS-2150*")</f>
        <v/>
      </c>
      <c r="K57" s="49">
        <f>COUNTIF('3f'!$B$1:$M$1, "PHYS-2150*")</f>
        <v/>
      </c>
      <c r="L57" s="50">
        <f>SUM(F57:K57)</f>
        <v/>
      </c>
    </row>
    <row r="58" ht="17.25" customHeight="1" thickBot="1" thickTop="1">
      <c r="A58" s="2" t="inlineStr">
        <is>
          <t>STAT-2230-2</t>
        </is>
      </c>
      <c r="B58" s="4" t="inlineStr">
        <is>
          <t>3d</t>
        </is>
      </c>
      <c r="D58" s="63">
        <f>COUNTIF(A:A, "SENG-1110*")</f>
        <v/>
      </c>
      <c r="E58" s="66" t="inlineStr">
        <is>
          <t>SENG 1110</t>
        </is>
      </c>
      <c r="F58" s="49">
        <f>COUNTIF('3a'!$B$1:$V$1, "SENG-1110*")</f>
        <v/>
      </c>
      <c r="G58" s="49">
        <f>COUNTIF('3b'!$B$1:$G$1, "SENG-1110*")</f>
        <v/>
      </c>
      <c r="H58" s="49">
        <f>COUNTIF('3c'!$B$1:$Z$1, "SENG-1110*")</f>
        <v/>
      </c>
      <c r="I58" s="49">
        <f>COUNTIF('3d'!$B$1:$M$1, "SENG-1110*")</f>
        <v/>
      </c>
      <c r="J58" s="96">
        <f>COUNTIFS('3e'!$B$1:$P$1, "SENG-1110*")</f>
        <v/>
      </c>
      <c r="K58" s="49">
        <f>COUNTIF('3f'!$B$1:$M$1, "SENG-1110*")</f>
        <v/>
      </c>
      <c r="L58" s="50">
        <f>SUM(F58:K58)</f>
        <v/>
      </c>
    </row>
    <row r="59" ht="17.25" customHeight="1" thickBot="1" thickTop="1">
      <c r="A59" s="2" t="inlineStr">
        <is>
          <t>SENG-3110-5</t>
        </is>
      </c>
      <c r="B59" s="4" t="inlineStr">
        <is>
          <t>3d</t>
        </is>
      </c>
      <c r="D59" s="63">
        <f>COUNTIF(A:A, "SENG-1210*")</f>
        <v/>
      </c>
      <c r="E59" s="67" t="inlineStr">
        <is>
          <t>SENG 1210</t>
        </is>
      </c>
      <c r="F59" s="69">
        <f>COUNTIF('3a'!$B$1:$V$1, "SENG-1210*")</f>
        <v/>
      </c>
      <c r="G59" s="49">
        <f>COUNTIF('3b'!$B$1:$G$1, "SENG-1210*")</f>
        <v/>
      </c>
      <c r="H59" s="49">
        <f>COUNTIF('3c'!$B$1:$Z$1, "SENG-1210*")</f>
        <v/>
      </c>
      <c r="I59" s="49">
        <f>COUNTIF('3d'!$B$1:$M$1, "SENG-1210*")</f>
        <v/>
      </c>
      <c r="J59" s="96">
        <f>COUNTIFS('3e'!$B$1:$P$1, "SENG-1210*")</f>
        <v/>
      </c>
      <c r="K59" s="49">
        <f>COUNTIF('3f'!$B$1:$M$1, "SENG-1210*")</f>
        <v/>
      </c>
      <c r="L59" s="71">
        <f>SUM(F59:K59)</f>
        <v/>
      </c>
    </row>
    <row r="60" ht="17.25" customHeight="1" thickBot="1" thickTop="1">
      <c r="A60" s="2" t="inlineStr">
        <is>
          <t>SENG-4120-4</t>
        </is>
      </c>
      <c r="B60" s="4" t="inlineStr">
        <is>
          <t>3d</t>
        </is>
      </c>
      <c r="D60" s="63">
        <f>COUNTIF(A:A, "SENG-3110*")</f>
        <v/>
      </c>
      <c r="E60" s="63" t="inlineStr">
        <is>
          <t>SENG 3110</t>
        </is>
      </c>
      <c r="F60" s="49">
        <f>COUNTIF('3a'!$B$1:$V$1, "SENG-3110*")</f>
        <v/>
      </c>
      <c r="G60" s="49">
        <f>COUNTIF('3b'!$B$1:$G$1, "SENG-3110*")</f>
        <v/>
      </c>
      <c r="H60" s="49">
        <f>COUNTIF('3c'!$B$1:$Z$1, "SENG-3110*")</f>
        <v/>
      </c>
      <c r="I60" s="49">
        <f>COUNTIF('3d'!$B$1:$M$1, "SENG-3110*")</f>
        <v/>
      </c>
      <c r="J60" s="96">
        <f>COUNTIFS('3e'!$B$1:$P$1, "SENG-3110*")</f>
        <v/>
      </c>
      <c r="K60" s="49">
        <f>COUNTIF('3f'!$B$1:$M$1, "SENG-3110*")</f>
        <v/>
      </c>
      <c r="L60" s="50">
        <f>SUM(F60:K60)</f>
        <v/>
      </c>
    </row>
    <row r="61" ht="17.25" customHeight="1" thickBot="1" thickTop="1">
      <c r="A61" s="2" t="inlineStr">
        <is>
          <t>SENG-4120-5</t>
        </is>
      </c>
      <c r="B61" s="4" t="inlineStr">
        <is>
          <t>3d</t>
        </is>
      </c>
      <c r="D61" s="63">
        <f>COUNTIF(A:A, "SENG-3120*")</f>
        <v/>
      </c>
      <c r="E61" s="63" t="inlineStr">
        <is>
          <t>SENG 3120</t>
        </is>
      </c>
      <c r="F61" s="49">
        <f>COUNTIF('3a'!$B$1:$V$1, "SENG-3120*")</f>
        <v/>
      </c>
      <c r="G61" s="49">
        <f>COUNTIF('3b'!$B$1:$G$1, "SENG-3120*")</f>
        <v/>
      </c>
      <c r="H61" s="49">
        <f>COUNTIF('3c'!$B$1:$Z$1, "SENG-3120*")</f>
        <v/>
      </c>
      <c r="I61" s="49">
        <f>COUNTIF('3d'!$B$1:$M$1, "SENG-3120*")</f>
        <v/>
      </c>
      <c r="J61" s="96">
        <f>COUNTIFS('3e'!$B$1:$P$1, "SENG-3120*")</f>
        <v/>
      </c>
      <c r="K61" s="49">
        <f>COUNTIF('3f'!$B$1:$M$1, "SENG-3120*")</f>
        <v/>
      </c>
      <c r="L61" s="50">
        <f>SUM(F61:K61)</f>
        <v/>
      </c>
    </row>
    <row r="62" ht="17.25" customHeight="1" thickBot="1" thickTop="1">
      <c r="A62" s="2" t="inlineStr">
        <is>
          <t>SENG-4110-5</t>
        </is>
      </c>
      <c r="B62" s="4" t="inlineStr">
        <is>
          <t>3d</t>
        </is>
      </c>
      <c r="C62" s="77" t="n"/>
      <c r="D62" s="63">
        <f>COUNTIF(A:A, "SENG-3130*")</f>
        <v/>
      </c>
      <c r="E62" s="63" t="inlineStr">
        <is>
          <t>SENG 3130</t>
        </is>
      </c>
      <c r="F62" s="49">
        <f>COUNTIF('3a'!$B$1:$V$1, "SENG-3130*")</f>
        <v/>
      </c>
      <c r="G62" s="49">
        <f>COUNTIF('3b'!$B$1:$G$1, "SENG-3130*")</f>
        <v/>
      </c>
      <c r="H62" s="49">
        <f>COUNTIF('3c'!$B$1:$Z$1, "SENG-3130*")</f>
        <v/>
      </c>
      <c r="I62" s="49">
        <f>COUNTIF('3d'!$B$1:$M$1, "SENG-3130*")</f>
        <v/>
      </c>
      <c r="J62" s="96">
        <f>COUNTIFS('3e'!$B$1:$P$1, "SENG-3130*")</f>
        <v/>
      </c>
      <c r="K62" s="49">
        <f>COUNTIF('3f'!$B$1:$M$1, "SENG-3130*")</f>
        <v/>
      </c>
      <c r="L62" s="50">
        <f>SUM(F62:K62)</f>
        <v/>
      </c>
      <c r="M62" s="156" t="n"/>
    </row>
    <row r="63" ht="17.25" customHeight="1" thickBot="1" thickTop="1">
      <c r="A63" s="2" t="inlineStr">
        <is>
          <t>SENG-4130-5</t>
        </is>
      </c>
      <c r="B63" s="4" t="inlineStr">
        <is>
          <t>3d</t>
        </is>
      </c>
      <c r="C63" s="77" t="n"/>
      <c r="D63" s="63">
        <f>COUNTIF(A:A, "SENG-3210*")</f>
        <v/>
      </c>
      <c r="E63" s="63" t="inlineStr">
        <is>
          <t>SENG 3210</t>
        </is>
      </c>
      <c r="F63" s="49">
        <f>COUNTIF('3a'!$B$1:$V$1, "SENG-3210*")</f>
        <v/>
      </c>
      <c r="G63" s="49">
        <f>COUNTIF('3b'!$B$1:$G$1, "SENG-3210*")</f>
        <v/>
      </c>
      <c r="H63" s="49">
        <f>COUNTIF('3c'!$B$1:$Z$1, "SENG-3210*")</f>
        <v/>
      </c>
      <c r="I63" s="49">
        <f>COUNTIF('3d'!$B$1:$M$1, "SENG-3210*")</f>
        <v/>
      </c>
      <c r="J63" s="96">
        <f>COUNTIFS('3e'!$B$1:$P$1, "SENG-3210*")</f>
        <v/>
      </c>
      <c r="K63" s="49">
        <f>COUNTIF('3f'!$B$1:$M$1, "SENG-3210*")</f>
        <v/>
      </c>
      <c r="L63" s="50">
        <f>SUM(F63:K63)</f>
        <v/>
      </c>
      <c r="M63" s="156" t="n"/>
    </row>
    <row r="64" ht="17.25" customHeight="1" thickBot="1" thickTop="1">
      <c r="A64" s="2" t="inlineStr">
        <is>
          <t>SENG-4620-3</t>
        </is>
      </c>
      <c r="B64" s="3" t="inlineStr">
        <is>
          <t>3d</t>
        </is>
      </c>
      <c r="C64" s="77" t="n"/>
      <c r="D64" s="63">
        <f>COUNTIF(A:A, "SENG-4100*")</f>
        <v/>
      </c>
      <c r="E64" s="68" t="inlineStr">
        <is>
          <t>SENG 4100</t>
        </is>
      </c>
      <c r="F64" s="74">
        <f>COUNTIF('3a'!$B$1:$V$1, "SENG-4100*")</f>
        <v/>
      </c>
      <c r="G64" s="49">
        <f>COUNTIF('3b'!$B$1:$G$1, "SENG-4100*")</f>
        <v/>
      </c>
      <c r="H64" s="49">
        <f>COUNTIF('3c'!$B$1:$Z$1, "SENG-4100*")</f>
        <v/>
      </c>
      <c r="I64" s="49">
        <f>COUNTIF('3d'!$B$1:$M$1, "SENG-4100*")</f>
        <v/>
      </c>
      <c r="J64" s="96">
        <f>COUNTIFS('3e'!$B$1:$P$1, "SENG-4100*")</f>
        <v/>
      </c>
      <c r="K64" s="49">
        <f>COUNTIF('3f'!$B$1:$M$1, "SENG-4100*")</f>
        <v/>
      </c>
      <c r="L64" s="55">
        <f>SUM(F64:K64)</f>
        <v/>
      </c>
      <c r="M64" s="156" t="n"/>
    </row>
    <row r="65" ht="17.25" customHeight="1" thickBot="1" thickTop="1">
      <c r="A65" s="2" t="inlineStr">
        <is>
          <t>SENG-4650-4</t>
        </is>
      </c>
      <c r="B65" s="3" t="inlineStr">
        <is>
          <t>3d</t>
        </is>
      </c>
      <c r="C65" s="77" t="n"/>
      <c r="D65" s="63">
        <f>COUNTIF(A:A, "SENG-4110*")</f>
        <v/>
      </c>
      <c r="E65" s="68" t="inlineStr">
        <is>
          <t>SENG 4110</t>
        </is>
      </c>
      <c r="F65" s="74">
        <f>COUNTIF('3a'!$B$1:$V$1, "SENG-4110*")</f>
        <v/>
      </c>
      <c r="G65" s="49">
        <f>COUNTIF('3b'!$B$1:$G$1, "SENG-4110*")</f>
        <v/>
      </c>
      <c r="H65" s="49">
        <f>COUNTIF('3c'!$B$1:$Z$1, "SENG-4110*")</f>
        <v/>
      </c>
      <c r="I65" s="49">
        <f>COUNTIF('3d'!$B$1:$M$1, "SENG-4110*")</f>
        <v/>
      </c>
      <c r="J65" s="96">
        <f>COUNTIFS('3e'!$B$1:$P$1, "SENG-4110*")</f>
        <v/>
      </c>
      <c r="K65" s="49">
        <f>COUNTIF('3f'!$B$1:$M$1, "SENG-4110*")</f>
        <v/>
      </c>
      <c r="L65" s="55">
        <f>SUM(F65:K65)</f>
        <v/>
      </c>
      <c r="M65" s="156" t="n"/>
    </row>
    <row r="66" ht="17.25" customHeight="1" thickBot="1" thickTop="1">
      <c r="A66" s="2" t="inlineStr">
        <is>
          <t>SENG-4660-3</t>
        </is>
      </c>
      <c r="B66" s="3" t="inlineStr">
        <is>
          <t>3d</t>
        </is>
      </c>
      <c r="C66" s="77" t="n"/>
      <c r="D66" s="63">
        <f>COUNTIF(A:A, "SENG-4120*")</f>
        <v/>
      </c>
      <c r="E66" s="68" t="inlineStr">
        <is>
          <t>SENG 4120</t>
        </is>
      </c>
      <c r="F66" s="74">
        <f>COUNTIF('3a'!$B$1:$V$1, "SENG-4120*")</f>
        <v/>
      </c>
      <c r="G66" s="49">
        <f>COUNTIF('3b'!$B$1:$G$1, "SENG-4120*")</f>
        <v/>
      </c>
      <c r="H66" s="49">
        <f>COUNTIF('3c'!$B$1:$Z$1, "SENG-4120*")</f>
        <v/>
      </c>
      <c r="I66" s="49">
        <f>COUNTIF('3d'!$B$1:$M$1, "SENG-4120*")</f>
        <v/>
      </c>
      <c r="J66" s="96">
        <f>COUNTIFS('3e'!$B$1:$P$1, "SENG-4120*")</f>
        <v/>
      </c>
      <c r="K66" s="49">
        <f>COUNTIF('3f'!$B$1:$M$1, "SENG-4120*")</f>
        <v/>
      </c>
      <c r="L66" s="55">
        <f>SUM(F66:K66)</f>
        <v/>
      </c>
      <c r="M66" s="156" t="n"/>
    </row>
    <row r="67" ht="17.25" customHeight="1" thickBot="1" thickTop="1">
      <c r="A67" s="2" t="inlineStr">
        <is>
          <t>CENG-4320-3</t>
        </is>
      </c>
      <c r="B67" s="3" t="inlineStr">
        <is>
          <t>3d</t>
        </is>
      </c>
      <c r="C67" s="77" t="n"/>
      <c r="D67" s="63">
        <f>COUNTIF(A:A, "SENG-4130*")</f>
        <v/>
      </c>
      <c r="E67" s="63" t="inlineStr">
        <is>
          <t>SENG 4130</t>
        </is>
      </c>
      <c r="F67" s="75">
        <f>COUNTIF('3a'!$B$1:$V$1, "SENG-4130*")</f>
        <v/>
      </c>
      <c r="G67" s="49">
        <f>COUNTIF('3b'!$B$1:$G$1, "SENG-4130*")</f>
        <v/>
      </c>
      <c r="H67" s="49">
        <f>COUNTIF('3c'!$B$1:$Z$1, "SENG-4130*")</f>
        <v/>
      </c>
      <c r="I67" s="49">
        <f>COUNTIF('3d'!$B$1:$M$1, "SENG-4130*")</f>
        <v/>
      </c>
      <c r="J67" s="96">
        <f>COUNTIFS('3e'!$B$1:$P$1, "SENG-4130*")</f>
        <v/>
      </c>
      <c r="K67" s="49">
        <f>COUNTIF('3f'!$B$1:$M$1, "SENG-4130*")</f>
        <v/>
      </c>
      <c r="L67" s="50">
        <f>SUM(F67:K67)</f>
        <v/>
      </c>
      <c r="M67" s="156" t="n"/>
    </row>
    <row r="68" ht="17.25" customHeight="1" thickBot="1" thickTop="1">
      <c r="A68" s="2" t="inlineStr">
        <is>
          <t>EPHY-1170-4</t>
        </is>
      </c>
      <c r="B68" s="4" t="inlineStr">
        <is>
          <t>3e</t>
        </is>
      </c>
      <c r="C68" s="77" t="n"/>
      <c r="D68" s="63">
        <f>COUNTIF(A:A, "SENG-4140*")</f>
        <v/>
      </c>
      <c r="E68" s="63" t="inlineStr">
        <is>
          <t>SENG 4140</t>
        </is>
      </c>
      <c r="F68" s="75">
        <f>COUNTIF('3a'!$B$1:$V$1, "SENG-4140*")</f>
        <v/>
      </c>
      <c r="G68" s="49">
        <f>COUNTIF('3b'!$B$1:$G$1, "SENG-4140*")</f>
        <v/>
      </c>
      <c r="H68" s="49">
        <f>COUNTIF('3c'!$B$1:$Z$1, "SENG-4140*")</f>
        <v/>
      </c>
      <c r="I68" s="49">
        <f>COUNTIF('3d'!$B$1:$M$1, "SENG-4140*")</f>
        <v/>
      </c>
      <c r="J68" s="96">
        <f>COUNTIFS('3e'!$B$1:$P$1, "SENG-4140*")</f>
        <v/>
      </c>
      <c r="K68" s="49">
        <f>COUNTIF('3f'!$B$1:$M$1, "SENG-4140*")</f>
        <v/>
      </c>
      <c r="L68" s="50">
        <f>SUM(F68:K68)</f>
        <v/>
      </c>
      <c r="M68" s="156" t="n"/>
    </row>
    <row r="69" ht="17.25" customHeight="1" thickBot="1" thickTop="1">
      <c r="A69" s="2" t="inlineStr">
        <is>
          <t>EPHY-1170-8</t>
        </is>
      </c>
      <c r="B69" s="4" t="inlineStr">
        <is>
          <t>3e</t>
        </is>
      </c>
      <c r="C69" s="77" t="n"/>
      <c r="D69" s="63">
        <f>COUNTIF(A:A, "SENG-4220*")</f>
        <v/>
      </c>
      <c r="E69" s="63" t="inlineStr">
        <is>
          <t>SENG 4220</t>
        </is>
      </c>
      <c r="F69" s="75">
        <f>COUNTIF('3a'!$B$1:$V$1, "SENG-4220*")</f>
        <v/>
      </c>
      <c r="G69" s="49">
        <f>COUNTIF('3b'!$B$1:$G$1, "SENG-4220*")</f>
        <v/>
      </c>
      <c r="H69" s="49">
        <f>COUNTIF('3c'!$B$1:$Z$1, "SENG-4220*")</f>
        <v/>
      </c>
      <c r="I69" s="49">
        <f>COUNTIF('3d'!$B$1:$M$1, "SENG-4220*")</f>
        <v/>
      </c>
      <c r="J69" s="96">
        <f>COUNTIFS('3e'!$B$1:$P$1, "SENG-4220*")</f>
        <v/>
      </c>
      <c r="K69" s="49">
        <f>COUNTIF('3f'!$B$1:$M$1, "SENG-4220*")</f>
        <v/>
      </c>
      <c r="L69" s="50">
        <f>SUM(F69:K69)</f>
        <v/>
      </c>
      <c r="M69" s="156" t="n"/>
    </row>
    <row r="70" ht="17.25" customHeight="1" thickBot="1" thickTop="1">
      <c r="A70" s="2" t="inlineStr">
        <is>
          <t>EPHY-1270-7</t>
        </is>
      </c>
      <c r="B70" s="4" t="inlineStr">
        <is>
          <t>3e</t>
        </is>
      </c>
      <c r="C70" s="77" t="n"/>
      <c r="D70" s="63">
        <f>COUNTIF(A:A, "SENG-4230*")</f>
        <v/>
      </c>
      <c r="E70" s="63" t="inlineStr">
        <is>
          <t>SENG 4230</t>
        </is>
      </c>
      <c r="F70" s="75">
        <f>COUNTIF('3a'!$B$1:$V$1, "SENG-4230*")</f>
        <v/>
      </c>
      <c r="G70" s="49">
        <f>COUNTIF('3b'!$B$1:$G$1, "SENG-4230*")</f>
        <v/>
      </c>
      <c r="H70" s="49">
        <f>COUNTIF('3c'!$B$1:$Z$1, "SENG-4230*")</f>
        <v/>
      </c>
      <c r="I70" s="49">
        <f>COUNTIF('3d'!$B$1:$M$1, "SENG-4230*")</f>
        <v/>
      </c>
      <c r="J70" s="96">
        <f>COUNTIFS('3e'!$B$1:$P$1, "SENG-4230*")</f>
        <v/>
      </c>
      <c r="K70" s="49">
        <f>COUNTIF('3f'!$B$1:$M$1, "SENG-4230*")</f>
        <v/>
      </c>
      <c r="L70" s="50">
        <f>SUM(F70:K70)</f>
        <v/>
      </c>
      <c r="M70" s="156" t="n"/>
    </row>
    <row r="71" ht="17.25" customHeight="1" thickBot="1" thickTop="1">
      <c r="A71" s="2" t="inlineStr">
        <is>
          <t>EPHY-2200-3</t>
        </is>
      </c>
      <c r="B71" s="4" t="inlineStr">
        <is>
          <t>3e</t>
        </is>
      </c>
      <c r="C71" s="77" t="n"/>
      <c r="D71" s="63">
        <f>COUNTIF(A:A, "SENG-4610*")</f>
        <v/>
      </c>
      <c r="E71" s="63" t="inlineStr">
        <is>
          <t>SENG 4610</t>
        </is>
      </c>
      <c r="F71" s="75">
        <f>COUNTIF('3a'!$B$1:$V$1, "SENG-4610*")</f>
        <v/>
      </c>
      <c r="G71" s="49">
        <f>COUNTIF('3b'!$B$1:$G$1, "SENG-4610*")</f>
        <v/>
      </c>
      <c r="H71" s="49">
        <f>COUNTIF('3c'!$B$1:$Z$1, "SENG-4610*")</f>
        <v/>
      </c>
      <c r="I71" s="49">
        <f>COUNTIF('3d'!$B$1:$M$1, "SENG-4610*")</f>
        <v/>
      </c>
      <c r="J71" s="96">
        <f>COUNTIFS('3e'!$B$1:$P$1, "SENG-4610*")</f>
        <v/>
      </c>
      <c r="K71" s="49">
        <f>COUNTIF('3f'!$B$1:$M$1, "SENG-4610*")</f>
        <v/>
      </c>
      <c r="L71" s="50">
        <f>SUM(F71:K71)</f>
        <v/>
      </c>
      <c r="M71" s="156" t="n"/>
    </row>
    <row r="72" ht="17.25" customHeight="1" thickBot="1" thickTop="1">
      <c r="A72" s="2" t="inlineStr">
        <is>
          <t>STAT-2230-3</t>
        </is>
      </c>
      <c r="B72" s="4" t="inlineStr">
        <is>
          <t>3e</t>
        </is>
      </c>
      <c r="C72" s="77" t="n"/>
      <c r="D72" s="63">
        <f>COUNTIF(A:A, "SENG-4620*")</f>
        <v/>
      </c>
      <c r="E72" s="63" t="inlineStr">
        <is>
          <t>SENG 4620</t>
        </is>
      </c>
      <c r="F72" s="75">
        <f>COUNTIF('3a'!$B$1:$V$1, "SENG-4620*")</f>
        <v/>
      </c>
      <c r="G72" s="49">
        <f>COUNTIF('3b'!$B$1:$G$1, "SENG-4620*")</f>
        <v/>
      </c>
      <c r="H72" s="49">
        <f>COUNTIF('3c'!$B$1:$Z$1, "SENG-4620*")</f>
        <v/>
      </c>
      <c r="I72" s="49">
        <f>COUNTIF('3d'!$B$1:$M$1, "SENG-4620*")</f>
        <v/>
      </c>
      <c r="J72" s="96">
        <f>COUNTIFS('3e'!$B$1:$P$1, "SENG-4620*")</f>
        <v/>
      </c>
      <c r="K72" s="49">
        <f>COUNTIF('3f'!$B$1:$M$1, "SENG-4620*")</f>
        <v/>
      </c>
      <c r="L72" s="50">
        <f>SUM(F72:K72)</f>
        <v/>
      </c>
      <c r="M72" s="156" t="n"/>
    </row>
    <row r="73" ht="17.25" customHeight="1" thickBot="1" thickTop="1">
      <c r="A73" s="2" t="inlineStr">
        <is>
          <t>EPHY-2300-3</t>
        </is>
      </c>
      <c r="B73" s="4" t="inlineStr">
        <is>
          <t>3e</t>
        </is>
      </c>
      <c r="C73" s="77" t="n"/>
      <c r="D73" s="63">
        <f>COUNTIF(A:A, "SENG-4630*")</f>
        <v/>
      </c>
      <c r="E73" s="63" t="inlineStr">
        <is>
          <t>SENG 4630</t>
        </is>
      </c>
      <c r="F73" s="75">
        <f>COUNTIF('3a'!$B$1:$V$1, "SENG-4630*")</f>
        <v/>
      </c>
      <c r="G73" s="49">
        <f>COUNTIF('3b'!$B$1:$G$1, "SENG-4630*")</f>
        <v/>
      </c>
      <c r="H73" s="49">
        <f>COUNTIF('3c'!$B$1:$Z$1, "SENG-4630*")</f>
        <v/>
      </c>
      <c r="I73" s="49">
        <f>COUNTIF('3d'!$B$1:$M$1, "SENG-4630*")</f>
        <v/>
      </c>
      <c r="J73" s="96">
        <f>COUNTIFS('3e'!$B$1:$P$1, "SENG-4630*")</f>
        <v/>
      </c>
      <c r="K73" s="49">
        <f>COUNTIF('3f'!$B$1:$M$1, "SENG-4630*")</f>
        <v/>
      </c>
      <c r="L73" s="50">
        <f>SUM(F73:K73)</f>
        <v/>
      </c>
      <c r="M73" s="156" t="n"/>
    </row>
    <row r="74" ht="17.25" customHeight="1" thickBot="1" thickTop="1">
      <c r="A74" s="2" t="inlineStr">
        <is>
          <t>CHEM-1520-4</t>
        </is>
      </c>
      <c r="B74" s="3" t="inlineStr">
        <is>
          <t>3e</t>
        </is>
      </c>
      <c r="C74" s="77" t="n"/>
      <c r="D74" s="63">
        <f>COUNTIF(A:A, "SENG-4640*")</f>
        <v/>
      </c>
      <c r="E74" s="63" t="inlineStr">
        <is>
          <t>SENG 4640</t>
        </is>
      </c>
      <c r="F74" s="75">
        <f>COUNTIF('3a'!$B$1:$V$1, "SENG-4640*")</f>
        <v/>
      </c>
      <c r="G74" s="49">
        <f>COUNTIF('3b'!$B$1:$G$1, "SENG-4640*")</f>
        <v/>
      </c>
      <c r="H74" s="49">
        <f>COUNTIF('3c'!$B$1:$Z$1, "SENG-4640*")</f>
        <v/>
      </c>
      <c r="I74" s="49">
        <f>COUNTIF('3d'!$B$1:$M$1, "SENG-4640*")</f>
        <v/>
      </c>
      <c r="J74" s="96">
        <f>COUNTIFS('3e'!$B$1:$P$1, "SENG-4640*")</f>
        <v/>
      </c>
      <c r="K74" s="49">
        <f>COUNTIF('3f'!$B$1:$M$1, "SENG-4640*")</f>
        <v/>
      </c>
      <c r="L74" s="50">
        <f>SUM(F74:K74)</f>
        <v/>
      </c>
      <c r="M74" s="156" t="n"/>
    </row>
    <row r="75" ht="17.25" customHeight="1" thickBot="1" thickTop="1">
      <c r="A75" s="2" t="inlineStr">
        <is>
          <t>CHEM-1520-5</t>
        </is>
      </c>
      <c r="B75" s="3" t="inlineStr">
        <is>
          <t>3e</t>
        </is>
      </c>
      <c r="C75" s="77" t="n"/>
      <c r="D75" s="63">
        <f>COUNTIF(A:A, "SENG-4650*")</f>
        <v/>
      </c>
      <c r="E75" s="63" t="inlineStr">
        <is>
          <t>SENG 4650</t>
        </is>
      </c>
      <c r="F75" s="75">
        <f>COUNTIF('3a'!$B$1:$V$1, "SENG-4650*")</f>
        <v/>
      </c>
      <c r="G75" s="49">
        <f>COUNTIF('3b'!$B$1:$G$1, "SENG-4650*")</f>
        <v/>
      </c>
      <c r="H75" s="49">
        <f>COUNTIF('3c'!$B$1:$Z$1, "SENG-4650*")</f>
        <v/>
      </c>
      <c r="I75" s="49">
        <f>COUNTIF('3d'!$B$1:$M$1, "SENG-4650*")</f>
        <v/>
      </c>
      <c r="J75" s="96">
        <f>COUNTIFS('3e'!$B$1:$P$1, "SENG-4650*")</f>
        <v/>
      </c>
      <c r="K75" s="49">
        <f>COUNTIF('3f'!$B$1:$M$1, "SENG-4650*")</f>
        <v/>
      </c>
      <c r="L75" s="50">
        <f>SUM(F75:K75)</f>
        <v/>
      </c>
      <c r="M75" s="156" t="n"/>
    </row>
    <row r="76" ht="17.25" customHeight="1" thickBot="1" thickTop="1">
      <c r="A76" s="2" t="inlineStr">
        <is>
          <t>SENG-3110-4</t>
        </is>
      </c>
      <c r="B76" s="4" t="inlineStr">
        <is>
          <t>3e</t>
        </is>
      </c>
      <c r="C76" s="77" t="n"/>
      <c r="D76" s="63">
        <f>COUNTIF(A:A, "SENG-4660*")</f>
        <v/>
      </c>
      <c r="E76" s="63" t="inlineStr">
        <is>
          <t>SENG 4660</t>
        </is>
      </c>
      <c r="F76" s="75">
        <f>COUNTIF('3a'!$B$1:$V$1, "SENG-4660*")</f>
        <v/>
      </c>
      <c r="G76" s="49">
        <f>COUNTIF('3b'!$B$1:$G$1, "SENG-4660*")</f>
        <v/>
      </c>
      <c r="H76" s="49">
        <f>COUNTIF('3c'!$B$1:$Z$1, "SENG-4660*")</f>
        <v/>
      </c>
      <c r="I76" s="49">
        <f>COUNTIF('3d'!$B$1:$M$1, "SENG-4660*")</f>
        <v/>
      </c>
      <c r="J76" s="96">
        <f>COUNTIFS('3e'!$B$1:$P$1, "SENG-4660*")</f>
        <v/>
      </c>
      <c r="K76" s="49">
        <f>COUNTIF('3f'!$B$1:$M$1, "SENG-4660*")</f>
        <v/>
      </c>
      <c r="L76" s="50">
        <f>SUM(F76:K76)</f>
        <v/>
      </c>
      <c r="M76" s="156" t="n"/>
    </row>
    <row r="77" ht="17.25" customHeight="1" thickBot="1" thickTop="1">
      <c r="A77" s="2" t="inlineStr">
        <is>
          <t>SENG-4120-3</t>
        </is>
      </c>
      <c r="B77" s="4" t="inlineStr">
        <is>
          <t>3e</t>
        </is>
      </c>
      <c r="C77" s="77" t="n"/>
      <c r="D77" s="63">
        <f>COUNTIF(A:A, "STAT-2230*")</f>
        <v/>
      </c>
      <c r="E77" s="63" t="inlineStr">
        <is>
          <t xml:space="preserve">STAT 2230 </t>
        </is>
      </c>
      <c r="F77" s="49">
        <f>COUNTIF('3a'!$B$1:$V$1, "STAT-2230*")</f>
        <v/>
      </c>
      <c r="G77" s="49">
        <f>COUNTIF('3b'!$B$1:$G$1, "STAT-2230*")</f>
        <v/>
      </c>
      <c r="H77" s="49">
        <f>COUNTIF('3c'!$B$1:$Z$1, "STAT-2230*")</f>
        <v/>
      </c>
      <c r="I77" s="49">
        <f>COUNTIF('3d'!$B$1:$M$1, "STAT-2230*")</f>
        <v/>
      </c>
      <c r="J77" s="96">
        <f>COUNTIFS('3e'!$B$1:$P$1, "STAT-2230*")</f>
        <v/>
      </c>
      <c r="K77" s="49">
        <f>COUNTIF('3f'!$B$1:$M$1, "STAT-2230*")</f>
        <v/>
      </c>
      <c r="L77" s="50">
        <f>SUM(F77:K77)</f>
        <v/>
      </c>
      <c r="M77" s="156" t="n"/>
    </row>
    <row r="78" ht="17.25" customHeight="1" thickBot="1" thickTop="1">
      <c r="A78" s="2" t="inlineStr">
        <is>
          <t>SENG-4110-3</t>
        </is>
      </c>
      <c r="B78" s="4" t="inlineStr">
        <is>
          <t>3e</t>
        </is>
      </c>
      <c r="C78" s="77" t="n"/>
      <c r="D78" s="149">
        <f>SUM(D29:D77)</f>
        <v/>
      </c>
      <c r="E78" s="63" t="inlineStr">
        <is>
          <t>TOTAL</t>
        </is>
      </c>
      <c r="F78" s="108">
        <f>SUM(F29:F77)</f>
        <v/>
      </c>
      <c r="G78" s="108">
        <f>SUM(G29:G77)</f>
        <v/>
      </c>
      <c r="H78" s="108">
        <f>SUM(H29:H77)</f>
        <v/>
      </c>
      <c r="I78" s="108">
        <f>SUM(I29:I77)</f>
        <v/>
      </c>
      <c r="J78" s="108">
        <f>SUM(J29:J77)</f>
        <v/>
      </c>
      <c r="K78" s="108">
        <f>SUM(K29:K77)</f>
        <v/>
      </c>
      <c r="L78" s="78">
        <f>SUM(L29:L77)</f>
        <v/>
      </c>
      <c r="M78" s="156" t="n"/>
    </row>
    <row r="79" ht="17.25" customHeight="1" thickBot="1" thickTop="1">
      <c r="A79" s="2" t="inlineStr">
        <is>
          <t>SENG-4620-4</t>
        </is>
      </c>
      <c r="B79" s="3" t="inlineStr">
        <is>
          <t>3e</t>
        </is>
      </c>
      <c r="C79" s="77" t="n"/>
      <c r="E79" s="156" t="n"/>
      <c r="F79" s="156" t="n"/>
      <c r="G79" s="156" t="n"/>
      <c r="H79" s="156" t="n"/>
      <c r="I79" s="156" t="n"/>
      <c r="J79" s="156" t="n"/>
      <c r="K79" s="156" t="n"/>
      <c r="L79" s="156" t="n"/>
      <c r="M79" s="156" t="n"/>
    </row>
    <row r="80" ht="17.25" customHeight="1" thickBot="1" thickTop="1">
      <c r="A80" s="2" t="inlineStr">
        <is>
          <t>SENG-4620-5</t>
        </is>
      </c>
      <c r="B80" s="3" t="inlineStr">
        <is>
          <t>3e</t>
        </is>
      </c>
      <c r="C80" s="77" t="n"/>
      <c r="E80" s="156" t="n"/>
      <c r="F80" s="156" t="n"/>
      <c r="G80" s="156" t="n"/>
      <c r="H80" s="156" t="n"/>
      <c r="I80" s="156" t="n"/>
      <c r="J80" s="156" t="n"/>
      <c r="K80" s="156" t="n"/>
      <c r="L80" s="156" t="n"/>
      <c r="M80" s="156" t="n"/>
    </row>
    <row r="81" ht="17.25" customHeight="1" thickBot="1" thickTop="1">
      <c r="A81" s="2" t="inlineStr">
        <is>
          <t>SENG-4660-4</t>
        </is>
      </c>
      <c r="B81" s="3" t="inlineStr">
        <is>
          <t>3e</t>
        </is>
      </c>
      <c r="C81" s="77" t="n"/>
      <c r="E81" s="156" t="n"/>
      <c r="F81" s="156" t="n"/>
      <c r="G81" s="156" t="n"/>
      <c r="H81" s="156" t="n"/>
      <c r="I81" s="156" t="n"/>
      <c r="J81" s="156" t="n"/>
      <c r="K81" s="156" t="n"/>
      <c r="L81" s="156" t="n"/>
      <c r="M81" s="156" t="n"/>
    </row>
    <row r="82" ht="17.25" customHeight="1" thickBot="1" thickTop="1">
      <c r="A82" s="2" t="inlineStr">
        <is>
          <t>CENG-4320-4</t>
        </is>
      </c>
      <c r="B82" s="3" t="inlineStr">
        <is>
          <t>3e</t>
        </is>
      </c>
      <c r="C82" s="77" t="n"/>
      <c r="E82" s="156" t="n"/>
      <c r="F82" s="156" t="n"/>
      <c r="G82" s="156" t="n"/>
      <c r="H82" s="156" t="n"/>
      <c r="I82" s="156" t="n"/>
      <c r="J82" s="156" t="n"/>
      <c r="K82" s="156" t="n"/>
      <c r="L82" s="156" t="n"/>
      <c r="M82" s="156" t="n"/>
    </row>
    <row r="83" ht="17.25" customHeight="1" thickBot="1" thickTop="1">
      <c r="A83" s="2" t="inlineStr">
        <is>
          <t>EPHY-2200-4</t>
        </is>
      </c>
      <c r="B83" s="4" t="inlineStr">
        <is>
          <t>3f</t>
        </is>
      </c>
      <c r="C83" s="77" t="n"/>
      <c r="E83" s="156" t="n"/>
      <c r="F83" s="156" t="n"/>
      <c r="G83" s="156" t="n"/>
      <c r="H83" s="156" t="n"/>
      <c r="I83" s="156" t="n"/>
      <c r="J83" s="156" t="n"/>
      <c r="K83" s="156" t="n"/>
      <c r="L83" s="156" t="n"/>
      <c r="M83" s="156" t="n"/>
    </row>
    <row r="84" ht="17.25" customHeight="1" thickBot="1" thickTop="1">
      <c r="A84" s="2" t="inlineStr">
        <is>
          <t>CHEM-1520-6</t>
        </is>
      </c>
      <c r="B84" s="3" t="inlineStr">
        <is>
          <t>3f</t>
        </is>
      </c>
      <c r="C84" s="77" t="n"/>
      <c r="E84" s="156" t="n"/>
      <c r="F84" s="156" t="n"/>
      <c r="G84" s="156" t="n"/>
      <c r="H84" s="156" t="n"/>
      <c r="I84" s="156" t="n"/>
      <c r="J84" s="156" t="n"/>
      <c r="K84" s="156" t="n"/>
      <c r="L84" s="156" t="n"/>
      <c r="M84" s="156" t="n"/>
    </row>
    <row r="85" ht="17.25" customHeight="1" thickBot="1" thickTop="1">
      <c r="A85" s="2" t="inlineStr">
        <is>
          <t>SENG-3110-2</t>
        </is>
      </c>
      <c r="B85" s="4" t="inlineStr">
        <is>
          <t>3f</t>
        </is>
      </c>
      <c r="C85" s="77" t="n"/>
      <c r="E85" s="156" t="n"/>
      <c r="F85" s="156" t="n"/>
      <c r="G85" s="156" t="n"/>
      <c r="H85" s="156" t="n"/>
      <c r="I85" s="156" t="n"/>
      <c r="J85" s="156" t="n"/>
      <c r="K85" s="156" t="n"/>
      <c r="L85" s="156" t="n"/>
      <c r="M85" s="156" t="n"/>
    </row>
    <row r="86" ht="17.25" customHeight="1" thickBot="1" thickTop="1">
      <c r="A86" s="2" t="inlineStr">
        <is>
          <t>CENG-3310-5</t>
        </is>
      </c>
      <c r="B86" s="3" t="inlineStr">
        <is>
          <t>3f</t>
        </is>
      </c>
      <c r="C86" s="77" t="n"/>
      <c r="E86" s="156" t="n"/>
      <c r="F86" s="156" t="n"/>
      <c r="G86" s="156" t="n"/>
      <c r="H86" s="156" t="n"/>
      <c r="I86" s="156" t="n"/>
      <c r="J86" s="156" t="n"/>
      <c r="K86" s="156" t="n"/>
      <c r="L86" s="156" t="n"/>
      <c r="M86" s="156" t="n"/>
    </row>
    <row r="87" ht="17.25" customHeight="1" thickBot="1" thickTop="1">
      <c r="A87" s="2" t="inlineStr">
        <is>
          <t>COMP-3410-3</t>
        </is>
      </c>
      <c r="B87" s="4" t="inlineStr">
        <is>
          <t>3f</t>
        </is>
      </c>
      <c r="C87" s="77" t="n"/>
      <c r="E87" s="156" t="n"/>
      <c r="F87" s="156" t="n"/>
      <c r="G87" s="156" t="n"/>
      <c r="H87" s="156" t="n"/>
      <c r="I87" s="156" t="n"/>
      <c r="J87" s="156" t="n"/>
      <c r="K87" s="156" t="n"/>
      <c r="L87" s="156" t="n"/>
      <c r="M87" s="156" t="n"/>
    </row>
    <row r="88" ht="17.25" customHeight="1" thickBot="1" thickTop="1">
      <c r="A88" s="2" t="inlineStr">
        <is>
          <t>SENG-3210-4</t>
        </is>
      </c>
      <c r="B88" s="3" t="inlineStr">
        <is>
          <t>3f</t>
        </is>
      </c>
      <c r="C88" s="77" t="n"/>
      <c r="E88" s="156" t="n"/>
      <c r="F88" s="156" t="n"/>
      <c r="G88" s="156" t="n"/>
      <c r="H88" s="156" t="n"/>
      <c r="I88" s="156" t="n"/>
      <c r="J88" s="156" t="n"/>
      <c r="K88" s="156" t="n"/>
      <c r="L88" s="156" t="n"/>
      <c r="M88" s="156" t="n"/>
    </row>
    <row r="89" ht="17.25" customHeight="1" thickBot="1" thickTop="1">
      <c r="A89" s="2" t="inlineStr">
        <is>
          <t>SENG-4110-7</t>
        </is>
      </c>
      <c r="B89" s="4" t="inlineStr">
        <is>
          <t>3f</t>
        </is>
      </c>
      <c r="C89" s="77" t="n"/>
      <c r="E89" s="156" t="n"/>
      <c r="F89" s="156" t="n"/>
      <c r="G89" s="156" t="n"/>
      <c r="H89" s="156" t="n"/>
      <c r="I89" s="156" t="n"/>
      <c r="J89" s="156" t="n"/>
      <c r="K89" s="156" t="n"/>
      <c r="L89" s="156" t="n"/>
      <c r="M89" s="156" t="n"/>
    </row>
    <row r="90" ht="17.25" customHeight="1" thickBot="1" thickTop="1">
      <c r="A90" s="2" t="inlineStr">
        <is>
          <t>SENG-4230-5</t>
        </is>
      </c>
      <c r="B90" s="4" t="inlineStr">
        <is>
          <t>3f</t>
        </is>
      </c>
      <c r="C90" s="77" t="n"/>
      <c r="E90" s="156" t="n"/>
      <c r="F90" s="156" t="n"/>
      <c r="G90" s="156" t="n"/>
      <c r="H90" s="156" t="n"/>
      <c r="I90" s="156" t="n"/>
      <c r="J90" s="156" t="n"/>
      <c r="K90" s="156" t="n"/>
      <c r="L90" s="156" t="n"/>
      <c r="M90" s="156" t="n"/>
    </row>
    <row r="91" ht="17.25" customHeight="1" thickBot="1" thickTop="1">
      <c r="A91" s="2" t="inlineStr">
        <is>
          <t>SENG-4220-4</t>
        </is>
      </c>
      <c r="B91" s="3" t="inlineStr">
        <is>
          <t>3f</t>
        </is>
      </c>
      <c r="C91" s="77" t="n"/>
      <c r="E91" s="156" t="n"/>
      <c r="F91" s="156" t="n"/>
      <c r="G91" s="156" t="n"/>
      <c r="H91" s="156" t="n"/>
      <c r="I91" s="156" t="n"/>
      <c r="J91" s="156" t="n"/>
      <c r="K91" s="156" t="n"/>
      <c r="L91" s="156" t="n"/>
      <c r="M91" s="156" t="n"/>
    </row>
    <row r="92" ht="17.25" customHeight="1" thickBot="1" thickTop="1">
      <c r="A92" s="2" t="inlineStr">
        <is>
          <t>SENG-4140-4</t>
        </is>
      </c>
      <c r="B92" s="3" t="inlineStr">
        <is>
          <t>3f</t>
        </is>
      </c>
      <c r="C92" s="77" t="n"/>
      <c r="E92" s="156" t="n"/>
      <c r="F92" s="156" t="n"/>
      <c r="G92" s="156" t="n"/>
      <c r="H92" s="156" t="n"/>
      <c r="I92" s="156" t="n"/>
      <c r="J92" s="156" t="n"/>
      <c r="K92" s="156" t="n"/>
      <c r="L92" s="156" t="n"/>
      <c r="M92" s="156" t="n"/>
    </row>
    <row r="93" ht="17.25" customHeight="1" thickBot="1" thickTop="1">
      <c r="A93" s="2" t="inlineStr">
        <is>
          <t>SENG-4650-3</t>
        </is>
      </c>
      <c r="B93" s="3" t="inlineStr">
        <is>
          <t>3f</t>
        </is>
      </c>
      <c r="C93" s="77" t="n"/>
      <c r="E93" s="156" t="n"/>
      <c r="F93" s="156" t="n"/>
      <c r="G93" s="156" t="n"/>
      <c r="H93" s="156" t="n"/>
      <c r="I93" s="156" t="n"/>
      <c r="J93" s="156" t="n"/>
      <c r="K93" s="156" t="n"/>
      <c r="L93" s="156" t="n"/>
      <c r="M93" s="156" t="n"/>
    </row>
    <row r="94" ht="17.25" customHeight="1" thickBot="1" thickTop="1">
      <c r="A94" s="2" t="inlineStr">
        <is>
          <t>SENG-4650-5</t>
        </is>
      </c>
      <c r="B94" s="3" t="inlineStr">
        <is>
          <t>3f</t>
        </is>
      </c>
      <c r="C94" s="77" t="n"/>
      <c r="E94" s="156" t="n"/>
      <c r="F94" s="156" t="n"/>
      <c r="G94" s="156" t="n"/>
      <c r="H94" s="156" t="n"/>
      <c r="I94" s="156" t="n"/>
      <c r="J94" s="156" t="n"/>
      <c r="K94" s="156" t="n"/>
      <c r="L94" s="156" t="n"/>
      <c r="M94" s="156" t="n"/>
    </row>
    <row r="95" ht="16.5" customHeight="1" thickTop="1"/>
  </sheetData>
  <mergeCells count="4">
    <mergeCell ref="E3:L3"/>
    <mergeCell ref="O3:U3"/>
    <mergeCell ref="O6:U6"/>
    <mergeCell ref="E1:N1"/>
  </mergeCells>
  <conditionalFormatting sqref="F29:L31 L32 N32 F33:L35 G36:L36 F37:L60 F75:L77 F66:L73">
    <cfRule type="containsBlanks" priority="28" dxfId="224">
      <formula>LEN(TRIM(F29))=0</formula>
    </cfRule>
  </conditionalFormatting>
  <conditionalFormatting sqref="F29:K31 F33:K35 G36:K36 F37:K60 F75:K77 F66:K73">
    <cfRule type="cellIs" priority="26" operator="greaterThan" dxfId="223">
      <formula>0</formula>
    </cfRule>
    <cfRule type="cellIs" priority="27" operator="equal" dxfId="222">
      <formula>0</formula>
    </cfRule>
  </conditionalFormatting>
  <conditionalFormatting sqref="F63:L63">
    <cfRule type="containsBlanks" priority="24" dxfId="224">
      <formula>LEN(TRIM(F63))=0</formula>
    </cfRule>
  </conditionalFormatting>
  <conditionalFormatting sqref="F63:K63">
    <cfRule type="cellIs" priority="22" operator="greaterThan" dxfId="223">
      <formula>0</formula>
    </cfRule>
    <cfRule type="cellIs" priority="23" operator="equal" dxfId="222">
      <formula>0</formula>
    </cfRule>
  </conditionalFormatting>
  <conditionalFormatting sqref="F65:L65">
    <cfRule type="containsBlanks" priority="21" dxfId="224">
      <formula>LEN(TRIM(F65))=0</formula>
    </cfRule>
  </conditionalFormatting>
  <conditionalFormatting sqref="F65:K65">
    <cfRule type="cellIs" priority="19" operator="greaterThan" dxfId="223">
      <formula>0</formula>
    </cfRule>
    <cfRule type="cellIs" priority="20" operator="equal" dxfId="222">
      <formula>0</formula>
    </cfRule>
  </conditionalFormatting>
  <conditionalFormatting sqref="F32:K32">
    <cfRule type="containsBlanks" priority="18" dxfId="224">
      <formula>LEN(TRIM(F32))=0</formula>
    </cfRule>
    <cfRule type="cellIs" priority="16" operator="greaterThan" dxfId="223">
      <formula>0</formula>
    </cfRule>
    <cfRule type="cellIs" priority="17" operator="equal" dxfId="222">
      <formula>0</formula>
    </cfRule>
  </conditionalFormatting>
  <conditionalFormatting sqref="F36">
    <cfRule type="containsBlanks" priority="15" dxfId="224">
      <formula>LEN(TRIM(F36))=0</formula>
    </cfRule>
    <cfRule type="cellIs" priority="13" operator="greaterThan" dxfId="223">
      <formula>0</formula>
    </cfRule>
    <cfRule type="cellIs" priority="14" operator="equal" dxfId="222">
      <formula>0</formula>
    </cfRule>
  </conditionalFormatting>
  <conditionalFormatting sqref="F61:L61">
    <cfRule type="containsBlanks" priority="12" dxfId="224">
      <formula>LEN(TRIM(F61))=0</formula>
    </cfRule>
  </conditionalFormatting>
  <conditionalFormatting sqref="F61:K61">
    <cfRule type="cellIs" priority="10" operator="greaterThan" dxfId="223">
      <formula>0</formula>
    </cfRule>
    <cfRule type="cellIs" priority="11" operator="equal" dxfId="222">
      <formula>0</formula>
    </cfRule>
  </conditionalFormatting>
  <conditionalFormatting sqref="F62:L62">
    <cfRule type="containsBlanks" priority="9" dxfId="224">
      <formula>LEN(TRIM(F62))=0</formula>
    </cfRule>
  </conditionalFormatting>
  <conditionalFormatting sqref="F62:K62">
    <cfRule type="cellIs" priority="7" operator="greaterThan" dxfId="223">
      <formula>0</formula>
    </cfRule>
    <cfRule type="cellIs" priority="8" operator="equal" dxfId="222">
      <formula>0</formula>
    </cfRule>
  </conditionalFormatting>
  <conditionalFormatting sqref="F64:L64">
    <cfRule type="containsBlanks" priority="6" dxfId="224">
      <formula>LEN(TRIM(F64))=0</formula>
    </cfRule>
  </conditionalFormatting>
  <conditionalFormatting sqref="F64:K64">
    <cfRule type="cellIs" priority="4" operator="greaterThan" dxfId="223">
      <formula>0</formula>
    </cfRule>
    <cfRule type="cellIs" priority="5" operator="equal" dxfId="222">
      <formula>0</formula>
    </cfRule>
  </conditionalFormatting>
  <conditionalFormatting sqref="F74:L74">
    <cfRule type="containsBlanks" priority="3" dxfId="224">
      <formula>LEN(TRIM(F74))=0</formula>
    </cfRule>
  </conditionalFormatting>
  <conditionalFormatting sqref="F74:K74">
    <cfRule type="cellIs" priority="1" operator="greaterThan" dxfId="223">
      <formula>0</formula>
    </cfRule>
    <cfRule type="cellIs" priority="2" operator="equal" dxfId="222">
      <formula>0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65"/>
  <sheetViews>
    <sheetView topLeftCell="A20" zoomScale="70" zoomScaleNormal="70" workbookViewId="0">
      <selection activeCell="B55" sqref="B55:B58"/>
    </sheetView>
  </sheetViews>
  <sheetFormatPr baseColWidth="8" defaultColWidth="17.42578125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4.5703125" bestFit="1" customWidth="1" min="6" max="6"/>
    <col width="14.28515625" bestFit="1" customWidth="1" min="7" max="7"/>
    <col width="17.7109375" bestFit="1" customWidth="1" min="8" max="8"/>
    <col width="14.5703125" bestFit="1" customWidth="1" min="9" max="13"/>
    <col width="14.42578125" bestFit="1" customWidth="1" min="14" max="14"/>
    <col width="14" bestFit="1" customWidth="1" min="15" max="15"/>
    <col width="14.85546875" bestFit="1" customWidth="1" min="16" max="16"/>
    <col width="14.42578125" bestFit="1" customWidth="1" min="17" max="17"/>
    <col width="15.28515625" bestFit="1" customWidth="1" min="18" max="18"/>
    <col width="14.85546875" bestFit="1" customWidth="1" min="19" max="22"/>
    <col width="9.28515625" bestFit="1" customWidth="1" min="23" max="23"/>
    <col width="4.28515625" bestFit="1" customWidth="1" min="27" max="27"/>
  </cols>
  <sheetData>
    <row r="1">
      <c r="A1" s="13" t="inlineStr">
        <is>
          <t>Student Number</t>
        </is>
      </c>
      <c r="B1" s="167" t="inlineStr">
        <is>
          <t>CENG-3310-2</t>
        </is>
      </c>
      <c r="C1" s="167" t="inlineStr">
        <is>
          <t>EENG-3010-5</t>
        </is>
      </c>
      <c r="D1" s="165" t="inlineStr">
        <is>
          <t>CHEM-1520-1</t>
        </is>
      </c>
      <c r="E1" s="164" t="inlineStr">
        <is>
          <t>EPHY-1270-1</t>
        </is>
      </c>
      <c r="F1" s="164" t="inlineStr">
        <is>
          <t>EPHY-1270-3</t>
        </is>
      </c>
      <c r="G1" s="165" t="inlineStr">
        <is>
          <t>EPHY-1700-1</t>
        </is>
      </c>
      <c r="H1" s="165" t="inlineStr">
        <is>
          <t>EPHY-1700-2</t>
        </is>
      </c>
      <c r="I1" s="165" t="inlineStr">
        <is>
          <t>EPHY-1700-3</t>
        </is>
      </c>
      <c r="J1" s="165" t="inlineStr">
        <is>
          <t>EPHY-1700-4</t>
        </is>
      </c>
      <c r="K1" s="165" t="inlineStr">
        <is>
          <t>EPHY-1700-5</t>
        </is>
      </c>
      <c r="L1" s="165" t="inlineStr">
        <is>
          <t>EPHY-1700-6</t>
        </is>
      </c>
      <c r="M1" s="165" t="inlineStr">
        <is>
          <t>EPHY-1700-7</t>
        </is>
      </c>
      <c r="N1" s="168" t="inlineStr">
        <is>
          <t>SENG-3210-1</t>
        </is>
      </c>
      <c r="O1" s="168" t="inlineStr">
        <is>
          <t>SENG-4110-1</t>
        </is>
      </c>
      <c r="P1" s="168" t="inlineStr">
        <is>
          <t>SENG-4120-2</t>
        </is>
      </c>
      <c r="Q1" s="168" t="inlineStr">
        <is>
          <t>SENG-4140-1</t>
        </is>
      </c>
      <c r="R1" s="168" t="inlineStr">
        <is>
          <t>SENG-4220-3</t>
        </is>
      </c>
      <c r="S1" s="168" t="inlineStr">
        <is>
          <t>SENG-4620-1</t>
        </is>
      </c>
      <c r="T1" s="168" t="inlineStr">
        <is>
          <t>SENG-4650-1</t>
        </is>
      </c>
      <c r="U1" s="168" t="inlineStr">
        <is>
          <t>SENG-4660-1</t>
        </is>
      </c>
      <c r="V1" s="168" t="inlineStr">
        <is>
          <t>CENG-4320-1</t>
        </is>
      </c>
      <c r="W1" s="15">
        <f>COUNTA(B1:U1)</f>
        <v/>
      </c>
    </row>
    <row r="2" ht="30" customHeight="1">
      <c r="A2" s="16" t="inlineStr">
        <is>
          <t>Assessment
Tool</t>
        </is>
      </c>
      <c r="B2" s="14" t="n"/>
      <c r="C2" s="14" t="n"/>
      <c r="D2" s="14" t="n"/>
      <c r="E2" s="14" t="inlineStr">
        <is>
          <t>Final Exam</t>
        </is>
      </c>
      <c r="F2" s="14" t="inlineStr">
        <is>
          <t>Lab</t>
        </is>
      </c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  <c r="V2" s="14" t="n"/>
      <c r="W2" s="15">
        <f>COUNTIF(B2:V2, "&lt;&gt;")</f>
        <v/>
      </c>
    </row>
    <row r="3">
      <c r="A3" s="17" t="n">
        <v>1</v>
      </c>
      <c r="B3" s="169" t="n"/>
      <c r="C3" s="169" t="n"/>
      <c r="D3" s="169" t="n"/>
      <c r="E3" s="169" t="n">
        <v>0.4821428571428572</v>
      </c>
      <c r="F3" s="169" t="n">
        <v>1</v>
      </c>
      <c r="G3" s="169" t="n"/>
      <c r="H3" s="169" t="n"/>
      <c r="I3" s="169" t="n"/>
      <c r="J3" s="169" t="n"/>
      <c r="K3" s="169" t="n"/>
      <c r="L3" s="169" t="n"/>
      <c r="M3" s="169" t="n"/>
      <c r="N3" s="169" t="n"/>
      <c r="O3" s="169" t="n"/>
      <c r="P3" s="169" t="n"/>
      <c r="Q3" s="169" t="n"/>
      <c r="R3" s="177" t="n"/>
      <c r="S3" s="177" t="n"/>
      <c r="T3" s="177" t="n"/>
      <c r="U3" s="178" t="n"/>
      <c r="V3" s="179" t="n"/>
      <c r="W3" s="199" t="n"/>
      <c r="AA3" s="120" t="inlineStr">
        <is>
          <t>A</t>
        </is>
      </c>
    </row>
    <row r="4">
      <c r="A4" s="17" t="n">
        <v>2</v>
      </c>
      <c r="B4" s="169" t="n"/>
      <c r="C4" s="169" t="n"/>
      <c r="D4" s="169" t="n"/>
      <c r="E4" s="169" t="n">
        <v>0.625</v>
      </c>
      <c r="F4" s="169" t="n">
        <v>1</v>
      </c>
      <c r="G4" s="169" t="n"/>
      <c r="H4" s="169" t="n"/>
      <c r="I4" s="169" t="n"/>
      <c r="J4" s="169" t="n"/>
      <c r="K4" s="169" t="n"/>
      <c r="L4" s="169" t="n"/>
      <c r="M4" s="169" t="n"/>
      <c r="N4" s="169" t="n"/>
      <c r="O4" s="169" t="n"/>
      <c r="P4" s="169" t="n"/>
      <c r="Q4" s="169" t="n"/>
      <c r="R4" s="169" t="n"/>
      <c r="S4" s="169" t="n"/>
      <c r="T4" s="169" t="n"/>
      <c r="U4" s="169" t="n"/>
      <c r="V4" s="175" t="n"/>
      <c r="W4" s="200" t="n"/>
      <c r="AA4" s="120" t="inlineStr">
        <is>
          <t>Q</t>
        </is>
      </c>
    </row>
    <row r="5">
      <c r="A5" s="17" t="n">
        <v>3</v>
      </c>
      <c r="B5" s="169" t="n"/>
      <c r="C5" s="169" t="n"/>
      <c r="D5" s="169" t="n"/>
      <c r="E5" s="169" t="n">
        <v>0.9821428571428571</v>
      </c>
      <c r="F5" s="169" t="n">
        <v>1</v>
      </c>
      <c r="G5" s="169" t="n"/>
      <c r="H5" s="169" t="n"/>
      <c r="I5" s="169" t="n"/>
      <c r="J5" s="169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75" t="n"/>
      <c r="W5" s="200" t="n"/>
      <c r="AA5" s="120" t="inlineStr">
        <is>
          <t>M</t>
        </is>
      </c>
    </row>
    <row r="6">
      <c r="A6" s="17" t="n">
        <v>4</v>
      </c>
      <c r="B6" s="169" t="n"/>
      <c r="C6" s="169" t="n"/>
      <c r="D6" s="169" t="n"/>
      <c r="E6" s="169" t="n">
        <v>0.8571428571428571</v>
      </c>
      <c r="F6" s="169" t="n">
        <v>1</v>
      </c>
      <c r="G6" s="169" t="n"/>
      <c r="H6" s="169" t="n"/>
      <c r="I6" s="169" t="n"/>
      <c r="J6" s="169" t="n"/>
      <c r="K6" s="169" t="n"/>
      <c r="L6" s="169" t="n"/>
      <c r="M6" s="169" t="n"/>
      <c r="N6" s="169" t="n"/>
      <c r="O6" s="169" t="n"/>
      <c r="P6" s="169" t="n"/>
      <c r="Q6" s="169" t="n"/>
      <c r="R6" s="169" t="n"/>
      <c r="S6" s="169" t="n"/>
      <c r="T6" s="169" t="n"/>
      <c r="U6" s="169" t="n"/>
      <c r="V6" s="175" t="n"/>
      <c r="W6" s="200" t="n"/>
      <c r="AA6" s="120" t="inlineStr">
        <is>
          <t>F</t>
        </is>
      </c>
    </row>
    <row r="7">
      <c r="A7" s="17" t="n">
        <v>5</v>
      </c>
      <c r="B7" s="169" t="n"/>
      <c r="C7" s="169" t="n"/>
      <c r="D7" s="169" t="n"/>
      <c r="E7" s="169" t="n">
        <v>0.6785714285714286</v>
      </c>
      <c r="F7" s="169" t="n">
        <v>1</v>
      </c>
      <c r="G7" s="169" t="n"/>
      <c r="H7" s="169" t="n"/>
      <c r="I7" s="169" t="n"/>
      <c r="J7" s="169" t="n"/>
      <c r="K7" s="169" t="n"/>
      <c r="L7" s="169" t="n"/>
      <c r="M7" s="169" t="n"/>
      <c r="N7" s="169" t="n"/>
      <c r="O7" s="169" t="n"/>
      <c r="P7" s="169" t="n"/>
      <c r="Q7" s="169" t="n"/>
      <c r="R7" s="169" t="n"/>
      <c r="S7" s="169" t="n"/>
      <c r="T7" s="169" t="n"/>
      <c r="U7" s="169" t="n"/>
      <c r="V7" s="175" t="n"/>
      <c r="W7" s="200" t="n"/>
      <c r="AA7" s="120" t="inlineStr">
        <is>
          <t>P</t>
        </is>
      </c>
    </row>
    <row r="8">
      <c r="A8" s="17" t="n">
        <v>6</v>
      </c>
      <c r="B8" s="169" t="n"/>
      <c r="C8" s="169" t="n"/>
      <c r="D8" s="169" t="n"/>
      <c r="E8" s="169" t="n">
        <v>0.625</v>
      </c>
      <c r="F8" s="169" t="n">
        <v>1</v>
      </c>
      <c r="G8" s="169" t="n"/>
      <c r="H8" s="169" t="n"/>
      <c r="I8" s="169" t="n"/>
      <c r="J8" s="169" t="n"/>
      <c r="K8" s="169" t="n"/>
      <c r="L8" s="169" t="n"/>
      <c r="M8" s="169" t="n"/>
      <c r="N8" s="169" t="n"/>
      <c r="O8" s="169" t="n"/>
      <c r="P8" s="169" t="n"/>
      <c r="Q8" s="169" t="n"/>
      <c r="R8" s="169" t="n"/>
      <c r="S8" s="169" t="n"/>
      <c r="T8" s="169" t="n"/>
      <c r="U8" s="169" t="n"/>
      <c r="V8" s="175" t="n"/>
      <c r="W8" s="200" t="n"/>
      <c r="AA8" s="120" t="inlineStr">
        <is>
          <t>L</t>
        </is>
      </c>
    </row>
    <row r="9">
      <c r="A9" s="17" t="n">
        <v>7</v>
      </c>
      <c r="B9" s="169" t="n"/>
      <c r="C9" s="169" t="n"/>
      <c r="D9" s="169" t="n"/>
      <c r="E9" s="169" t="n">
        <v>0.7142857142857143</v>
      </c>
      <c r="F9" s="169" t="n">
        <v>1</v>
      </c>
      <c r="G9" s="169" t="n"/>
      <c r="H9" s="169" t="n"/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69" t="n"/>
      <c r="T9" s="169" t="n"/>
      <c r="U9" s="169" t="n"/>
      <c r="V9" s="175" t="n"/>
      <c r="W9" s="200" t="n"/>
      <c r="AA9" s="120" t="inlineStr">
        <is>
          <t>OT</t>
        </is>
      </c>
    </row>
    <row r="10">
      <c r="A10" s="17" t="n">
        <v>8</v>
      </c>
      <c r="B10" s="169" t="n"/>
      <c r="C10" s="169" t="n"/>
      <c r="D10" s="169" t="n"/>
      <c r="E10" s="169" t="n">
        <v>0.9821428571428571</v>
      </c>
      <c r="F10" s="169" t="n">
        <v>1</v>
      </c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75" t="n"/>
      <c r="W10" s="200" t="n"/>
    </row>
    <row r="11">
      <c r="A11" s="17" t="n">
        <v>9</v>
      </c>
      <c r="B11" s="169" t="n"/>
      <c r="C11" s="169" t="n"/>
      <c r="D11" s="169" t="n"/>
      <c r="E11" s="169" t="n">
        <v>0.7142857142857143</v>
      </c>
      <c r="F11" s="169" t="n">
        <v>1</v>
      </c>
      <c r="G11" s="169" t="n"/>
      <c r="H11" s="169" t="n"/>
      <c r="I11" s="169" t="n"/>
      <c r="J11" s="169" t="n"/>
      <c r="K11" s="169" t="n"/>
      <c r="L11" s="169" t="n"/>
      <c r="M11" s="169" t="n"/>
      <c r="N11" s="169" t="n"/>
      <c r="O11" s="169" t="n"/>
      <c r="P11" s="169" t="n"/>
      <c r="Q11" s="169" t="n"/>
      <c r="R11" s="169" t="n"/>
      <c r="S11" s="169" t="n"/>
      <c r="T11" s="169" t="n"/>
      <c r="U11" s="169" t="n"/>
      <c r="V11" s="175" t="n"/>
      <c r="W11" s="200" t="n"/>
    </row>
    <row r="12">
      <c r="A12" s="17" t="n">
        <v>10</v>
      </c>
      <c r="B12" s="169" t="n"/>
      <c r="C12" s="169" t="n"/>
      <c r="D12" s="169" t="n"/>
      <c r="E12" s="169" t="n">
        <v>0.8035714285714286</v>
      </c>
      <c r="F12" s="169" t="n">
        <v>1</v>
      </c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69" t="n"/>
      <c r="S12" s="169" t="n"/>
      <c r="T12" s="169" t="n"/>
      <c r="U12" s="169" t="n"/>
      <c r="V12" s="175" t="n"/>
      <c r="W12" s="200" t="n"/>
    </row>
    <row r="13">
      <c r="A13" s="17" t="n">
        <v>11</v>
      </c>
      <c r="B13" s="169" t="n"/>
      <c r="C13" s="169" t="n"/>
      <c r="D13" s="169" t="n"/>
      <c r="E13" s="169" t="n">
        <v>0.7678571428571429</v>
      </c>
      <c r="F13" s="169" t="n">
        <v>1</v>
      </c>
      <c r="G13" s="169" t="n"/>
      <c r="H13" s="169" t="n"/>
      <c r="I13" s="169" t="n"/>
      <c r="J13" s="169" t="n"/>
      <c r="K13" s="169" t="n"/>
      <c r="L13" s="169" t="n"/>
      <c r="M13" s="169" t="n"/>
      <c r="N13" s="169" t="n"/>
      <c r="O13" s="169" t="n"/>
      <c r="P13" s="169" t="n"/>
      <c r="Q13" s="169" t="n"/>
      <c r="R13" s="169" t="n"/>
      <c r="S13" s="169" t="n"/>
      <c r="T13" s="169" t="n"/>
      <c r="U13" s="169" t="n"/>
      <c r="V13" s="175" t="n"/>
      <c r="W13" s="200" t="n"/>
    </row>
    <row r="14">
      <c r="A14" s="17" t="n">
        <v>12</v>
      </c>
      <c r="B14" s="169" t="n"/>
      <c r="C14" s="169" t="n"/>
      <c r="D14" s="169" t="n"/>
      <c r="E14" s="169" t="n">
        <v>0.7678571428571429</v>
      </c>
      <c r="F14" s="169" t="n">
        <v>1</v>
      </c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T14" s="169" t="n"/>
      <c r="U14" s="169" t="n"/>
      <c r="V14" s="175" t="n"/>
      <c r="W14" s="200" t="n"/>
    </row>
    <row r="15">
      <c r="A15" s="17" t="n">
        <v>13</v>
      </c>
      <c r="B15" s="169" t="n"/>
      <c r="C15" s="169" t="n"/>
      <c r="D15" s="169" t="n"/>
      <c r="E15" s="169" t="n">
        <v>0.75</v>
      </c>
      <c r="F15" s="169" t="n">
        <v>0</v>
      </c>
      <c r="G15" s="169" t="n"/>
      <c r="H15" s="169" t="n"/>
      <c r="I15" s="169" t="n"/>
      <c r="J15" s="169" t="n"/>
      <c r="K15" s="169" t="n"/>
      <c r="L15" s="169" t="n"/>
      <c r="M15" s="169" t="n"/>
      <c r="N15" s="169" t="n"/>
      <c r="O15" s="169" t="n"/>
      <c r="P15" s="169" t="n"/>
      <c r="Q15" s="169" t="n"/>
      <c r="R15" s="169" t="n"/>
      <c r="S15" s="169" t="n"/>
      <c r="T15" s="169" t="n"/>
      <c r="U15" s="169" t="n"/>
      <c r="V15" s="175" t="n"/>
      <c r="W15" s="200" t="n"/>
    </row>
    <row r="16">
      <c r="A16" s="17" t="n">
        <v>14</v>
      </c>
      <c r="B16" s="169" t="n"/>
      <c r="C16" s="169" t="n"/>
      <c r="D16" s="169" t="n"/>
      <c r="E16" s="169" t="n">
        <v>0.6428571428571429</v>
      </c>
      <c r="F16" s="169" t="n">
        <v>1</v>
      </c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T16" s="169" t="n"/>
      <c r="U16" s="169" t="n"/>
      <c r="V16" s="175" t="n"/>
      <c r="W16" s="200" t="n"/>
    </row>
    <row r="17">
      <c r="A17" s="17" t="n">
        <v>15</v>
      </c>
      <c r="B17" s="169" t="n"/>
      <c r="C17" s="169" t="n"/>
      <c r="D17" s="169" t="n"/>
      <c r="E17" s="169" t="n">
        <v>0.8035714285714286</v>
      </c>
      <c r="F17" s="169" t="n">
        <v>1</v>
      </c>
      <c r="G17" s="169" t="n"/>
      <c r="H17" s="169" t="n"/>
      <c r="I17" s="169" t="n"/>
      <c r="J17" s="169" t="n"/>
      <c r="K17" s="169" t="n"/>
      <c r="L17" s="169" t="n"/>
      <c r="M17" s="169" t="n"/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75" t="n"/>
      <c r="W17" s="200" t="n"/>
    </row>
    <row r="18">
      <c r="A18" s="17" t="n">
        <v>16</v>
      </c>
      <c r="B18" s="169" t="n"/>
      <c r="C18" s="169" t="n"/>
      <c r="D18" s="169" t="n"/>
      <c r="E18" s="169" t="n"/>
      <c r="F18" s="169" t="n"/>
      <c r="G18" s="169" t="n"/>
      <c r="H18" s="169" t="n"/>
      <c r="I18" s="169" t="n"/>
      <c r="J18" s="169" t="n"/>
      <c r="K18" s="169" t="n"/>
      <c r="L18" s="169" t="n"/>
      <c r="M18" s="169" t="n"/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75" t="n"/>
      <c r="W18" s="200" t="n"/>
    </row>
    <row r="19">
      <c r="A19" s="17" t="n">
        <v>17</v>
      </c>
      <c r="B19" s="169" t="n"/>
      <c r="C19" s="169" t="n"/>
      <c r="D19" s="169" t="n"/>
      <c r="E19" s="169" t="n"/>
      <c r="F19" s="169" t="n"/>
      <c r="G19" s="169" t="n"/>
      <c r="H19" s="169" t="n"/>
      <c r="I19" s="169" t="n"/>
      <c r="J19" s="169" t="n"/>
      <c r="K19" s="169" t="n"/>
      <c r="L19" s="169" t="n"/>
      <c r="M19" s="169" t="n"/>
      <c r="N19" s="169" t="n"/>
      <c r="O19" s="169" t="n"/>
      <c r="P19" s="169" t="n"/>
      <c r="Q19" s="169" t="n"/>
      <c r="R19" s="169" t="n"/>
      <c r="S19" s="169" t="n"/>
      <c r="T19" s="169" t="n"/>
      <c r="U19" s="169" t="n"/>
      <c r="V19" s="175" t="n"/>
      <c r="W19" s="200" t="n"/>
    </row>
    <row r="20">
      <c r="A20" s="17" t="n">
        <v>18</v>
      </c>
      <c r="B20" s="169" t="n"/>
      <c r="C20" s="169" t="n"/>
      <c r="D20" s="169" t="n"/>
      <c r="E20" s="169" t="n"/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75" t="n"/>
      <c r="W20" s="200" t="n"/>
    </row>
    <row r="21">
      <c r="A21" s="17" t="n">
        <v>19</v>
      </c>
      <c r="B21" s="169" t="n"/>
      <c r="C21" s="169" t="n"/>
      <c r="D21" s="169" t="n"/>
      <c r="E21" s="169" t="n"/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75" t="n"/>
      <c r="W21" s="200" t="n"/>
    </row>
    <row r="22">
      <c r="A22" s="19" t="n">
        <v>20</v>
      </c>
      <c r="B22" s="174" t="n"/>
      <c r="C22" s="174" t="n"/>
      <c r="D22" s="174" t="n"/>
      <c r="E22" s="174" t="n"/>
      <c r="F22" s="174" t="n"/>
      <c r="G22" s="174" t="n"/>
      <c r="H22" s="174" t="n"/>
      <c r="I22" s="174" t="n"/>
      <c r="J22" s="174" t="n"/>
      <c r="K22" s="174" t="n"/>
      <c r="L22" s="174" t="n"/>
      <c r="M22" s="174" t="n"/>
      <c r="N22" s="174" t="n"/>
      <c r="O22" s="174" t="n"/>
      <c r="P22" s="174" t="n"/>
      <c r="Q22" s="174" t="n"/>
      <c r="R22" s="174" t="n"/>
      <c r="S22" s="174" t="n"/>
      <c r="T22" s="174" t="n"/>
      <c r="U22" s="174" t="n"/>
      <c r="V22" s="175" t="n"/>
      <c r="W22" s="200" t="n"/>
    </row>
    <row r="23">
      <c r="A23" s="19" t="n">
        <v>21</v>
      </c>
      <c r="B23" s="174" t="n"/>
      <c r="C23" s="174" t="n"/>
      <c r="D23" s="174" t="n"/>
      <c r="E23" s="174" t="n"/>
      <c r="F23" s="174" t="n"/>
      <c r="G23" s="174" t="n"/>
      <c r="H23" s="174" t="n"/>
      <c r="I23" s="174" t="n"/>
      <c r="J23" s="174" t="n"/>
      <c r="K23" s="174" t="n"/>
      <c r="L23" s="174" t="n"/>
      <c r="M23" s="174" t="n"/>
      <c r="N23" s="174" t="n"/>
      <c r="O23" s="174" t="n"/>
      <c r="P23" s="174" t="n"/>
      <c r="Q23" s="174" t="n"/>
      <c r="R23" s="174" t="n"/>
      <c r="S23" s="174" t="n"/>
      <c r="T23" s="174" t="n"/>
      <c r="U23" s="174" t="n"/>
      <c r="V23" s="175" t="n"/>
      <c r="W23" s="200" t="n"/>
    </row>
    <row r="24">
      <c r="A24" s="17" t="n">
        <v>22</v>
      </c>
      <c r="B24" s="169" t="n"/>
      <c r="C24" s="169" t="n"/>
      <c r="D24" s="169" t="n"/>
      <c r="E24" s="169" t="n"/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75" t="n"/>
      <c r="W24" s="200" t="n"/>
    </row>
    <row r="25">
      <c r="A25" s="17" t="n">
        <v>23</v>
      </c>
      <c r="B25" s="169" t="n"/>
      <c r="C25" s="169" t="n"/>
      <c r="D25" s="169" t="n"/>
      <c r="E25" s="169" t="n"/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75" t="n"/>
      <c r="W25" s="200" t="n"/>
    </row>
    <row r="26">
      <c r="A26" s="17" t="n">
        <v>24</v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75" t="n"/>
      <c r="W26" s="200" t="n"/>
    </row>
    <row r="27">
      <c r="A27" s="17" t="n">
        <v>25</v>
      </c>
      <c r="B27" s="169" t="n"/>
      <c r="C27" s="169" t="n"/>
      <c r="D27" s="169" t="n"/>
      <c r="E27" s="169" t="n"/>
      <c r="F27" s="169" t="n"/>
      <c r="G27" s="169" t="n"/>
      <c r="H27" s="169" t="n"/>
      <c r="I27" s="169" t="n"/>
      <c r="J27" s="169" t="n"/>
      <c r="K27" s="169" t="n"/>
      <c r="L27" s="169" t="n"/>
      <c r="M27" s="169" t="n"/>
      <c r="N27" s="169" t="n"/>
      <c r="O27" s="169" t="n"/>
      <c r="P27" s="169" t="n"/>
      <c r="Q27" s="169" t="n"/>
      <c r="R27" s="169" t="n"/>
      <c r="S27" s="169" t="n"/>
      <c r="T27" s="169" t="n"/>
      <c r="U27" s="169" t="n"/>
      <c r="V27" s="175" t="n"/>
      <c r="W27" s="200" t="n"/>
    </row>
    <row r="28">
      <c r="A28" s="19" t="n">
        <v>26</v>
      </c>
      <c r="B28" s="174" t="n"/>
      <c r="C28" s="174" t="n"/>
      <c r="D28" s="174" t="n"/>
      <c r="E28" s="174" t="n"/>
      <c r="F28" s="174" t="n"/>
      <c r="G28" s="174" t="n"/>
      <c r="H28" s="174" t="n"/>
      <c r="I28" s="174" t="n"/>
      <c r="J28" s="174" t="n"/>
      <c r="K28" s="174" t="n"/>
      <c r="L28" s="174" t="n"/>
      <c r="M28" s="174" t="n"/>
      <c r="N28" s="174" t="n"/>
      <c r="O28" s="174" t="n"/>
      <c r="P28" s="174" t="n"/>
      <c r="Q28" s="174" t="n"/>
      <c r="R28" s="174" t="n"/>
      <c r="S28" s="174" t="n"/>
      <c r="T28" s="174" t="n"/>
      <c r="U28" s="174" t="n"/>
      <c r="V28" s="175" t="n"/>
      <c r="W28" s="200" t="n"/>
    </row>
    <row r="29">
      <c r="A29" s="19" t="n">
        <v>27</v>
      </c>
      <c r="B29" s="174" t="n"/>
      <c r="C29" s="174" t="n"/>
      <c r="D29" s="174" t="n"/>
      <c r="E29" s="174" t="n"/>
      <c r="F29" s="174" t="n"/>
      <c r="G29" s="174" t="n"/>
      <c r="H29" s="174" t="n"/>
      <c r="I29" s="174" t="n"/>
      <c r="J29" s="174" t="n"/>
      <c r="K29" s="174" t="n"/>
      <c r="L29" s="174" t="n"/>
      <c r="M29" s="174" t="n"/>
      <c r="N29" s="174" t="n"/>
      <c r="O29" s="174" t="n"/>
      <c r="P29" s="174" t="n"/>
      <c r="Q29" s="174" t="n"/>
      <c r="R29" s="174" t="n"/>
      <c r="S29" s="174" t="n"/>
      <c r="T29" s="174" t="n"/>
      <c r="U29" s="174" t="n"/>
      <c r="V29" s="175" t="n"/>
      <c r="W29" s="200" t="n"/>
    </row>
    <row r="30">
      <c r="A30" s="17" t="n">
        <v>28</v>
      </c>
      <c r="B30" s="169" t="n"/>
      <c r="C30" s="169" t="n"/>
      <c r="D30" s="169" t="n"/>
      <c r="E30" s="169" t="n"/>
      <c r="F30" s="169" t="n"/>
      <c r="G30" s="169" t="n"/>
      <c r="H30" s="169" t="n"/>
      <c r="I30" s="169" t="n"/>
      <c r="J30" s="169" t="n"/>
      <c r="K30" s="169" t="n"/>
      <c r="L30" s="169" t="n"/>
      <c r="M30" s="169" t="n"/>
      <c r="N30" s="169" t="n"/>
      <c r="O30" s="169" t="n"/>
      <c r="P30" s="169" t="n"/>
      <c r="Q30" s="169" t="n"/>
      <c r="R30" s="169" t="n"/>
      <c r="S30" s="169" t="n"/>
      <c r="T30" s="169" t="n"/>
      <c r="U30" s="169" t="n"/>
      <c r="V30" s="175" t="n"/>
      <c r="W30" s="200" t="n"/>
    </row>
    <row r="31">
      <c r="A31" s="17" t="n">
        <v>29</v>
      </c>
      <c r="B31" s="169" t="n"/>
      <c r="C31" s="169" t="n"/>
      <c r="D31" s="169" t="n"/>
      <c r="E31" s="169" t="n"/>
      <c r="F31" s="169" t="n"/>
      <c r="G31" s="169" t="n"/>
      <c r="H31" s="169" t="n"/>
      <c r="I31" s="169" t="n"/>
      <c r="J31" s="169" t="n"/>
      <c r="K31" s="169" t="n"/>
      <c r="L31" s="169" t="n"/>
      <c r="M31" s="169" t="n"/>
      <c r="N31" s="169" t="n"/>
      <c r="O31" s="169" t="n"/>
      <c r="P31" s="169" t="n"/>
      <c r="Q31" s="169" t="n"/>
      <c r="R31" s="169" t="n"/>
      <c r="S31" s="169" t="n"/>
      <c r="T31" s="169" t="n"/>
      <c r="U31" s="169" t="n"/>
      <c r="V31" s="175" t="n"/>
      <c r="W31" s="200" t="n"/>
    </row>
    <row r="32">
      <c r="A32" s="17" t="n">
        <v>30</v>
      </c>
      <c r="B32" s="169" t="n"/>
      <c r="C32" s="169" t="n"/>
      <c r="D32" s="169" t="n"/>
      <c r="E32" s="169" t="n"/>
      <c r="F32" s="169" t="n"/>
      <c r="G32" s="169" t="n"/>
      <c r="H32" s="169" t="n"/>
      <c r="I32" s="169" t="n"/>
      <c r="J32" s="169" t="n"/>
      <c r="K32" s="169" t="n"/>
      <c r="L32" s="169" t="n"/>
      <c r="M32" s="169" t="n"/>
      <c r="N32" s="169" t="n"/>
      <c r="O32" s="169" t="n"/>
      <c r="P32" s="169" t="n"/>
      <c r="Q32" s="169" t="n"/>
      <c r="R32" s="169" t="n"/>
      <c r="S32" s="169" t="n"/>
      <c r="T32" s="169" t="n"/>
      <c r="U32" s="169" t="n"/>
      <c r="V32" s="175" t="n"/>
      <c r="W32" s="200" t="n"/>
    </row>
    <row r="33">
      <c r="A33" s="17" t="n">
        <v>31</v>
      </c>
      <c r="B33" s="169" t="n"/>
      <c r="C33" s="169" t="n"/>
      <c r="D33" s="169" t="n"/>
      <c r="E33" s="169" t="n"/>
      <c r="F33" s="169" t="n"/>
      <c r="G33" s="169" t="n"/>
      <c r="H33" s="169" t="n"/>
      <c r="I33" s="169" t="n"/>
      <c r="J33" s="169" t="n"/>
      <c r="K33" s="169" t="n"/>
      <c r="L33" s="169" t="n"/>
      <c r="M33" s="169" t="n"/>
      <c r="N33" s="169" t="n"/>
      <c r="O33" s="169" t="n"/>
      <c r="P33" s="169" t="n"/>
      <c r="Q33" s="169" t="n"/>
      <c r="R33" s="169" t="n"/>
      <c r="S33" s="169" t="n"/>
      <c r="T33" s="169" t="n"/>
      <c r="U33" s="169" t="n"/>
      <c r="V33" s="175" t="n"/>
      <c r="W33" s="200" t="n"/>
    </row>
    <row r="34">
      <c r="A34" s="17" t="n">
        <v>32</v>
      </c>
      <c r="B34" s="169" t="n"/>
      <c r="C34" s="169" t="n"/>
      <c r="D34" s="169" t="n"/>
      <c r="E34" s="169" t="n"/>
      <c r="F34" s="169" t="n"/>
      <c r="G34" s="169" t="n"/>
      <c r="H34" s="169" t="n"/>
      <c r="I34" s="169" t="n"/>
      <c r="J34" s="169" t="n"/>
      <c r="K34" s="169" t="n"/>
      <c r="L34" s="169" t="n"/>
      <c r="M34" s="169" t="n"/>
      <c r="N34" s="169" t="n"/>
      <c r="O34" s="169" t="n"/>
      <c r="P34" s="169" t="n"/>
      <c r="Q34" s="169" t="n"/>
      <c r="R34" s="169" t="n"/>
      <c r="S34" s="169" t="n"/>
      <c r="T34" s="169" t="n"/>
      <c r="U34" s="169" t="n"/>
      <c r="V34" s="175" t="n"/>
      <c r="W34" s="200" t="n"/>
    </row>
    <row r="35">
      <c r="A35" s="19" t="n">
        <v>33</v>
      </c>
      <c r="B35" s="174" t="n"/>
      <c r="C35" s="174" t="n"/>
      <c r="D35" s="174" t="n"/>
      <c r="E35" s="174" t="n"/>
      <c r="F35" s="174" t="n"/>
      <c r="G35" s="174" t="n"/>
      <c r="H35" s="174" t="n"/>
      <c r="I35" s="174" t="n"/>
      <c r="J35" s="174" t="n"/>
      <c r="K35" s="174" t="n"/>
      <c r="L35" s="174" t="n"/>
      <c r="M35" s="174" t="n"/>
      <c r="N35" s="174" t="n"/>
      <c r="O35" s="174" t="n"/>
      <c r="P35" s="174" t="n"/>
      <c r="Q35" s="174" t="n"/>
      <c r="R35" s="174" t="n"/>
      <c r="S35" s="174" t="n"/>
      <c r="T35" s="174" t="n"/>
      <c r="U35" s="174" t="n"/>
      <c r="V35" s="175" t="n"/>
      <c r="W35" s="200" t="n"/>
    </row>
    <row r="36">
      <c r="A36" s="19" t="n">
        <v>34</v>
      </c>
      <c r="B36" s="174" t="n"/>
      <c r="C36" s="174" t="n"/>
      <c r="D36" s="174" t="n"/>
      <c r="E36" s="174" t="n"/>
      <c r="F36" s="174" t="n"/>
      <c r="G36" s="174" t="n"/>
      <c r="H36" s="174" t="n"/>
      <c r="I36" s="174" t="n"/>
      <c r="J36" s="174" t="n"/>
      <c r="K36" s="174" t="n"/>
      <c r="L36" s="174" t="n"/>
      <c r="M36" s="174" t="n"/>
      <c r="N36" s="174" t="n"/>
      <c r="O36" s="174" t="n"/>
      <c r="P36" s="174" t="n"/>
      <c r="Q36" s="174" t="n"/>
      <c r="R36" s="174" t="n"/>
      <c r="S36" s="174" t="n"/>
      <c r="T36" s="174" t="n"/>
      <c r="U36" s="174" t="n"/>
      <c r="V36" s="175" t="n"/>
      <c r="W36" s="200" t="n"/>
    </row>
    <row r="37">
      <c r="A37" s="17" t="n">
        <v>35</v>
      </c>
      <c r="B37" s="169" t="n"/>
      <c r="C37" s="169" t="n"/>
      <c r="D37" s="169" t="n"/>
      <c r="E37" s="169" t="n"/>
      <c r="F37" s="169" t="n"/>
      <c r="G37" s="169" t="n"/>
      <c r="H37" s="169" t="n"/>
      <c r="I37" s="169" t="n"/>
      <c r="J37" s="169" t="n"/>
      <c r="K37" s="169" t="n"/>
      <c r="L37" s="169" t="n"/>
      <c r="M37" s="169" t="n"/>
      <c r="N37" s="169" t="n"/>
      <c r="O37" s="169" t="n"/>
      <c r="P37" s="169" t="n"/>
      <c r="Q37" s="169" t="n"/>
      <c r="R37" s="169" t="n"/>
      <c r="S37" s="169" t="n"/>
      <c r="T37" s="169" t="n"/>
      <c r="U37" s="169" t="n"/>
      <c r="V37" s="175" t="n"/>
      <c r="W37" s="200" t="n"/>
    </row>
    <row r="38">
      <c r="A38" s="17" t="n">
        <v>36</v>
      </c>
      <c r="B38" s="169" t="n"/>
      <c r="C38" s="169" t="n"/>
      <c r="D38" s="169" t="n"/>
      <c r="E38" s="169" t="n"/>
      <c r="F38" s="169" t="n"/>
      <c r="G38" s="169" t="n"/>
      <c r="H38" s="169" t="n"/>
      <c r="I38" s="169" t="n"/>
      <c r="J38" s="169" t="n"/>
      <c r="K38" s="169" t="n"/>
      <c r="L38" s="169" t="n"/>
      <c r="M38" s="169" t="n"/>
      <c r="N38" s="169" t="n"/>
      <c r="O38" s="169" t="n"/>
      <c r="P38" s="169" t="n"/>
      <c r="Q38" s="169" t="n"/>
      <c r="R38" s="169" t="n"/>
      <c r="S38" s="169" t="n"/>
      <c r="T38" s="169" t="n"/>
      <c r="U38" s="169" t="n"/>
      <c r="V38" s="175" t="n"/>
      <c r="W38" s="200" t="n"/>
    </row>
    <row r="39">
      <c r="A39" s="17" t="n">
        <v>37</v>
      </c>
      <c r="B39" s="169" t="n"/>
      <c r="C39" s="169" t="n"/>
      <c r="D39" s="169" t="n"/>
      <c r="E39" s="169" t="n"/>
      <c r="F39" s="169" t="n"/>
      <c r="G39" s="169" t="n"/>
      <c r="H39" s="169" t="n"/>
      <c r="I39" s="169" t="n"/>
      <c r="J39" s="169" t="n"/>
      <c r="K39" s="169" t="n"/>
      <c r="L39" s="169" t="n"/>
      <c r="M39" s="169" t="n"/>
      <c r="N39" s="169" t="n"/>
      <c r="O39" s="169" t="n"/>
      <c r="P39" s="169" t="n"/>
      <c r="Q39" s="169" t="n"/>
      <c r="R39" s="169" t="n"/>
      <c r="S39" s="169" t="n"/>
      <c r="T39" s="169" t="n"/>
      <c r="U39" s="169" t="n"/>
      <c r="V39" s="175" t="n"/>
      <c r="W39" s="200" t="n"/>
    </row>
    <row r="40">
      <c r="A40" s="17" t="n">
        <v>38</v>
      </c>
      <c r="B40" s="169" t="n"/>
      <c r="C40" s="169" t="n"/>
      <c r="D40" s="169" t="n"/>
      <c r="E40" s="169" t="n"/>
      <c r="F40" s="169" t="n"/>
      <c r="G40" s="169" t="n"/>
      <c r="H40" s="169" t="n"/>
      <c r="I40" s="169" t="n"/>
      <c r="J40" s="169" t="n"/>
      <c r="K40" s="169" t="n"/>
      <c r="L40" s="169" t="n"/>
      <c r="M40" s="169" t="n"/>
      <c r="N40" s="169" t="n"/>
      <c r="O40" s="169" t="n"/>
      <c r="P40" s="169" t="n"/>
      <c r="Q40" s="169" t="n"/>
      <c r="R40" s="169" t="n"/>
      <c r="S40" s="169" t="n"/>
      <c r="T40" s="169" t="n"/>
      <c r="U40" s="169" t="n"/>
      <c r="V40" s="175" t="n"/>
      <c r="W40" s="200" t="n"/>
    </row>
    <row r="41">
      <c r="A41" s="19" t="n">
        <v>39</v>
      </c>
      <c r="B41" s="174" t="n"/>
      <c r="C41" s="174" t="n"/>
      <c r="D41" s="174" t="n"/>
      <c r="E41" s="174" t="n"/>
      <c r="F41" s="174" t="n"/>
      <c r="G41" s="174" t="n"/>
      <c r="H41" s="174" t="n"/>
      <c r="I41" s="174" t="n"/>
      <c r="J41" s="174" t="n"/>
      <c r="K41" s="174" t="n"/>
      <c r="L41" s="174" t="n"/>
      <c r="M41" s="174" t="n"/>
      <c r="N41" s="174" t="n"/>
      <c r="O41" s="174" t="n"/>
      <c r="P41" s="174" t="n"/>
      <c r="Q41" s="174" t="n"/>
      <c r="R41" s="174" t="n"/>
      <c r="S41" s="174" t="n"/>
      <c r="T41" s="174" t="n"/>
      <c r="U41" s="174" t="n"/>
      <c r="V41" s="175" t="n"/>
      <c r="W41" s="200" t="n"/>
    </row>
    <row r="42" ht="15.75" customHeight="1" thickBot="1">
      <c r="A42" s="19" t="n">
        <v>40</v>
      </c>
      <c r="B42" s="174" t="n"/>
      <c r="C42" s="174" t="n"/>
      <c r="D42" s="174" t="n"/>
      <c r="E42" s="174" t="n"/>
      <c r="F42" s="174" t="n"/>
      <c r="G42" s="174" t="n"/>
      <c r="H42" s="174" t="n"/>
      <c r="I42" s="174" t="n"/>
      <c r="J42" s="174" t="n"/>
      <c r="K42" s="174" t="n"/>
      <c r="L42" s="174" t="n"/>
      <c r="M42" s="174" t="n"/>
      <c r="N42" s="174" t="n"/>
      <c r="O42" s="174" t="n"/>
      <c r="P42" s="174" t="n"/>
      <c r="Q42" s="174" t="n"/>
      <c r="R42" s="174" t="n"/>
      <c r="S42" s="174" t="n"/>
      <c r="T42" s="174" t="n"/>
      <c r="U42" s="174" t="n"/>
      <c r="V42" s="175" t="n"/>
      <c r="W42" s="201" t="n"/>
    </row>
    <row r="43" ht="15.75" customHeight="1" thickTop="1">
      <c r="A43" s="20" t="inlineStr">
        <is>
          <t>Average</t>
        </is>
      </c>
      <c r="B43" s="176">
        <f>AVERAGE(B3:B42)</f>
        <v/>
      </c>
      <c r="C43" s="176">
        <f>AVERAGE(C3:C42)</f>
        <v/>
      </c>
      <c r="D43" s="176">
        <f>AVERAGE(D3:D42)</f>
        <v/>
      </c>
      <c r="E43" s="176">
        <f>AVERAGE(E3:E42)</f>
        <v/>
      </c>
      <c r="F43" s="176">
        <f>AVERAGE(F3:F42)</f>
        <v/>
      </c>
      <c r="G43" s="176">
        <f>AVERAGE(G3:G42)</f>
        <v/>
      </c>
      <c r="H43" s="176">
        <f>AVERAGE(H3:H42)</f>
        <v/>
      </c>
      <c r="I43" s="176">
        <f>AVERAGE(I3:I42)</f>
        <v/>
      </c>
      <c r="J43" s="176">
        <f>AVERAGE(J3:J42)</f>
        <v/>
      </c>
      <c r="K43" s="176">
        <f>AVERAGE(K3:K42)</f>
        <v/>
      </c>
      <c r="L43" s="176">
        <f>AVERAGE(L3:L42)</f>
        <v/>
      </c>
      <c r="M43" s="176">
        <f>AVERAGE(M3:M42)</f>
        <v/>
      </c>
      <c r="N43" s="176">
        <f>AVERAGE(N3:N42)</f>
        <v/>
      </c>
      <c r="O43" s="176">
        <f>AVERAGE(O3:O42)</f>
        <v/>
      </c>
      <c r="P43" s="176">
        <f>AVERAGE(P3:P42)</f>
        <v/>
      </c>
      <c r="Q43" s="176">
        <f>AVERAGE(Q3:Q42)</f>
        <v/>
      </c>
      <c r="R43" s="176">
        <f>AVERAGE(R3:R42)</f>
        <v/>
      </c>
      <c r="S43" s="176">
        <f>AVERAGE(S3:S42)</f>
        <v/>
      </c>
      <c r="T43" s="176">
        <f>AVERAGE(T3:T42)</f>
        <v/>
      </c>
      <c r="U43" s="176">
        <f>AVERAGE(U3:U42)</f>
        <v/>
      </c>
      <c r="V43" s="176">
        <f>AVERAGE(V3:V42)</f>
        <v/>
      </c>
      <c r="W43" s="21" t="n"/>
    </row>
    <row r="44">
      <c r="A44" s="22" t="inlineStr">
        <is>
          <t>Overall Average</t>
        </is>
      </c>
      <c r="B44" s="169">
        <f>AVERAGEIF(B43:V43, "&lt;&gt;#DIV/0!")</f>
        <v/>
      </c>
      <c r="C44" s="169" t="n"/>
      <c r="D44" s="169" t="n"/>
      <c r="E44" s="169" t="n"/>
      <c r="F44" s="169" t="n"/>
      <c r="G44" s="169" t="n"/>
      <c r="H44" s="169" t="n"/>
      <c r="I44" s="169" t="n"/>
      <c r="J44" s="169" t="n"/>
      <c r="K44" s="169" t="n"/>
      <c r="L44" s="169" t="n"/>
      <c r="M44" s="169" t="n"/>
      <c r="N44" s="169" t="n"/>
      <c r="O44" s="169" t="n"/>
      <c r="P44" s="169" t="n"/>
      <c r="Q44" s="169" t="n"/>
      <c r="R44" s="169" t="n"/>
      <c r="S44" s="169" t="n"/>
      <c r="T44" s="169" t="n"/>
      <c r="U44" s="169" t="n"/>
      <c r="V44" s="169" t="n"/>
      <c r="W44" s="18" t="n"/>
    </row>
    <row r="45">
      <c r="A45" s="22" t="inlineStr">
        <is>
          <t>Total Students</t>
        </is>
      </c>
      <c r="B45" s="18">
        <f>COUNTIF(B3:B42, "&lt;&gt;")</f>
        <v/>
      </c>
      <c r="C45" s="18">
        <f>COUNTIF(C3:C42, "&lt;&gt;")</f>
        <v/>
      </c>
      <c r="D45" s="18">
        <f>COUNTIF(D3:D42, "&lt;&gt;")</f>
        <v/>
      </c>
      <c r="E45" s="18">
        <f>COUNTIF(E3:E42, "&lt;&gt;")</f>
        <v/>
      </c>
      <c r="F45" s="18">
        <f>COUNTIF(F3:F42, "&lt;&gt;")</f>
        <v/>
      </c>
      <c r="G45" s="18">
        <f>COUNTIF(G3:G42, "&lt;&gt;")</f>
        <v/>
      </c>
      <c r="H45" s="18">
        <f>COUNTIF(H3:H42, "&lt;&gt;")</f>
        <v/>
      </c>
      <c r="I45" s="18">
        <f>COUNTIF(I3:I42, "&lt;&gt;")</f>
        <v/>
      </c>
      <c r="J45" s="18">
        <f>COUNTIF(J3:J42, "&lt;&gt;")</f>
        <v/>
      </c>
      <c r="K45" s="18">
        <f>COUNTIF(K3:K42, "&lt;&gt;")</f>
        <v/>
      </c>
      <c r="L45" s="18">
        <f>COUNTIF(L3:L42, "&lt;&gt;")</f>
        <v/>
      </c>
      <c r="M45" s="18">
        <f>COUNTIF(M3:M42, "&lt;&gt;")</f>
        <v/>
      </c>
      <c r="N45" s="18">
        <f>COUNTIF(N3:N42, "&lt;&gt;")</f>
        <v/>
      </c>
      <c r="O45" s="18">
        <f>COUNTIF(O3:O42, "&lt;&gt;")</f>
        <v/>
      </c>
      <c r="P45" s="18">
        <f>COUNTIF(P3:P42, "&lt;&gt;")</f>
        <v/>
      </c>
      <c r="Q45" s="18">
        <f>COUNTIF(Q3:Q42, "&lt;&gt;")</f>
        <v/>
      </c>
      <c r="R45" s="18">
        <f>COUNTIF(R3:R42, "&lt;&gt;")</f>
        <v/>
      </c>
      <c r="S45" s="18">
        <f>COUNTIF(S3:S42, "&lt;&gt;")</f>
        <v/>
      </c>
      <c r="T45" s="18">
        <f>COUNTIF(T3:T42, "&lt;&gt;")</f>
        <v/>
      </c>
      <c r="U45" s="18">
        <f>COUNTIF(U3:U42, "&lt;&gt;")</f>
        <v/>
      </c>
      <c r="V45" s="18">
        <f>COUNTIF(V3:V42, "&lt;&gt;")</f>
        <v/>
      </c>
      <c r="W45" s="25" t="n"/>
    </row>
    <row r="47">
      <c r="B47" s="103" t="inlineStr">
        <is>
          <t>Assignment (A)</t>
        </is>
      </c>
      <c r="C47" s="23" t="inlineStr">
        <is>
          <t>Quiz (Q)</t>
        </is>
      </c>
      <c r="D47" s="23" t="inlineStr">
        <is>
          <t>Mid Term (M)</t>
        </is>
      </c>
      <c r="E47" s="23" t="inlineStr">
        <is>
          <t>Final Exam (F)</t>
        </is>
      </c>
      <c r="F47" s="23" t="inlineStr">
        <is>
          <t>Project (P)</t>
        </is>
      </c>
      <c r="G47" s="23" t="inlineStr">
        <is>
          <t>Lab (L)</t>
        </is>
      </c>
      <c r="H47" s="24" t="inlineStr">
        <is>
          <t>Anyother (OT)</t>
        </is>
      </c>
      <c r="I47" s="24" t="inlineStr">
        <is>
          <t>Total</t>
        </is>
      </c>
    </row>
    <row r="48">
      <c r="A48" s="113" t="inlineStr">
        <is>
          <t>I (1st, 2nd yr)</t>
        </is>
      </c>
      <c r="B48" s="17">
        <f>COUNTIF($D$2:$M$2, "A")</f>
        <v/>
      </c>
      <c r="C48" s="17">
        <f>COUNTIF($D$2:$M$2, "Q")</f>
        <v/>
      </c>
      <c r="D48" s="17">
        <f>COUNTIF($D$2:$M$2, "M")</f>
        <v/>
      </c>
      <c r="E48" s="17">
        <f>COUNTIF($D$2:$M$2, "f")</f>
        <v/>
      </c>
      <c r="F48" s="17">
        <f>COUNTIF($D$2:$M$2, "P")</f>
        <v/>
      </c>
      <c r="G48" s="17">
        <f>COUNTIF($D$2:$M$2, "L")</f>
        <v/>
      </c>
      <c r="H48" s="17">
        <f>COUNTIF($D$2:$M$2, "OT")</f>
        <v/>
      </c>
      <c r="I48" s="13">
        <f>SUM(B48:H48)</f>
        <v/>
      </c>
    </row>
    <row r="49">
      <c r="A49" s="114" t="inlineStr">
        <is>
          <t>D (2nd &amp; 3rd yr)</t>
        </is>
      </c>
      <c r="B49" s="17">
        <f>COUNTIF($B$2:$C$2, "A")</f>
        <v/>
      </c>
      <c r="C49" s="17">
        <f>COUNTIF($B$2:$C$2, "Q")</f>
        <v/>
      </c>
      <c r="D49" s="17">
        <f>COUNTIF($B$2:$C$2, "m")</f>
        <v/>
      </c>
      <c r="E49" s="17">
        <f>COUNTIF($B$2:$C$2, "f")</f>
        <v/>
      </c>
      <c r="F49" s="17">
        <f>COUNTIF($B$2:$C$2, "P")</f>
        <v/>
      </c>
      <c r="G49" s="17">
        <f>COUNTIF($B$2:$C$2, "L")</f>
        <v/>
      </c>
      <c r="H49" s="17">
        <f>COUNTIF($B$2:$C$2, "OT")</f>
        <v/>
      </c>
      <c r="I49" s="13">
        <f>SUM(B49:H49)</f>
        <v/>
      </c>
    </row>
    <row r="50">
      <c r="A50" s="115" t="inlineStr">
        <is>
          <t>A (3rd, 4yr)</t>
        </is>
      </c>
      <c r="B50" s="17">
        <f>COUNTIF($N$2:$V$2, "A")</f>
        <v/>
      </c>
      <c r="C50" s="17">
        <f>COUNTIF($N$2:$V$2, "Q")</f>
        <v/>
      </c>
      <c r="D50" s="17">
        <f>COUNTIF($N$2:$V$2, "m")</f>
        <v/>
      </c>
      <c r="E50" s="17">
        <f>COUNTIF($N$2:$V$2, "f")</f>
        <v/>
      </c>
      <c r="F50" s="17">
        <f>COUNTIF($N$2:$V$2, "P")</f>
        <v/>
      </c>
      <c r="G50" s="17">
        <f>COUNTIF($N$2:$V$2, "L")</f>
        <v/>
      </c>
      <c r="H50" s="17">
        <f>COUNTIF($N$2:$V$2, "OT")</f>
        <v/>
      </c>
      <c r="I50" s="13">
        <f>SUM(B50:H50)</f>
        <v/>
      </c>
    </row>
    <row r="51">
      <c r="A51" s="23" t="inlineStr">
        <is>
          <t>Total</t>
        </is>
      </c>
      <c r="B51" s="13">
        <f>SUM(B48:B50)</f>
        <v/>
      </c>
      <c r="C51" s="13">
        <f>SUM(C48:C50)</f>
        <v/>
      </c>
      <c r="D51" s="13">
        <f>SUM(D48:D50)</f>
        <v/>
      </c>
      <c r="E51" s="13">
        <f>SUM(E48:E50)</f>
        <v/>
      </c>
      <c r="F51" s="13">
        <f>SUM(F48:F50)</f>
        <v/>
      </c>
      <c r="G51" s="13">
        <f>SUM(G48:G50)</f>
        <v/>
      </c>
      <c r="H51" s="13">
        <f>SUM(H48:H50)</f>
        <v/>
      </c>
      <c r="I51" s="13">
        <f>SUM(B51:H51)</f>
        <v/>
      </c>
    </row>
    <row r="53" ht="18.75" customHeight="1" thickBot="1">
      <c r="A53" s="28" t="inlineStr">
        <is>
          <t>Frequency Distribution Analysis</t>
        </is>
      </c>
      <c r="B53" s="132" t="n"/>
      <c r="C53" s="132" t="n"/>
      <c r="D53" s="132" t="n"/>
      <c r="E53" s="132" t="n"/>
      <c r="F53" s="132" t="n"/>
      <c r="G53" s="132" t="n"/>
      <c r="H53" s="25" t="n"/>
      <c r="I53" s="25" t="n"/>
      <c r="J53" s="25" t="n"/>
      <c r="K53" s="25" t="n"/>
      <c r="L53" s="25" t="n"/>
      <c r="M53" s="25" t="n"/>
      <c r="N53" s="25" t="n"/>
      <c r="O53" s="25" t="n"/>
      <c r="P53" s="25" t="n"/>
      <c r="Q53" s="25" t="n"/>
      <c r="R53" s="25" t="n"/>
      <c r="S53" s="25" t="n"/>
      <c r="T53" s="25" t="n"/>
      <c r="U53" s="25" t="n"/>
      <c r="V53" s="25" t="n"/>
    </row>
    <row r="54" ht="16.5" customHeight="1" thickBot="1">
      <c r="A54" s="26" t="inlineStr">
        <is>
          <t>Scale</t>
        </is>
      </c>
      <c r="B54" s="167" t="inlineStr">
        <is>
          <t>CENG-3310-2</t>
        </is>
      </c>
      <c r="C54" s="167" t="inlineStr">
        <is>
          <t>EENG-3010-5</t>
        </is>
      </c>
      <c r="D54" s="165" t="inlineStr">
        <is>
          <t>CHEM-1520-1</t>
        </is>
      </c>
      <c r="E54" s="164" t="inlineStr">
        <is>
          <t>EPHY-1270-1</t>
        </is>
      </c>
      <c r="F54" s="164" t="inlineStr">
        <is>
          <t>EPHY-1270-3</t>
        </is>
      </c>
      <c r="G54" s="165" t="inlineStr">
        <is>
          <t>EPHY-1700-1</t>
        </is>
      </c>
      <c r="H54" s="165" t="inlineStr">
        <is>
          <t>EPHY-1700-2</t>
        </is>
      </c>
      <c r="I54" s="165" t="inlineStr">
        <is>
          <t>EPHY-1700-3</t>
        </is>
      </c>
      <c r="J54" s="165" t="inlineStr">
        <is>
          <t>EPHY-1700-4</t>
        </is>
      </c>
      <c r="K54" s="165" t="inlineStr">
        <is>
          <t>EPHY-1700-5</t>
        </is>
      </c>
      <c r="L54" s="165" t="inlineStr">
        <is>
          <t>EPHY-1700-6</t>
        </is>
      </c>
      <c r="M54" s="165" t="inlineStr">
        <is>
          <t>EPHY-1700-7</t>
        </is>
      </c>
      <c r="N54" s="168" t="inlineStr">
        <is>
          <t>SENG-3210-1</t>
        </is>
      </c>
      <c r="O54" s="168" t="inlineStr">
        <is>
          <t>SENG-4110-1</t>
        </is>
      </c>
      <c r="P54" s="168" t="inlineStr">
        <is>
          <t>SENG-4120-2</t>
        </is>
      </c>
      <c r="Q54" s="168" t="inlineStr">
        <is>
          <t>SENG-4140-1</t>
        </is>
      </c>
      <c r="R54" s="168" t="inlineStr">
        <is>
          <t>SENG-4220-3</t>
        </is>
      </c>
      <c r="S54" s="168" t="inlineStr">
        <is>
          <t>SENG-4620-1</t>
        </is>
      </c>
      <c r="T54" s="168" t="inlineStr">
        <is>
          <t>SENG-4650-1</t>
        </is>
      </c>
      <c r="U54" s="168" t="inlineStr">
        <is>
          <t>SENG-4660-1</t>
        </is>
      </c>
      <c r="V54" s="168" t="inlineStr">
        <is>
          <t>CENG-4320-1</t>
        </is>
      </c>
      <c r="W54" s="131" t="inlineStr">
        <is>
          <t>Average</t>
        </is>
      </c>
    </row>
    <row r="55" ht="16.5" customHeight="1" thickBot="1">
      <c r="A55" s="116" t="inlineStr">
        <is>
          <t>Below Expectation (C- and below)  (%)</t>
        </is>
      </c>
      <c r="B55" s="129">
        <f>(COUNTIF(B3:B42, "&lt;=59%"))/B45</f>
        <v/>
      </c>
      <c r="C55" s="129">
        <f>(COUNTIF(C3:C42, "&lt;=59%"))/C45</f>
        <v/>
      </c>
      <c r="D55" s="129">
        <f>(COUNTIF(D3:D42, "&lt;=59%"))/D45</f>
        <v/>
      </c>
      <c r="E55" s="129">
        <f>(COUNTIF(E3:E42, "&lt;=59%"))/E45</f>
        <v/>
      </c>
      <c r="F55" s="129">
        <f>(COUNTIF(F3:F42, "&lt;=59%"))/F45</f>
        <v/>
      </c>
      <c r="G55" s="129">
        <f>(COUNTIF(G3:G42, "&lt;=59%"))/G45</f>
        <v/>
      </c>
      <c r="H55" s="129">
        <f>(COUNTIF(H3:H42, "&lt;=59%"))/H45</f>
        <v/>
      </c>
      <c r="I55" s="129">
        <f>(COUNTIF(I3:I42, "&lt;=59%"))/I45</f>
        <v/>
      </c>
      <c r="J55" s="129">
        <f>(COUNTIF(J3:J42, "&lt;=59%"))/J45</f>
        <v/>
      </c>
      <c r="K55" s="129">
        <f>(COUNTIF(K3:K42, "&lt;=59%"))/K45</f>
        <v/>
      </c>
      <c r="L55" s="129">
        <f>(COUNTIF(L3:L42, "&lt;=59%"))/L45</f>
        <v/>
      </c>
      <c r="M55" s="129">
        <f>(COUNTIF(M3:M42, "&lt;=59%"))/M45</f>
        <v/>
      </c>
      <c r="N55" s="129">
        <f>(COUNTIF(N3:N42, "&lt;=59%"))/N45</f>
        <v/>
      </c>
      <c r="O55" s="129">
        <f>(COUNTIF(O3:O42, "&lt;=59%"))/O45</f>
        <v/>
      </c>
      <c r="P55" s="129">
        <f>(COUNTIF(P3:P42, "&lt;=59%"))/P45</f>
        <v/>
      </c>
      <c r="Q55" s="129">
        <f>(COUNTIF(Q3:Q42, "&lt;=59%"))/Q45</f>
        <v/>
      </c>
      <c r="R55" s="129">
        <f>(COUNTIF(R3:R42, "&lt;=59%"))/R45</f>
        <v/>
      </c>
      <c r="S55" s="129">
        <f>(COUNTIF(S3:S42, "&lt;=59%"))/S45</f>
        <v/>
      </c>
      <c r="T55" s="129">
        <f>(COUNTIF(T3:T42, "&lt;=59%"))/T45</f>
        <v/>
      </c>
      <c r="U55" s="129">
        <f>(COUNTIF(U3:U42, "&lt;=59%"))/U45</f>
        <v/>
      </c>
      <c r="V55" s="129">
        <f>(COUNTIF(V3:V42, "&lt;=59%"))/V45</f>
        <v/>
      </c>
      <c r="W55" s="100">
        <f>AVERAGEIF(B55:V55, "&lt;&gt;#DIV/0!")</f>
        <v/>
      </c>
    </row>
    <row r="56" ht="16.5" customHeight="1" thickBot="1">
      <c r="A56" s="117" t="inlineStr">
        <is>
          <t>Marginal (C+, C)  (%)</t>
        </is>
      </c>
      <c r="B56" s="133">
        <f>(COUNTIFS(B3:B42, "&gt;= 60%", B3:B42, "&lt;=69%" ))/B45</f>
        <v/>
      </c>
      <c r="C56" s="133">
        <f>(COUNTIFS(C3:C42, "&gt;= 60%", C3:C42, "&lt;=69%" ))/C45</f>
        <v/>
      </c>
      <c r="D56" s="133">
        <f>(COUNTIFS(D3:D42, "&gt;= 60%", D3:D42, "&lt;=69%" ))/D45</f>
        <v/>
      </c>
      <c r="E56" s="133">
        <f>(COUNTIFS(E3:E42, "&gt;= 60%", E3:E42, "&lt;=69%" ))/E45</f>
        <v/>
      </c>
      <c r="F56" s="133">
        <f>(COUNTIFS(F3:F42, "&gt;= 60%", F3:F42, "&lt;=69%" ))/F45</f>
        <v/>
      </c>
      <c r="G56" s="133">
        <f>(COUNTIFS(G3:G42, "&gt;= 60%", G3:G42, "&lt;=69%" ))/G45</f>
        <v/>
      </c>
      <c r="H56" s="133">
        <f>(COUNTIFS(H3:H42, "&gt;= 60%", H3:H42, "&lt;=69%" ))/H45</f>
        <v/>
      </c>
      <c r="I56" s="133">
        <f>(COUNTIFS(I3:I42, "&gt;= 60%", I3:I42, "&lt;=69%" ))/I45</f>
        <v/>
      </c>
      <c r="J56" s="133">
        <f>(COUNTIFS(J3:J42, "&gt;= 60%", J3:J42, "&lt;=69%" ))/J45</f>
        <v/>
      </c>
      <c r="K56" s="133">
        <f>(COUNTIFS(K3:K42, "&gt;= 60%", K3:K42, "&lt;=69%" ))/K45</f>
        <v/>
      </c>
      <c r="L56" s="133">
        <f>(COUNTIFS(L3:L42, "&gt;= 60%", L3:L42, "&lt;=69%" ))/L45</f>
        <v/>
      </c>
      <c r="M56" s="133">
        <f>(COUNTIFS(M3:M42, "&gt;= 60%", M3:M42, "&lt;=69%" ))/M45</f>
        <v/>
      </c>
      <c r="N56" s="133">
        <f>(COUNTIFS(N3:N42, "&gt;= 60%", N3:N42, "&lt;=69%" ))/N45</f>
        <v/>
      </c>
      <c r="O56" s="133">
        <f>(COUNTIFS(O3:O42, "&gt;= 60%", O3:O42, "&lt;=69%" ))/O45</f>
        <v/>
      </c>
      <c r="P56" s="133">
        <f>(COUNTIFS(P3:P42, "&gt;= 60%", P3:P42, "&lt;=69%" ))/P45</f>
        <v/>
      </c>
      <c r="Q56" s="133">
        <f>(COUNTIFS(Q3:Q42, "&gt;= 60%", Q3:Q42, "&lt;=69%" ))/Q45</f>
        <v/>
      </c>
      <c r="R56" s="133">
        <f>(COUNTIFS(R3:R42, "&gt;= 60%", R3:R42, "&lt;=69%" ))/R45</f>
        <v/>
      </c>
      <c r="S56" s="133">
        <f>(COUNTIFS(S3:S42, "&gt;= 60%", S3:S42, "&lt;=69%" ))/S45</f>
        <v/>
      </c>
      <c r="T56" s="133">
        <f>(COUNTIFS(T3:T42, "&gt;= 60%", T3:T42, "&lt;=69%" ))/T45</f>
        <v/>
      </c>
      <c r="U56" s="133">
        <f>(COUNTIFS(U3:U42, "&gt;= 60%", U3:U42, "&lt;=69%" ))/U45</f>
        <v/>
      </c>
      <c r="V56" s="133">
        <f>(COUNTIFS(V3:V42, "&gt;= 60%", V3:V42, "&lt;=69%" ))/V45</f>
        <v/>
      </c>
      <c r="W56" s="100">
        <f>AVERAGEIF(B56:V56, "&lt;&gt;#DIV/0!")</f>
        <v/>
      </c>
    </row>
    <row r="57" ht="16.5" customHeight="1" thickBot="1">
      <c r="A57" s="112" t="inlineStr">
        <is>
          <t>Meets Expectation (B+, B, B-) (%)</t>
        </is>
      </c>
      <c r="B57" s="133">
        <f>(COUNTIFS(B3:B42, "&gt;= 70%", B3:B42, "&lt;=79%" ))/B45</f>
        <v/>
      </c>
      <c r="C57" s="133">
        <f>(COUNTIFS(C3:C42, "&gt;= 70%", C3:C42, "&lt;=79%" ))/C45</f>
        <v/>
      </c>
      <c r="D57" s="133">
        <f>(COUNTIFS(D3:D42, "&gt;= 70%", D3:D42, "&lt;=79%" ))/D45</f>
        <v/>
      </c>
      <c r="E57" s="133">
        <f>(COUNTIFS(E3:E42, "&gt;= 70%", E3:E42, "&lt;=79%" ))/E45</f>
        <v/>
      </c>
      <c r="F57" s="133">
        <f>(COUNTIFS(F3:F42, "&gt;= 70%", F3:F42, "&lt;=79%" ))/F45</f>
        <v/>
      </c>
      <c r="G57" s="133">
        <f>(COUNTIFS(G3:G42, "&gt;= 70%", G3:G42, "&lt;=79%" ))/G45</f>
        <v/>
      </c>
      <c r="H57" s="133">
        <f>(COUNTIFS(H3:H42, "&gt;= 70%", H3:H42, "&lt;=79%" ))/H45</f>
        <v/>
      </c>
      <c r="I57" s="133">
        <f>(COUNTIFS(I3:I42, "&gt;= 70%", I3:I42, "&lt;=79%" ))/I45</f>
        <v/>
      </c>
      <c r="J57" s="133">
        <f>(COUNTIFS(J3:J42, "&gt;= 70%", J3:J42, "&lt;=79%" ))/J45</f>
        <v/>
      </c>
      <c r="K57" s="133">
        <f>(COUNTIFS(K3:K42, "&gt;= 70%", K3:K42, "&lt;=79%" ))/K45</f>
        <v/>
      </c>
      <c r="L57" s="133">
        <f>(COUNTIFS(L3:L42, "&gt;= 70%", L3:L42, "&lt;=79%" ))/L45</f>
        <v/>
      </c>
      <c r="M57" s="133">
        <f>(COUNTIFS(M3:M42, "&gt;= 70%", M3:M42, "&lt;=79%" ))/M45</f>
        <v/>
      </c>
      <c r="N57" s="133">
        <f>(COUNTIFS(N3:N42, "&gt;= 70%", N3:N42, "&lt;=79%" ))/N45</f>
        <v/>
      </c>
      <c r="O57" s="133">
        <f>(COUNTIFS(O3:O42, "&gt;= 70%", O3:O42, "&lt;=79%" ))/O45</f>
        <v/>
      </c>
      <c r="P57" s="133">
        <f>(COUNTIFS(P3:P42, "&gt;= 70%", P3:P42, "&lt;=79%" ))/P45</f>
        <v/>
      </c>
      <c r="Q57" s="133">
        <f>(COUNTIFS(Q3:Q42, "&gt;= 70%", Q3:Q42, "&lt;=79%" ))/Q45</f>
        <v/>
      </c>
      <c r="R57" s="133">
        <f>(COUNTIFS(R3:R42, "&gt;= 70%", R3:R42, "&lt;=79%" ))/R45</f>
        <v/>
      </c>
      <c r="S57" s="133">
        <f>(COUNTIFS(S3:S42, "&gt;= 70%", S3:S42, "&lt;=79%" ))/S45</f>
        <v/>
      </c>
      <c r="T57" s="133">
        <f>(COUNTIFS(T3:T42, "&gt;= 70%", T3:T42, "&lt;=79%" ))/T45</f>
        <v/>
      </c>
      <c r="U57" s="133">
        <f>(COUNTIFS(U3:U42, "&gt;= 70%", U3:U42, "&lt;=79%" ))/U45</f>
        <v/>
      </c>
      <c r="V57" s="133">
        <f>(COUNTIFS(V3:V42, "&gt;= 70%", V3:V42, "&lt;=79%" ))/V45</f>
        <v/>
      </c>
      <c r="W57" s="100">
        <f>AVERAGEIF(B57:V57, "&lt;&gt;#DIV/0!")</f>
        <v/>
      </c>
    </row>
    <row r="58" ht="16.5" customHeight="1" thickBot="1">
      <c r="A58" s="118" t="inlineStr">
        <is>
          <t>Exceeds Expectation (A+, A, A-) (%)</t>
        </is>
      </c>
      <c r="B58" s="133">
        <f>(COUNTIF(B3:B42,"&gt;= 80%")/B45)</f>
        <v/>
      </c>
      <c r="C58" s="133">
        <f>(COUNTIF(C3:C42,"&gt;= 80%")/C45)</f>
        <v/>
      </c>
      <c r="D58" s="133">
        <f>(COUNTIF(D3:D42,"&gt;= 80%")/D45)</f>
        <v/>
      </c>
      <c r="E58" s="133">
        <f>(COUNTIF(E3:E42,"&gt;= 80%")/E45)</f>
        <v/>
      </c>
      <c r="F58" s="133">
        <f>(COUNTIF(F3:F42,"&gt;= 80%")/F45)</f>
        <v/>
      </c>
      <c r="G58" s="133">
        <f>(COUNTIF(G3:G42,"&gt;= 80%")/G45)</f>
        <v/>
      </c>
      <c r="H58" s="133">
        <f>(COUNTIF(H3:H42,"&gt;= 80%")/H45)</f>
        <v/>
      </c>
      <c r="I58" s="133">
        <f>(COUNTIF(I3:I42,"&gt;= 80%")/I45)</f>
        <v/>
      </c>
      <c r="J58" s="133">
        <f>(COUNTIF(J3:J42,"&gt;= 80%")/J45)</f>
        <v/>
      </c>
      <c r="K58" s="133">
        <f>(COUNTIF(K3:K42,"&gt;= 80%")/K45)</f>
        <v/>
      </c>
      <c r="L58" s="133">
        <f>(COUNTIF(L3:L42,"&gt;= 80%")/L45)</f>
        <v/>
      </c>
      <c r="M58" s="133">
        <f>(COUNTIF(M3:M42,"&gt;= 80%")/M45)</f>
        <v/>
      </c>
      <c r="N58" s="133">
        <f>(COUNTIF(N3:N42,"&gt;= 80%")/N45)</f>
        <v/>
      </c>
      <c r="O58" s="133">
        <f>(COUNTIF(O3:O42,"&gt;= 80%")/O45)</f>
        <v/>
      </c>
      <c r="P58" s="133">
        <f>(COUNTIF(P3:P42,"&gt;= 80%")/P45)</f>
        <v/>
      </c>
      <c r="Q58" s="133">
        <f>(COUNTIF(Q3:Q42,"&gt;= 80%")/Q45)</f>
        <v/>
      </c>
      <c r="R58" s="133">
        <f>(COUNTIF(R3:R42,"&gt;= 80%")/R45)</f>
        <v/>
      </c>
      <c r="S58" s="133">
        <f>(COUNTIF(S3:S42,"&gt;= 80%")/S45)</f>
        <v/>
      </c>
      <c r="T58" s="133">
        <f>(COUNTIF(T3:T42,"&gt;= 80%")/T45)</f>
        <v/>
      </c>
      <c r="U58" s="133">
        <f>(COUNTIF(U3:U42,"&gt;= 80%")/U45)</f>
        <v/>
      </c>
      <c r="V58" s="133">
        <f>(COUNTIF(V3:V42,"&gt;= 80%")/V45)</f>
        <v/>
      </c>
      <c r="W58" s="100">
        <f>AVERAGEIF(B58:V58, "&lt;&gt;#DIV/0!")</f>
        <v/>
      </c>
    </row>
    <row r="59" ht="15.75" customHeight="1" thickBot="1">
      <c r="A59" s="27" t="n"/>
      <c r="B59" s="134">
        <f>SUMIF(B55:B58, "&lt;&gt;#DIV/0!")</f>
        <v/>
      </c>
      <c r="C59" s="109">
        <f>SUMIF(C55:C58, "&lt;&gt;#DIV/0!")</f>
        <v/>
      </c>
      <c r="D59" s="109">
        <f>SUMIF(D55:D58, "&lt;&gt;#DIV/0!")</f>
        <v/>
      </c>
      <c r="E59" s="109">
        <f>SUMIF(E55:E58, "&lt;&gt;#DIV/0!")</f>
        <v/>
      </c>
      <c r="F59" s="109">
        <f>SUMIF(F55:F58, "&lt;&gt;#DIV/0!")</f>
        <v/>
      </c>
      <c r="G59" s="109">
        <f>SUMIF(G55:G58, "&lt;&gt;#DIV/0!")</f>
        <v/>
      </c>
      <c r="H59" s="109">
        <f>SUMIF(H55:H58, "&lt;&gt;#DIV/0!")</f>
        <v/>
      </c>
      <c r="I59" s="109">
        <f>SUMIF(I55:I58, "&lt;&gt;#DIV/0!")</f>
        <v/>
      </c>
      <c r="J59" s="109">
        <f>SUMIF(J55:J58, "&lt;&gt;#DIV/0!")</f>
        <v/>
      </c>
      <c r="K59" s="109">
        <f>SUMIF(K55:K58, "&lt;&gt;#DIV/0!")</f>
        <v/>
      </c>
      <c r="L59" s="109">
        <f>SUMIF(L55:L58, "&lt;&gt;#DIV/0!")</f>
        <v/>
      </c>
      <c r="M59" s="109">
        <f>SUMIF(M55:M58, "&lt;&gt;#DIV/0!")</f>
        <v/>
      </c>
      <c r="N59" s="109">
        <f>SUMIF(N55:N58, "&lt;&gt;#DIV/0!")</f>
        <v/>
      </c>
      <c r="O59" s="109">
        <f>SUMIF(O55:O58, "&lt;&gt;#DIV/0!")</f>
        <v/>
      </c>
      <c r="P59" s="109">
        <f>SUMIF(P55:P58, "&lt;&gt;#DIV/0!")</f>
        <v/>
      </c>
      <c r="Q59" s="109">
        <f>SUMIF(Q55:Q58, "&lt;&gt;#DIV/0!")</f>
        <v/>
      </c>
      <c r="R59" s="109">
        <f>SUMIF(R55:R58, "&lt;&gt;#DIV/0!")</f>
        <v/>
      </c>
      <c r="S59" s="109">
        <f>SUMIF(S55:S58, "&lt;&gt;#DIV/0!")</f>
        <v/>
      </c>
      <c r="T59" s="109">
        <f>SUMIF(T55:T58, "&lt;&gt;#DIV/0!")</f>
        <v/>
      </c>
      <c r="U59" s="109">
        <f>SUMIF(U55:U58, "&lt;&gt;#DIV/0!")</f>
        <v/>
      </c>
      <c r="V59" s="109">
        <f>SUMIF(V55:V58, "&lt;&gt;#DIV/0!")</f>
        <v/>
      </c>
      <c r="W59" s="100">
        <f>AVERAGEIF(B59:V59, "&lt;&gt;#DIV/0!")</f>
        <v/>
      </c>
    </row>
    <row r="60" ht="15.75" customHeight="1" thickBot="1"/>
    <row r="61" ht="15.75" customHeight="1" thickBot="1">
      <c r="A61" s="29" t="n"/>
      <c r="B61" s="31" t="inlineStr">
        <is>
          <t>Class Limit</t>
        </is>
      </c>
      <c r="C61" s="31" t="inlineStr">
        <is>
          <t>Bin</t>
        </is>
      </c>
    </row>
    <row r="62" ht="16.5" customHeight="1" thickBot="1">
      <c r="A62" s="30" t="inlineStr">
        <is>
          <t>Exceeds Expectation (A+, A, A-) (%)</t>
        </is>
      </c>
      <c r="B62" s="33" t="inlineStr">
        <is>
          <t>80-100</t>
        </is>
      </c>
      <c r="C62" s="32" t="n">
        <v>100</v>
      </c>
    </row>
    <row r="63" ht="16.5" customHeight="1" thickBot="1">
      <c r="A63" s="30" t="inlineStr">
        <is>
          <t>Meets Expectation (B+, B, B-) (%)</t>
        </is>
      </c>
      <c r="B63" s="33" t="inlineStr">
        <is>
          <t>70-79</t>
        </is>
      </c>
      <c r="C63" s="32" t="n">
        <v>79</v>
      </c>
    </row>
    <row r="64" ht="16.5" customHeight="1" thickBot="1">
      <c r="A64" s="30" t="inlineStr">
        <is>
          <t>Marginal (C+, C)  (%)</t>
        </is>
      </c>
      <c r="B64" s="33" t="inlineStr">
        <is>
          <t>60-69</t>
        </is>
      </c>
      <c r="C64" s="32" t="n">
        <v>69</v>
      </c>
    </row>
    <row r="65" ht="16.5" customHeight="1" thickBot="1">
      <c r="A65" s="30" t="inlineStr">
        <is>
          <t>Below Expectation (C- and below)  (%)</t>
        </is>
      </c>
      <c r="B65" s="33" t="inlineStr">
        <is>
          <t>0-59</t>
        </is>
      </c>
      <c r="C65" s="32" t="n">
        <v>59</v>
      </c>
    </row>
  </sheetData>
  <mergeCells count="1">
    <mergeCell ref="W3:W42"/>
  </mergeCells>
  <conditionalFormatting sqref="B3:V2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70" operator="greaterThanOrEqual" dxfId="3">
      <formula>80</formula>
    </cfRule>
    <cfRule type="containsBlanks" priority="171" dxfId="4" stopIfTrue="1">
      <formula>LEN(TRIM(B3))=0</formula>
    </cfRule>
    <cfRule type="cellIs" priority="172" operator="greaterThanOrEqual" dxfId="3">
      <formula>80</formula>
    </cfRule>
    <cfRule type="cellIs" priority="173" operator="between" dxfId="2">
      <formula>70</formula>
      <formula>79</formula>
    </cfRule>
    <cfRule type="cellIs" priority="174" operator="between" dxfId="1">
      <formula>60</formula>
      <formula>69</formula>
    </cfRule>
    <cfRule type="cellIs" priority="175" operator="between" dxfId="0">
      <formula>0</formula>
      <formula>59</formula>
    </cfRule>
  </conditionalFormatting>
  <conditionalFormatting sqref="B23:V2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77" operator="greaterThanOrEqual" dxfId="3">
      <formula>80</formula>
    </cfRule>
    <cfRule type="containsBlanks" priority="178" dxfId="4" stopIfTrue="1">
      <formula>LEN(TRIM(B23))=0</formula>
    </cfRule>
    <cfRule type="cellIs" priority="179" operator="greaterThanOrEqual" dxfId="3">
      <formula>80</formula>
    </cfRule>
    <cfRule type="cellIs" priority="180" operator="between" dxfId="2">
      <formula>70</formula>
      <formula>79</formula>
    </cfRule>
    <cfRule type="cellIs" priority="181" operator="between" dxfId="1">
      <formula>60</formula>
      <formula>69</formula>
    </cfRule>
    <cfRule type="cellIs" priority="182" operator="between" dxfId="0">
      <formula>0</formula>
      <formula>59</formula>
    </cfRule>
  </conditionalFormatting>
  <conditionalFormatting sqref="B24:V2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84" operator="greaterThanOrEqual" dxfId="3">
      <formula>80</formula>
    </cfRule>
    <cfRule type="containsBlanks" priority="185" dxfId="4" stopIfTrue="1">
      <formula>LEN(TRIM(B24))=0</formula>
    </cfRule>
    <cfRule type="cellIs" priority="186" operator="greaterThanOrEqual" dxfId="3">
      <formula>80</formula>
    </cfRule>
    <cfRule type="cellIs" priority="187" operator="between" dxfId="2">
      <formula>70</formula>
      <formula>79</formula>
    </cfRule>
    <cfRule type="cellIs" priority="188" operator="between" dxfId="1">
      <formula>60</formula>
      <formula>69</formula>
    </cfRule>
    <cfRule type="cellIs" priority="189" operator="between" dxfId="0">
      <formula>0</formula>
      <formula>59</formula>
    </cfRule>
  </conditionalFormatting>
  <conditionalFormatting sqref="B29:V2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1" operator="greaterThanOrEqual" dxfId="3">
      <formula>80</formula>
    </cfRule>
    <cfRule type="containsBlanks" priority="192" dxfId="4" stopIfTrue="1">
      <formula>LEN(TRIM(B29))=0</formula>
    </cfRule>
    <cfRule type="cellIs" priority="193" operator="greaterThanOrEqual" dxfId="3">
      <formula>80</formula>
    </cfRule>
    <cfRule type="cellIs" priority="194" operator="between" dxfId="2">
      <formula>70</formula>
      <formula>79</formula>
    </cfRule>
    <cfRule type="cellIs" priority="195" operator="between" dxfId="1">
      <formula>60</formula>
      <formula>69</formula>
    </cfRule>
    <cfRule type="cellIs" priority="196" operator="between" dxfId="0">
      <formula>0</formula>
      <formula>59</formula>
    </cfRule>
  </conditionalFormatting>
  <conditionalFormatting sqref="B30:V3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8" operator="greaterThanOrEqual" dxfId="3">
      <formula>80</formula>
    </cfRule>
    <cfRule type="containsBlanks" priority="199" dxfId="4" stopIfTrue="1">
      <formula>LEN(TRIM(B30))=0</formula>
    </cfRule>
    <cfRule type="cellIs" priority="200" operator="greaterThanOrEqual" dxfId="3">
      <formula>80</formula>
    </cfRule>
    <cfRule type="cellIs" priority="201" operator="between" dxfId="2">
      <formula>70</formula>
      <formula>79</formula>
    </cfRule>
    <cfRule type="cellIs" priority="202" operator="between" dxfId="1">
      <formula>60</formula>
      <formula>69</formula>
    </cfRule>
    <cfRule type="cellIs" priority="203" operator="between" dxfId="0">
      <formula>0</formula>
      <formula>59</formula>
    </cfRule>
  </conditionalFormatting>
  <conditionalFormatting sqref="B36:V3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5" operator="greaterThanOrEqual" dxfId="3">
      <formula>80</formula>
    </cfRule>
    <cfRule type="containsBlanks" priority="206" dxfId="4" stopIfTrue="1">
      <formula>LEN(TRIM(B36))=0</formula>
    </cfRule>
    <cfRule type="cellIs" priority="207" operator="greaterThanOrEqual" dxfId="3">
      <formula>80</formula>
    </cfRule>
    <cfRule type="cellIs" priority="208" operator="between" dxfId="2">
      <formula>70</formula>
      <formula>79</formula>
    </cfRule>
    <cfRule type="cellIs" priority="209" operator="between" dxfId="1">
      <formula>60</formula>
      <formula>69</formula>
    </cfRule>
    <cfRule type="cellIs" priority="210" operator="between" dxfId="0">
      <formula>0</formula>
      <formula>59</formula>
    </cfRule>
  </conditionalFormatting>
  <conditionalFormatting sqref="B37:V41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2" operator="greaterThanOrEqual" dxfId="3">
      <formula>80</formula>
    </cfRule>
    <cfRule type="containsBlanks" priority="213" dxfId="4" stopIfTrue="1">
      <formula>LEN(TRIM(B37))=0</formula>
    </cfRule>
    <cfRule type="cellIs" priority="214" operator="greaterThanOrEqual" dxfId="3">
      <formula>80</formula>
    </cfRule>
    <cfRule type="cellIs" priority="215" operator="between" dxfId="2">
      <formula>70</formula>
      <formula>79</formula>
    </cfRule>
    <cfRule type="cellIs" priority="216" operator="between" dxfId="1">
      <formula>60</formula>
      <formula>69</formula>
    </cfRule>
    <cfRule type="cellIs" priority="217" operator="between" dxfId="0">
      <formula>0</formula>
      <formula>59</formula>
    </cfRule>
  </conditionalFormatting>
  <conditionalFormatting sqref="B42:V4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9" operator="greaterThanOrEqual" dxfId="3">
      <formula>80</formula>
    </cfRule>
    <cfRule type="containsBlanks" priority="220" dxfId="4" stopIfTrue="1">
      <formula>LEN(TRIM(B42))=0</formula>
    </cfRule>
    <cfRule type="cellIs" priority="221" operator="greaterThanOrEqual" dxfId="3">
      <formula>80</formula>
    </cfRule>
    <cfRule type="cellIs" priority="222" operator="between" dxfId="2">
      <formula>70</formula>
      <formula>79</formula>
    </cfRule>
    <cfRule type="cellIs" priority="223" operator="between" dxfId="1">
      <formula>60</formula>
      <formula>69</formula>
    </cfRule>
    <cfRule type="cellIs" priority="224" operator="between" dxfId="0">
      <formula>0</formula>
      <formula>59</formula>
    </cfRule>
  </conditionalFormatting>
  <dataValidations count="1">
    <dataValidation sqref="B2:V2" showErrorMessage="1" showInputMessage="1" allowBlank="1" type="list">
      <formula1>$AA$3:$AA$10</formula1>
    </dataValidation>
  </dataValidation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"/>
  <sheetViews>
    <sheetView topLeftCell="A22" zoomScale="70" zoomScaleNormal="70" workbookViewId="0">
      <selection activeCell="B55" sqref="B55:B58"/>
    </sheetView>
  </sheetViews>
  <sheetFormatPr baseColWidth="8" defaultColWidth="16.5703125" defaultRowHeight="15" outlineLevelCol="0"/>
  <cols>
    <col width="44.85546875" bestFit="1" customWidth="1" min="1" max="1"/>
    <col width="18.85546875" bestFit="1" customWidth="1" min="2" max="2"/>
    <col width="14" bestFit="1" customWidth="1" min="3" max="3"/>
    <col width="15.85546875" bestFit="1" customWidth="1" min="4" max="4"/>
    <col width="17.7109375" bestFit="1" customWidth="1" min="5" max="5"/>
    <col width="14.5703125" bestFit="1" customWidth="1" min="6" max="7"/>
    <col width="17.7109375" bestFit="1" customWidth="1" min="8" max="8"/>
    <col width="7.42578125" bestFit="1" customWidth="1" min="9" max="9"/>
    <col width="4.28515625" bestFit="1" customWidth="1" style="120" min="11" max="11"/>
  </cols>
  <sheetData>
    <row r="1">
      <c r="A1" s="13" t="inlineStr">
        <is>
          <t>Student Number</t>
        </is>
      </c>
      <c r="B1" s="167" t="inlineStr">
        <is>
          <t>CENG-3310-3</t>
        </is>
      </c>
      <c r="C1" s="167" t="inlineStr">
        <is>
          <t>EENG-3010-4</t>
        </is>
      </c>
      <c r="D1" s="165" t="inlineStr">
        <is>
          <t>EPHY-1170-3</t>
        </is>
      </c>
      <c r="E1" s="168" t="inlineStr">
        <is>
          <t>SENG-4130-4</t>
        </is>
      </c>
      <c r="F1" s="168" t="inlineStr">
        <is>
          <t>SENG-4220-2</t>
        </is>
      </c>
      <c r="G1" s="168" t="inlineStr">
        <is>
          <t>SENG-4220-5</t>
        </is>
      </c>
      <c r="H1" s="34">
        <f>COUNTA(B1:G1)</f>
        <v/>
      </c>
    </row>
    <row r="2" ht="30" customHeight="1">
      <c r="A2" s="16" t="inlineStr">
        <is>
          <t>Assessment
Tool</t>
        </is>
      </c>
      <c r="B2" s="13" t="n"/>
      <c r="C2" s="13" t="n"/>
      <c r="D2" s="13" t="n"/>
      <c r="E2" s="13" t="n"/>
      <c r="F2" s="13" t="n"/>
      <c r="G2" s="13" t="n"/>
      <c r="H2" s="34">
        <f>COUNTIF(B2:G2, "&lt;&gt;")</f>
        <v/>
      </c>
    </row>
    <row r="3">
      <c r="A3" s="35" t="n">
        <v>1</v>
      </c>
      <c r="B3" s="169" t="n"/>
      <c r="C3" s="169" t="n"/>
      <c r="D3" s="169" t="n"/>
      <c r="E3" s="169" t="n"/>
      <c r="F3" s="169" t="n"/>
      <c r="G3" s="169" t="n"/>
      <c r="H3" s="202" t="n"/>
    </row>
    <row r="4">
      <c r="A4" s="35" t="n">
        <v>2</v>
      </c>
      <c r="B4" s="169" t="n"/>
      <c r="C4" s="169" t="n"/>
      <c r="D4" s="169" t="n"/>
      <c r="E4" s="169" t="n"/>
      <c r="F4" s="169" t="n"/>
      <c r="G4" s="169" t="n"/>
      <c r="H4" s="200" t="n"/>
    </row>
    <row r="5">
      <c r="A5" s="35" t="n">
        <v>3</v>
      </c>
      <c r="B5" s="169" t="n"/>
      <c r="C5" s="169" t="n"/>
      <c r="D5" s="169" t="n"/>
      <c r="E5" s="169" t="n"/>
      <c r="F5" s="169" t="n"/>
      <c r="G5" s="169" t="n"/>
      <c r="H5" s="200" t="n"/>
      <c r="K5" s="120" t="inlineStr">
        <is>
          <t>A</t>
        </is>
      </c>
    </row>
    <row r="6">
      <c r="A6" s="35" t="n">
        <v>4</v>
      </c>
      <c r="B6" s="169" t="n"/>
      <c r="C6" s="169" t="n"/>
      <c r="D6" s="169" t="n"/>
      <c r="E6" s="169" t="n"/>
      <c r="F6" s="169" t="n"/>
      <c r="G6" s="169" t="n"/>
      <c r="H6" s="200" t="n"/>
      <c r="K6" s="120" t="inlineStr">
        <is>
          <t>Q</t>
        </is>
      </c>
    </row>
    <row r="7">
      <c r="A7" s="35" t="n">
        <v>5</v>
      </c>
      <c r="B7" s="169" t="n"/>
      <c r="C7" s="169" t="n"/>
      <c r="D7" s="169" t="n"/>
      <c r="E7" s="169" t="n"/>
      <c r="F7" s="169" t="n"/>
      <c r="G7" s="169" t="n"/>
      <c r="H7" s="200" t="n"/>
      <c r="K7" s="120" t="inlineStr">
        <is>
          <t>M</t>
        </is>
      </c>
    </row>
    <row r="8">
      <c r="A8" s="35" t="n">
        <v>6</v>
      </c>
      <c r="B8" s="169" t="n"/>
      <c r="C8" s="169" t="n"/>
      <c r="D8" s="169" t="n"/>
      <c r="E8" s="169" t="n"/>
      <c r="F8" s="169" t="n"/>
      <c r="G8" s="169" t="n"/>
      <c r="H8" s="200" t="n"/>
      <c r="K8" s="120" t="inlineStr">
        <is>
          <t>F</t>
        </is>
      </c>
    </row>
    <row r="9">
      <c r="A9" s="35" t="n">
        <v>7</v>
      </c>
      <c r="B9" s="169" t="n"/>
      <c r="C9" s="169" t="n"/>
      <c r="D9" s="169" t="n"/>
      <c r="E9" s="169" t="n"/>
      <c r="F9" s="169" t="n"/>
      <c r="G9" s="169" t="n"/>
      <c r="H9" s="200" t="n"/>
      <c r="K9" s="120" t="inlineStr">
        <is>
          <t>P</t>
        </is>
      </c>
    </row>
    <row r="10">
      <c r="A10" s="35" t="n">
        <v>8</v>
      </c>
      <c r="B10" s="169" t="n"/>
      <c r="C10" s="169" t="n"/>
      <c r="D10" s="169" t="n"/>
      <c r="E10" s="169" t="n"/>
      <c r="F10" s="169" t="n"/>
      <c r="G10" s="169" t="n"/>
      <c r="H10" s="200" t="n"/>
      <c r="K10" s="120" t="inlineStr">
        <is>
          <t>L</t>
        </is>
      </c>
    </row>
    <row r="11">
      <c r="A11" s="35" t="n">
        <v>9</v>
      </c>
      <c r="B11" s="169" t="n"/>
      <c r="C11" s="169" t="n"/>
      <c r="D11" s="169" t="n"/>
      <c r="E11" s="169" t="n"/>
      <c r="F11" s="169" t="n"/>
      <c r="G11" s="169" t="n"/>
      <c r="H11" s="200" t="n"/>
      <c r="K11" s="120" t="inlineStr">
        <is>
          <t>OT</t>
        </is>
      </c>
    </row>
    <row r="12">
      <c r="A12" s="35" t="n">
        <v>10</v>
      </c>
      <c r="B12" s="169" t="n"/>
      <c r="C12" s="169" t="n"/>
      <c r="D12" s="169" t="n"/>
      <c r="E12" s="169" t="n"/>
      <c r="F12" s="169" t="n"/>
      <c r="G12" s="169" t="n"/>
      <c r="H12" s="200" t="n"/>
    </row>
    <row r="13">
      <c r="A13" s="35" t="n">
        <v>11</v>
      </c>
      <c r="B13" s="169" t="n"/>
      <c r="C13" s="169" t="n"/>
      <c r="D13" s="169" t="n"/>
      <c r="E13" s="169" t="n"/>
      <c r="F13" s="169" t="n"/>
      <c r="G13" s="169" t="n"/>
      <c r="H13" s="200" t="n"/>
    </row>
    <row r="14">
      <c r="A14" s="35" t="n">
        <v>12</v>
      </c>
      <c r="B14" s="169" t="n"/>
      <c r="C14" s="169" t="n"/>
      <c r="D14" s="169" t="n"/>
      <c r="E14" s="169" t="n"/>
      <c r="F14" s="169" t="n"/>
      <c r="G14" s="169" t="n"/>
      <c r="H14" s="200" t="n"/>
    </row>
    <row r="15">
      <c r="A15" s="35" t="n">
        <v>13</v>
      </c>
      <c r="B15" s="169" t="n"/>
      <c r="C15" s="169" t="n"/>
      <c r="D15" s="169" t="n"/>
      <c r="E15" s="169" t="n"/>
      <c r="F15" s="169" t="n"/>
      <c r="G15" s="169" t="n"/>
      <c r="H15" s="200" t="n"/>
    </row>
    <row r="16">
      <c r="A16" s="35" t="n">
        <v>14</v>
      </c>
      <c r="B16" s="169" t="n"/>
      <c r="C16" s="169" t="n"/>
      <c r="D16" s="169" t="n"/>
      <c r="E16" s="169" t="n"/>
      <c r="F16" s="169" t="n"/>
      <c r="G16" s="169" t="n"/>
      <c r="H16" s="200" t="n"/>
    </row>
    <row r="17">
      <c r="A17" s="35" t="n">
        <v>15</v>
      </c>
      <c r="B17" s="169" t="n"/>
      <c r="C17" s="169" t="n"/>
      <c r="D17" s="169" t="n"/>
      <c r="E17" s="169" t="n"/>
      <c r="F17" s="169" t="n"/>
      <c r="G17" s="169" t="n"/>
      <c r="H17" s="200" t="n"/>
    </row>
    <row r="18">
      <c r="A18" s="35" t="n">
        <v>16</v>
      </c>
      <c r="B18" s="169" t="n"/>
      <c r="C18" s="169" t="n"/>
      <c r="D18" s="169" t="n"/>
      <c r="E18" s="169" t="n"/>
      <c r="F18" s="169" t="n"/>
      <c r="G18" s="169" t="n"/>
      <c r="H18" s="200" t="n"/>
    </row>
    <row r="19">
      <c r="A19" s="35" t="n">
        <v>17</v>
      </c>
      <c r="B19" s="169" t="n"/>
      <c r="C19" s="169" t="n"/>
      <c r="D19" s="169" t="n"/>
      <c r="E19" s="169" t="n"/>
      <c r="F19" s="169" t="n"/>
      <c r="G19" s="169" t="n"/>
      <c r="H19" s="200" t="n"/>
    </row>
    <row r="20">
      <c r="A20" s="35" t="n">
        <v>18</v>
      </c>
      <c r="B20" s="169" t="n"/>
      <c r="C20" s="169" t="n"/>
      <c r="D20" s="169" t="n"/>
      <c r="E20" s="169" t="n"/>
      <c r="F20" s="169" t="n"/>
      <c r="G20" s="169" t="n"/>
      <c r="H20" s="200" t="n"/>
    </row>
    <row r="21">
      <c r="A21" s="35" t="n">
        <v>19</v>
      </c>
      <c r="B21" s="169" t="n"/>
      <c r="C21" s="169" t="n"/>
      <c r="D21" s="169" t="n"/>
      <c r="E21" s="169" t="n"/>
      <c r="F21" s="169" t="n"/>
      <c r="G21" s="169" t="n"/>
      <c r="H21" s="200" t="n"/>
    </row>
    <row r="22">
      <c r="A22" s="35" t="n">
        <v>20</v>
      </c>
      <c r="B22" s="169" t="n"/>
      <c r="C22" s="169" t="n"/>
      <c r="D22" s="169" t="n"/>
      <c r="E22" s="169" t="n"/>
      <c r="F22" s="169" t="n"/>
      <c r="G22" s="169" t="n"/>
      <c r="H22" s="200" t="n"/>
    </row>
    <row r="23">
      <c r="A23" s="37" t="n">
        <v>21</v>
      </c>
      <c r="B23" s="169" t="n"/>
      <c r="C23" s="169" t="n"/>
      <c r="D23" s="169" t="n"/>
      <c r="E23" s="169" t="n"/>
      <c r="F23" s="169" t="n"/>
      <c r="G23" s="169" t="n"/>
      <c r="H23" s="200" t="n"/>
    </row>
    <row r="24">
      <c r="A24" s="37" t="n">
        <v>22</v>
      </c>
      <c r="B24" s="169" t="n"/>
      <c r="C24" s="169" t="n"/>
      <c r="D24" s="169" t="n"/>
      <c r="E24" s="169" t="n"/>
      <c r="F24" s="169" t="n"/>
      <c r="G24" s="169" t="n"/>
      <c r="H24" s="200" t="n"/>
    </row>
    <row r="25">
      <c r="A25" s="37" t="n">
        <v>23</v>
      </c>
      <c r="B25" s="169" t="n"/>
      <c r="C25" s="169" t="n"/>
      <c r="D25" s="169" t="n"/>
      <c r="E25" s="169" t="n"/>
      <c r="F25" s="169" t="n"/>
      <c r="G25" s="169" t="n"/>
      <c r="H25" s="200" t="n"/>
    </row>
    <row r="26">
      <c r="A26" s="37" t="n">
        <v>24</v>
      </c>
      <c r="B26" s="169" t="n"/>
      <c r="C26" s="169" t="n"/>
      <c r="D26" s="169" t="n"/>
      <c r="E26" s="169" t="n"/>
      <c r="F26" s="169" t="n"/>
      <c r="G26" s="169" t="n"/>
      <c r="H26" s="200" t="n"/>
    </row>
    <row r="27">
      <c r="A27" s="37" t="n">
        <v>25</v>
      </c>
      <c r="B27" s="169" t="n"/>
      <c r="C27" s="169" t="n"/>
      <c r="D27" s="169" t="n"/>
      <c r="E27" s="169" t="n"/>
      <c r="F27" s="169" t="n"/>
      <c r="G27" s="169" t="n"/>
      <c r="H27" s="200" t="n"/>
    </row>
    <row r="28">
      <c r="A28" s="37" t="n">
        <v>26</v>
      </c>
      <c r="B28" s="169" t="n"/>
      <c r="C28" s="169" t="n"/>
      <c r="D28" s="169" t="n"/>
      <c r="E28" s="169" t="n"/>
      <c r="F28" s="169" t="n"/>
      <c r="G28" s="169" t="n"/>
      <c r="H28" s="200" t="n"/>
    </row>
    <row r="29">
      <c r="A29" s="37" t="n">
        <v>27</v>
      </c>
      <c r="B29" s="169" t="n"/>
      <c r="C29" s="169" t="n"/>
      <c r="D29" s="169" t="n"/>
      <c r="E29" s="169" t="n"/>
      <c r="F29" s="169" t="n"/>
      <c r="G29" s="169" t="n"/>
      <c r="H29" s="200" t="n"/>
    </row>
    <row r="30">
      <c r="A30" s="37" t="n">
        <v>28</v>
      </c>
      <c r="B30" s="169" t="n"/>
      <c r="C30" s="169" t="n"/>
      <c r="D30" s="169" t="n"/>
      <c r="E30" s="169" t="n"/>
      <c r="F30" s="169" t="n"/>
      <c r="G30" s="169" t="n"/>
      <c r="H30" s="200" t="n"/>
    </row>
    <row r="31">
      <c r="A31" s="37" t="n">
        <v>29</v>
      </c>
      <c r="B31" s="169" t="n"/>
      <c r="C31" s="169" t="n"/>
      <c r="D31" s="169" t="n"/>
      <c r="E31" s="169" t="n"/>
      <c r="F31" s="169" t="n"/>
      <c r="G31" s="169" t="n"/>
      <c r="H31" s="200" t="n"/>
    </row>
    <row r="32">
      <c r="A32" s="37" t="n">
        <v>30</v>
      </c>
      <c r="B32" s="169" t="n"/>
      <c r="C32" s="169" t="n"/>
      <c r="D32" s="169" t="n"/>
      <c r="E32" s="169" t="n"/>
      <c r="F32" s="169" t="n"/>
      <c r="G32" s="169" t="n"/>
      <c r="H32" s="200" t="n"/>
    </row>
    <row r="33">
      <c r="A33" s="37" t="n">
        <v>31</v>
      </c>
      <c r="B33" s="169" t="n"/>
      <c r="C33" s="169" t="n"/>
      <c r="D33" s="169" t="n"/>
      <c r="E33" s="169" t="n"/>
      <c r="F33" s="169" t="n"/>
      <c r="G33" s="169" t="n"/>
      <c r="H33" s="200" t="n"/>
    </row>
    <row r="34">
      <c r="A34" s="37" t="n">
        <v>32</v>
      </c>
      <c r="B34" s="169" t="n"/>
      <c r="C34" s="169" t="n"/>
      <c r="D34" s="169" t="n"/>
      <c r="E34" s="169" t="n"/>
      <c r="F34" s="169" t="n"/>
      <c r="G34" s="169" t="n"/>
      <c r="H34" s="200" t="n"/>
    </row>
    <row r="35">
      <c r="A35" s="37" t="n">
        <v>33</v>
      </c>
      <c r="B35" s="169" t="n"/>
      <c r="C35" s="169" t="n"/>
      <c r="D35" s="169" t="n"/>
      <c r="E35" s="169" t="n"/>
      <c r="F35" s="169" t="n"/>
      <c r="G35" s="169" t="n"/>
      <c r="H35" s="200" t="n"/>
    </row>
    <row r="36">
      <c r="A36" s="37" t="n">
        <v>34</v>
      </c>
      <c r="B36" s="169" t="n"/>
      <c r="C36" s="169" t="n"/>
      <c r="D36" s="169" t="n"/>
      <c r="E36" s="169" t="n"/>
      <c r="F36" s="169" t="n"/>
      <c r="G36" s="169" t="n"/>
      <c r="H36" s="200" t="n"/>
    </row>
    <row r="37">
      <c r="A37" s="37" t="n">
        <v>35</v>
      </c>
      <c r="B37" s="169" t="n"/>
      <c r="C37" s="169" t="n"/>
      <c r="D37" s="169" t="n"/>
      <c r="E37" s="169" t="n"/>
      <c r="F37" s="169" t="n"/>
      <c r="G37" s="169" t="n"/>
      <c r="H37" s="200" t="n"/>
    </row>
    <row r="38">
      <c r="A38" s="37" t="n">
        <v>36</v>
      </c>
      <c r="B38" s="169" t="n"/>
      <c r="C38" s="169" t="n"/>
      <c r="D38" s="169" t="n"/>
      <c r="E38" s="169" t="n"/>
      <c r="F38" s="169" t="n"/>
      <c r="G38" s="169" t="n"/>
      <c r="H38" s="200" t="n"/>
    </row>
    <row r="39">
      <c r="A39" s="37" t="n">
        <v>37</v>
      </c>
      <c r="B39" s="169" t="n"/>
      <c r="C39" s="169" t="n"/>
      <c r="D39" s="169" t="n"/>
      <c r="E39" s="169" t="n"/>
      <c r="F39" s="169" t="n"/>
      <c r="G39" s="169" t="n"/>
      <c r="H39" s="200" t="n"/>
    </row>
    <row r="40">
      <c r="A40" s="37" t="n">
        <v>38</v>
      </c>
      <c r="B40" s="169" t="n"/>
      <c r="C40" s="169" t="n"/>
      <c r="D40" s="169" t="n"/>
      <c r="E40" s="169" t="n"/>
      <c r="F40" s="169" t="n"/>
      <c r="G40" s="169" t="n"/>
      <c r="H40" s="200" t="n"/>
    </row>
    <row r="41">
      <c r="A41" s="37" t="n">
        <v>39</v>
      </c>
      <c r="B41" s="169" t="n"/>
      <c r="C41" s="169" t="n"/>
      <c r="D41" s="169" t="n"/>
      <c r="E41" s="169" t="n"/>
      <c r="F41" s="169" t="n"/>
      <c r="G41" s="169" t="n"/>
      <c r="H41" s="200" t="n"/>
    </row>
    <row r="42" ht="15.75" customHeight="1" thickBot="1">
      <c r="A42" s="37" t="n">
        <v>40</v>
      </c>
      <c r="B42" s="169" t="n"/>
      <c r="C42" s="169" t="n"/>
      <c r="D42" s="169" t="n"/>
      <c r="E42" s="169" t="n"/>
      <c r="F42" s="169" t="n"/>
      <c r="G42" s="169" t="n"/>
      <c r="H42" s="201" t="n"/>
    </row>
    <row r="43" ht="15.75" customHeight="1" thickTop="1">
      <c r="A43" s="38" t="inlineStr">
        <is>
          <t>Average</t>
        </is>
      </c>
      <c r="B43" s="171">
        <f>AVERAGE(B3:B42)</f>
        <v/>
      </c>
      <c r="C43" s="171">
        <f>AVERAGE(C3:C42)</f>
        <v/>
      </c>
      <c r="D43" s="171">
        <f>AVERAGE(D3:D42)</f>
        <v/>
      </c>
      <c r="E43" s="171">
        <f>AVERAGE(E3:E42)</f>
        <v/>
      </c>
      <c r="F43" s="171">
        <f>AVERAGE(F3:F42)</f>
        <v/>
      </c>
      <c r="G43" s="171">
        <f>AVERAGE(G3:G42)</f>
        <v/>
      </c>
      <c r="H43" s="39" t="n"/>
    </row>
    <row r="44">
      <c r="A44" s="40" t="inlineStr">
        <is>
          <t>Overall Average</t>
        </is>
      </c>
      <c r="B44" s="172">
        <f>AVERAGEIF(B43:G43, "&lt;&gt;#DIV/0!")</f>
        <v/>
      </c>
      <c r="C44" s="172" t="n"/>
      <c r="D44" s="172" t="n"/>
      <c r="E44" s="172" t="n"/>
      <c r="F44" s="172" t="n"/>
      <c r="G44" s="172" t="n"/>
      <c r="H44" s="35" t="n"/>
    </row>
    <row r="45">
      <c r="A45" s="40" t="inlineStr">
        <is>
          <t>Total Students</t>
        </is>
      </c>
      <c r="B45" s="36">
        <f>COUNTIF(B3:B42, "&lt;&gt;")</f>
        <v/>
      </c>
      <c r="C45" s="36">
        <f>COUNTIF(C3:C42, "&lt;&gt;")</f>
        <v/>
      </c>
      <c r="D45" s="36">
        <f>COUNTIF(D3:D42, "&lt;&gt;")</f>
        <v/>
      </c>
      <c r="E45" s="36">
        <f>COUNTIF(E3:E42, "&lt;&gt;")</f>
        <v/>
      </c>
      <c r="F45" s="36">
        <f>COUNTIF(F3:F42, "&lt;&gt;")</f>
        <v/>
      </c>
      <c r="G45" s="36">
        <f>COUNTIF(G3:G42, "&lt;&gt;")</f>
        <v/>
      </c>
      <c r="H45" s="35" t="n"/>
    </row>
    <row r="47">
      <c r="B47" s="103" t="inlineStr">
        <is>
          <t>Assignment (A)</t>
        </is>
      </c>
      <c r="C47" s="23" t="inlineStr">
        <is>
          <t>Quiz (Q)</t>
        </is>
      </c>
      <c r="D47" s="23" t="inlineStr">
        <is>
          <t>Mid Term (M)</t>
        </is>
      </c>
      <c r="E47" s="23" t="inlineStr">
        <is>
          <t>Final Exam (F)</t>
        </is>
      </c>
      <c r="F47" s="23" t="inlineStr">
        <is>
          <t>Project (P)</t>
        </is>
      </c>
      <c r="G47" s="23" t="inlineStr">
        <is>
          <t>Lab (L)</t>
        </is>
      </c>
      <c r="H47" s="24" t="inlineStr">
        <is>
          <t>Anyother (OT)</t>
        </is>
      </c>
      <c r="I47" s="24" t="inlineStr">
        <is>
          <t>Total</t>
        </is>
      </c>
    </row>
    <row r="48">
      <c r="A48" s="113" t="inlineStr">
        <is>
          <t>I (1st, 2nd yr)</t>
        </is>
      </c>
      <c r="B48" s="17">
        <f>COUNTIF($D$2, "A")</f>
        <v/>
      </c>
      <c r="C48" s="17">
        <f>COUNTIF($D$2, "Q")</f>
        <v/>
      </c>
      <c r="D48" s="17">
        <f>COUNTIF($D$2, "M")</f>
        <v/>
      </c>
      <c r="E48" s="17">
        <f>COUNTIF($D$2, "F")</f>
        <v/>
      </c>
      <c r="F48" s="17">
        <f>COUNTIF($D$2, "P")</f>
        <v/>
      </c>
      <c r="G48" s="17">
        <f>COUNTIF($D$2, "L")</f>
        <v/>
      </c>
      <c r="H48" s="17">
        <f>COUNTIF($D$2, "OT")</f>
        <v/>
      </c>
      <c r="I48" s="13">
        <f>SUM(B48:H48)</f>
        <v/>
      </c>
    </row>
    <row r="49">
      <c r="A49" s="114" t="inlineStr">
        <is>
          <t>D (2nd &amp; 3rd yr)</t>
        </is>
      </c>
      <c r="B49" s="17">
        <f>COUNTIF($B$2:$C$2, "A")</f>
        <v/>
      </c>
      <c r="C49" s="17">
        <f>COUNTIF($B$2:$C$2, "Q")</f>
        <v/>
      </c>
      <c r="D49" s="17">
        <f>COUNTIF($B$2:$C$2, "M")</f>
        <v/>
      </c>
      <c r="E49" s="17">
        <f>COUNTIF($B$2:$C$2, "F")</f>
        <v/>
      </c>
      <c r="F49" s="17">
        <f>COUNTIF($B$2:$C$2, "P")</f>
        <v/>
      </c>
      <c r="G49" s="17">
        <f>COUNTIF($B$2:$C$2, "L")</f>
        <v/>
      </c>
      <c r="H49" s="17">
        <f>COUNTIF($B$2:$C$2, "Ot")</f>
        <v/>
      </c>
      <c r="I49" s="13">
        <f>SUM(B49:H49)</f>
        <v/>
      </c>
    </row>
    <row r="50">
      <c r="A50" s="115" t="inlineStr">
        <is>
          <t>A (3rd, 4yr)</t>
        </is>
      </c>
      <c r="B50" s="17">
        <f>COUNTIF($E$2:$G$2, "A")</f>
        <v/>
      </c>
      <c r="C50" s="17">
        <f>COUNTIF($E$2:$G$2, "Q")</f>
        <v/>
      </c>
      <c r="D50" s="17">
        <f>COUNTIF($E$2:$G$2, "M")</f>
        <v/>
      </c>
      <c r="E50" s="17">
        <f>COUNTIF($E$2:$G$2, "F")</f>
        <v/>
      </c>
      <c r="F50" s="17">
        <f>COUNTIF($E$2:$G$2, "P")</f>
        <v/>
      </c>
      <c r="G50" s="17">
        <f>COUNTIF($E$2:$G$2, "L")</f>
        <v/>
      </c>
      <c r="H50" s="17">
        <f>COUNTIF($E$2:$G$2, "OT")</f>
        <v/>
      </c>
      <c r="I50" s="13">
        <f>SUM(B50:H50)</f>
        <v/>
      </c>
    </row>
    <row r="51">
      <c r="A51" s="23" t="inlineStr">
        <is>
          <t>Total</t>
        </is>
      </c>
      <c r="B51" s="13">
        <f>SUM(B48:B50)</f>
        <v/>
      </c>
      <c r="C51" s="13">
        <f>SUM(C48:C50)</f>
        <v/>
      </c>
      <c r="D51" s="13">
        <f>SUM(D48:D50)</f>
        <v/>
      </c>
      <c r="E51" s="13">
        <f>SUM(E48:E50)</f>
        <v/>
      </c>
      <c r="F51" s="13">
        <f>SUM(F48:F50)</f>
        <v/>
      </c>
      <c r="G51" s="13">
        <f>SUM(G48:G50)</f>
        <v/>
      </c>
      <c r="H51" s="13">
        <f>SUM(H48:H50)</f>
        <v/>
      </c>
      <c r="I51" s="13">
        <f>SUM(B51:H51)</f>
        <v/>
      </c>
    </row>
    <row r="52">
      <c r="A52" s="98" t="n"/>
      <c r="B52" s="29" t="n"/>
      <c r="C52" s="29" t="n"/>
      <c r="D52" s="29" t="n"/>
      <c r="E52" s="29" t="n"/>
      <c r="F52" s="29" t="n"/>
      <c r="G52" s="29" t="n"/>
      <c r="H52" s="29" t="n"/>
      <c r="I52" s="29" t="n"/>
    </row>
    <row r="53" ht="18.75" customHeight="1" thickBot="1">
      <c r="A53" s="28" t="inlineStr">
        <is>
          <t>Frequency Distribution Analysis</t>
        </is>
      </c>
    </row>
    <row r="54" ht="16.5" customHeight="1" thickBot="1">
      <c r="A54" s="123" t="inlineStr">
        <is>
          <t>Scale</t>
        </is>
      </c>
      <c r="B54" s="167" t="inlineStr">
        <is>
          <t>CENG-3310-3</t>
        </is>
      </c>
      <c r="C54" s="167" t="inlineStr">
        <is>
          <t>EENG-3010-4</t>
        </is>
      </c>
      <c r="D54" s="165" t="inlineStr">
        <is>
          <t>EPHY-1170-3</t>
        </is>
      </c>
      <c r="E54" s="168" t="inlineStr">
        <is>
          <t>SENG-4130-4</t>
        </is>
      </c>
      <c r="F54" s="168" t="inlineStr">
        <is>
          <t>SENG-4220-2</t>
        </is>
      </c>
      <c r="G54" s="168" t="inlineStr">
        <is>
          <t>SENG-4220-5</t>
        </is>
      </c>
      <c r="H54" s="44" t="inlineStr">
        <is>
          <t>Average</t>
        </is>
      </c>
    </row>
    <row r="55" ht="16.5" customHeight="1" thickBot="1">
      <c r="A55" s="124" t="inlineStr">
        <is>
          <t>Below Expectation (C- and below)  (%)</t>
        </is>
      </c>
      <c r="B55" s="129">
        <f>(COUNTIF(B3:B42, "&lt;=59%"))/B45</f>
        <v/>
      </c>
      <c r="C55" s="129">
        <f>(COUNTIF(C3:C42, "&lt;=59%"))/C45</f>
        <v/>
      </c>
      <c r="D55" s="129">
        <f>(COUNTIF(D3:D42, "&lt;=59%"))/D45</f>
        <v/>
      </c>
      <c r="E55" s="129">
        <f>(COUNTIF(E3:E42, "&lt;=59%"))/E45</f>
        <v/>
      </c>
      <c r="F55" s="129">
        <f>(COUNTIF(F3:F42, "&lt;=59%"))/F45</f>
        <v/>
      </c>
      <c r="G55" s="129">
        <f>(COUNTIF(G3:G42, "&lt;=59%"))/G45</f>
        <v/>
      </c>
      <c r="H55" s="45">
        <f>AVERAGEIF(B55:G55, "&lt;&gt;#DIV/0!")</f>
        <v/>
      </c>
    </row>
    <row r="56" ht="16.5" customHeight="1" thickBot="1">
      <c r="A56" s="125" t="inlineStr">
        <is>
          <t>Marginal (C+, C)  (%)</t>
        </is>
      </c>
      <c r="B56" s="133">
        <f>(COUNTIFS(B3:B42, "&gt;= 60%", B3:B42, "&lt;=69%" ))/B45</f>
        <v/>
      </c>
      <c r="C56" s="133">
        <f>(COUNTIFS(C3:C42, "&gt;= 60%", C3:C42, "&lt;=69%" ))/C45</f>
        <v/>
      </c>
      <c r="D56" s="133">
        <f>(COUNTIFS(D3:D42, "&gt;= 60%", D3:D42, "&lt;=69%" ))/D45</f>
        <v/>
      </c>
      <c r="E56" s="133">
        <f>(COUNTIFS(E3:E42, "&gt;= 60%", E3:E42, "&lt;=69%" ))/E45</f>
        <v/>
      </c>
      <c r="F56" s="133">
        <f>(COUNTIFS(F3:F42, "&gt;= 60%", F3:F42, "&lt;=69%" ))/F45</f>
        <v/>
      </c>
      <c r="G56" s="133">
        <f>(COUNTIFS(G3:G42, "&gt;= 60%", G3:G42, "&lt;=69%" ))/G45</f>
        <v/>
      </c>
      <c r="H56" s="45">
        <f>AVERAGEIF(B56:G56, "&lt;&gt;#DIV/0!")</f>
        <v/>
      </c>
    </row>
    <row r="57" ht="16.5" customHeight="1" thickBot="1">
      <c r="A57" s="126" t="inlineStr">
        <is>
          <t>Meets Expectation (B+, B, B-) (%)</t>
        </is>
      </c>
      <c r="B57" s="133">
        <f>(COUNTIFS(B3:B42, "&gt;= 70%", B3:B42, "&lt;=79%" ))/B45</f>
        <v/>
      </c>
      <c r="C57" s="133">
        <f>(COUNTIFS(C3:C42, "&gt;= 70%", C3:C42, "&lt;=79%" ))/C45</f>
        <v/>
      </c>
      <c r="D57" s="133">
        <f>(COUNTIFS(D3:D42, "&gt;= 70%", D3:D42, "&lt;=79%" ))/D45</f>
        <v/>
      </c>
      <c r="E57" s="133">
        <f>(COUNTIFS(E3:E42, "&gt;= 70%", E3:E42, "&lt;=79%" ))/E45</f>
        <v/>
      </c>
      <c r="F57" s="133">
        <f>(COUNTIFS(F3:F42, "&gt;= 70%", F3:F42, "&lt;=79%" ))/F45</f>
        <v/>
      </c>
      <c r="G57" s="133">
        <f>(COUNTIFS(G3:G42, "&gt;= 70%", G3:G42, "&lt;=79%" ))/G45</f>
        <v/>
      </c>
      <c r="H57" s="45">
        <f>AVERAGEIF(B57:G57, "&lt;&gt;#DIV/0!")</f>
        <v/>
      </c>
    </row>
    <row r="58" ht="16.5" customHeight="1" thickBot="1">
      <c r="A58" s="127" t="inlineStr">
        <is>
          <t>Exceeds Expectation (A+, A, A-) (%)</t>
        </is>
      </c>
      <c r="B58" s="133">
        <f>(COUNTIF(B3:B42,"&gt;= 80%")/B45)</f>
        <v/>
      </c>
      <c r="C58" s="133">
        <f>(COUNTIF(C3:C42,"&gt;= 80%")/C45)</f>
        <v/>
      </c>
      <c r="D58" s="133">
        <f>(COUNTIF(D3:D42,"&gt;= 80%")/D45)</f>
        <v/>
      </c>
      <c r="E58" s="133">
        <f>(COUNTIF(E3:E42,"&gt;= 80%")/E45)</f>
        <v/>
      </c>
      <c r="F58" s="133">
        <f>(COUNTIF(F3:F42,"&gt;= 80%")/F45)</f>
        <v/>
      </c>
      <c r="G58" s="133">
        <f>(COUNTIF(G3:G42,"&gt;= 80%")/G45)</f>
        <v/>
      </c>
      <c r="H58" s="45">
        <f>AVERAGEIF(B58:G58, "&lt;&gt;#DIV/0!")</f>
        <v/>
      </c>
    </row>
    <row r="59" ht="16.5" customHeight="1" thickBot="1" thickTop="1">
      <c r="A59" s="128" t="n"/>
      <c r="B59" s="101">
        <f>SUMIF(B55:B58, "&lt;&gt;#DIV/0!")</f>
        <v/>
      </c>
      <c r="C59" s="43">
        <f>SUMIF(C55:C58, "&lt;&gt;#DIV/0!")</f>
        <v/>
      </c>
      <c r="D59" s="43">
        <f>SUMIF(D55:D58, "&lt;&gt;#DIV/0!")</f>
        <v/>
      </c>
      <c r="E59" s="43">
        <f>SUMIF(E55:E58, "&lt;&gt;#DIV/0!")</f>
        <v/>
      </c>
      <c r="F59" s="43">
        <f>SUMIF(F55:F58, "&lt;&gt;#DIV/0!")</f>
        <v/>
      </c>
      <c r="G59" s="43">
        <f>SUMIF(G55:G58, "&lt;&gt;#DIV/0!")</f>
        <v/>
      </c>
      <c r="H59" s="130" t="n"/>
    </row>
    <row r="60" ht="15.75" customHeight="1" thickBot="1"/>
    <row r="61" ht="15.75" customHeight="1" thickBot="1">
      <c r="A61" s="29" t="n"/>
      <c r="B61" s="46" t="inlineStr">
        <is>
          <t>Class Limit</t>
        </is>
      </c>
      <c r="C61" s="46" t="inlineStr">
        <is>
          <t>Bin</t>
        </is>
      </c>
    </row>
    <row r="62" ht="16.5" customHeight="1" thickBot="1">
      <c r="A62" s="42" t="inlineStr">
        <is>
          <t>Exceeds Expectation (A+, A, A-) (%)</t>
        </is>
      </c>
      <c r="B62" s="48" t="inlineStr">
        <is>
          <t>80-100</t>
        </is>
      </c>
      <c r="C62" s="47" t="n">
        <v>100</v>
      </c>
    </row>
    <row r="63" ht="16.5" customHeight="1" thickBot="1">
      <c r="A63" s="42" t="inlineStr">
        <is>
          <t>Meets Expectation (B+, B, B-) (%)</t>
        </is>
      </c>
      <c r="B63" s="48" t="inlineStr">
        <is>
          <t>70-79</t>
        </is>
      </c>
      <c r="C63" s="47" t="n">
        <v>79</v>
      </c>
    </row>
    <row r="64" ht="16.5" customHeight="1" thickBot="1">
      <c r="A64" s="42" t="inlineStr">
        <is>
          <t>Marginal (C+, C)  (%)</t>
        </is>
      </c>
      <c r="B64" s="48" t="inlineStr">
        <is>
          <t>60-69</t>
        </is>
      </c>
      <c r="C64" s="47" t="n">
        <v>69</v>
      </c>
    </row>
    <row r="65" ht="16.5" customHeight="1" thickBot="1">
      <c r="A65" s="42" t="inlineStr">
        <is>
          <t>Below Expectation (C- and below)  (%)</t>
        </is>
      </c>
      <c r="B65" s="48" t="inlineStr">
        <is>
          <t>0-59</t>
        </is>
      </c>
      <c r="C65" s="47" t="n">
        <v>59</v>
      </c>
    </row>
  </sheetData>
  <mergeCells count="1">
    <mergeCell ref="H3:H42"/>
  </mergeCells>
  <conditionalFormatting sqref="B3:G2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66" operator="greaterThanOrEqual" dxfId="3">
      <formula>80</formula>
    </cfRule>
    <cfRule type="containsBlanks" priority="367" dxfId="4" stopIfTrue="1">
      <formula>LEN(TRIM(B3))=0</formula>
    </cfRule>
    <cfRule type="cellIs" priority="368" operator="greaterThanOrEqual" dxfId="3">
      <formula>80</formula>
    </cfRule>
    <cfRule type="cellIs" priority="369" operator="between" dxfId="2">
      <formula>70</formula>
      <formula>79</formula>
    </cfRule>
    <cfRule type="cellIs" priority="370" operator="between" dxfId="1">
      <formula>60</formula>
      <formula>69</formula>
    </cfRule>
    <cfRule type="cellIs" priority="371" operator="between" dxfId="0">
      <formula>0</formula>
      <formula>59</formula>
    </cfRule>
  </conditionalFormatting>
  <conditionalFormatting sqref="B24:G24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73" operator="greaterThanOrEqual" dxfId="3">
      <formula>80</formula>
    </cfRule>
    <cfRule type="containsBlanks" priority="374" dxfId="4" stopIfTrue="1">
      <formula>LEN(TRIM(B24))=0</formula>
    </cfRule>
    <cfRule type="cellIs" priority="375" operator="greaterThanOrEqual" dxfId="3">
      <formula>80</formula>
    </cfRule>
    <cfRule type="cellIs" priority="376" operator="between" dxfId="2">
      <formula>70</formula>
      <formula>79</formula>
    </cfRule>
    <cfRule type="cellIs" priority="377" operator="between" dxfId="1">
      <formula>60</formula>
      <formula>69</formula>
    </cfRule>
    <cfRule type="cellIs" priority="378" operator="between" dxfId="0">
      <formula>0</formula>
      <formula>59</formula>
    </cfRule>
  </conditionalFormatting>
  <conditionalFormatting sqref="B25:G2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80" operator="greaterThanOrEqual" dxfId="3">
      <formula>80</formula>
    </cfRule>
    <cfRule type="containsBlanks" priority="381" dxfId="4" stopIfTrue="1">
      <formula>LEN(TRIM(B25))=0</formula>
    </cfRule>
    <cfRule type="cellIs" priority="382" operator="greaterThanOrEqual" dxfId="3">
      <formula>80</formula>
    </cfRule>
    <cfRule type="cellIs" priority="383" operator="between" dxfId="2">
      <formula>70</formula>
      <formula>79</formula>
    </cfRule>
    <cfRule type="cellIs" priority="384" operator="between" dxfId="1">
      <formula>60</formula>
      <formula>69</formula>
    </cfRule>
    <cfRule type="cellIs" priority="385" operator="between" dxfId="0">
      <formula>0</formula>
      <formula>59</formula>
    </cfRule>
  </conditionalFormatting>
  <conditionalFormatting sqref="B26:G2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87" operator="greaterThanOrEqual" dxfId="3">
      <formula>80</formula>
    </cfRule>
    <cfRule type="containsBlanks" priority="388" dxfId="4" stopIfTrue="1">
      <formula>LEN(TRIM(B26))=0</formula>
    </cfRule>
    <cfRule type="cellIs" priority="389" operator="greaterThanOrEqual" dxfId="3">
      <formula>80</formula>
    </cfRule>
    <cfRule type="cellIs" priority="390" operator="between" dxfId="2">
      <formula>70</formula>
      <formula>79</formula>
    </cfRule>
    <cfRule type="cellIs" priority="391" operator="between" dxfId="1">
      <formula>60</formula>
      <formula>69</formula>
    </cfRule>
    <cfRule type="cellIs" priority="392" operator="between" dxfId="0">
      <formula>0</formula>
      <formula>59</formula>
    </cfRule>
  </conditionalFormatting>
  <conditionalFormatting sqref="B27:G2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94" operator="greaterThanOrEqual" dxfId="3">
      <formula>80</formula>
    </cfRule>
    <cfRule type="containsBlanks" priority="395" dxfId="4" stopIfTrue="1">
      <formula>LEN(TRIM(B27))=0</formula>
    </cfRule>
    <cfRule type="cellIs" priority="396" operator="greaterThanOrEqual" dxfId="3">
      <formula>80</formula>
    </cfRule>
    <cfRule type="cellIs" priority="397" operator="between" dxfId="2">
      <formula>70</formula>
      <formula>79</formula>
    </cfRule>
    <cfRule type="cellIs" priority="398" operator="between" dxfId="1">
      <formula>60</formula>
      <formula>69</formula>
    </cfRule>
    <cfRule type="cellIs" priority="399" operator="between" dxfId="0">
      <formula>0</formula>
      <formula>59</formula>
    </cfRule>
  </conditionalFormatting>
  <conditionalFormatting sqref="B28:G2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01" operator="greaterThanOrEqual" dxfId="3">
      <formula>80</formula>
    </cfRule>
    <cfRule type="containsBlanks" priority="402" dxfId="4" stopIfTrue="1">
      <formula>LEN(TRIM(B28))=0</formula>
    </cfRule>
    <cfRule type="cellIs" priority="403" operator="greaterThanOrEqual" dxfId="3">
      <formula>80</formula>
    </cfRule>
    <cfRule type="cellIs" priority="404" operator="between" dxfId="2">
      <formula>70</formula>
      <formula>79</formula>
    </cfRule>
    <cfRule type="cellIs" priority="405" operator="between" dxfId="1">
      <formula>60</formula>
      <formula>69</formula>
    </cfRule>
    <cfRule type="cellIs" priority="406" operator="between" dxfId="0">
      <formula>0</formula>
      <formula>59</formula>
    </cfRule>
  </conditionalFormatting>
  <conditionalFormatting sqref="B29:G2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08" operator="greaterThanOrEqual" dxfId="3">
      <formula>80</formula>
    </cfRule>
    <cfRule type="containsBlanks" priority="409" dxfId="4" stopIfTrue="1">
      <formula>LEN(TRIM(B29))=0</formula>
    </cfRule>
    <cfRule type="cellIs" priority="410" operator="greaterThanOrEqual" dxfId="3">
      <formula>80</formula>
    </cfRule>
    <cfRule type="cellIs" priority="411" operator="between" dxfId="2">
      <formula>70</formula>
      <formula>79</formula>
    </cfRule>
    <cfRule type="cellIs" priority="412" operator="between" dxfId="1">
      <formula>60</formula>
      <formula>69</formula>
    </cfRule>
    <cfRule type="cellIs" priority="413" operator="between" dxfId="0">
      <formula>0</formula>
      <formula>59</formula>
    </cfRule>
  </conditionalFormatting>
  <conditionalFormatting sqref="B30:G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15" operator="greaterThanOrEqual" dxfId="3">
      <formula>80</formula>
    </cfRule>
    <cfRule type="containsBlanks" priority="416" dxfId="4" stopIfTrue="1">
      <formula>LEN(TRIM(B30))=0</formula>
    </cfRule>
    <cfRule type="cellIs" priority="417" operator="greaterThanOrEqual" dxfId="3">
      <formula>80</formula>
    </cfRule>
    <cfRule type="cellIs" priority="418" operator="between" dxfId="2">
      <formula>70</formula>
      <formula>79</formula>
    </cfRule>
    <cfRule type="cellIs" priority="419" operator="between" dxfId="1">
      <formula>60</formula>
      <formula>69</formula>
    </cfRule>
    <cfRule type="cellIs" priority="420" operator="between" dxfId="0">
      <formula>0</formula>
      <formula>59</formula>
    </cfRule>
  </conditionalFormatting>
  <conditionalFormatting sqref="B31:G31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22" operator="greaterThanOrEqual" dxfId="3">
      <formula>80</formula>
    </cfRule>
    <cfRule type="containsBlanks" priority="423" dxfId="4" stopIfTrue="1">
      <formula>LEN(TRIM(B31))=0</formula>
    </cfRule>
    <cfRule type="cellIs" priority="424" operator="greaterThanOrEqual" dxfId="3">
      <formula>80</formula>
    </cfRule>
    <cfRule type="cellIs" priority="425" operator="between" dxfId="2">
      <formula>70</formula>
      <formula>79</formula>
    </cfRule>
    <cfRule type="cellIs" priority="426" operator="between" dxfId="1">
      <formula>60</formula>
      <formula>69</formula>
    </cfRule>
    <cfRule type="cellIs" priority="427" operator="between" dxfId="0">
      <formula>0</formula>
      <formula>59</formula>
    </cfRule>
  </conditionalFormatting>
  <conditionalFormatting sqref="B32:G32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29" operator="greaterThanOrEqual" dxfId="3">
      <formula>80</formula>
    </cfRule>
    <cfRule type="containsBlanks" priority="430" dxfId="4" stopIfTrue="1">
      <formula>LEN(TRIM(B32))=0</formula>
    </cfRule>
    <cfRule type="cellIs" priority="431" operator="greaterThanOrEqual" dxfId="3">
      <formula>80</formula>
    </cfRule>
    <cfRule type="cellIs" priority="432" operator="between" dxfId="2">
      <formula>70</formula>
      <formula>79</formula>
    </cfRule>
    <cfRule type="cellIs" priority="433" operator="between" dxfId="1">
      <formula>60</formula>
      <formula>69</formula>
    </cfRule>
    <cfRule type="cellIs" priority="434" operator="between" dxfId="0">
      <formula>0</formula>
      <formula>59</formula>
    </cfRule>
  </conditionalFormatting>
  <conditionalFormatting sqref="B33:G3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36" operator="greaterThanOrEqual" dxfId="3">
      <formula>80</formula>
    </cfRule>
    <cfRule type="containsBlanks" priority="437" dxfId="4" stopIfTrue="1">
      <formula>LEN(TRIM(B33))=0</formula>
    </cfRule>
    <cfRule type="cellIs" priority="438" operator="greaterThanOrEqual" dxfId="3">
      <formula>80</formula>
    </cfRule>
    <cfRule type="cellIs" priority="439" operator="between" dxfId="2">
      <formula>70</formula>
      <formula>79</formula>
    </cfRule>
    <cfRule type="cellIs" priority="440" operator="between" dxfId="1">
      <formula>60</formula>
      <formula>69</formula>
    </cfRule>
    <cfRule type="cellIs" priority="441" operator="between" dxfId="0">
      <formula>0</formula>
      <formula>59</formula>
    </cfRule>
  </conditionalFormatting>
  <conditionalFormatting sqref="B34:G3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43" operator="greaterThanOrEqual" dxfId="3">
      <formula>80</formula>
    </cfRule>
    <cfRule type="containsBlanks" priority="444" dxfId="4" stopIfTrue="1">
      <formula>LEN(TRIM(B34))=0</formula>
    </cfRule>
    <cfRule type="cellIs" priority="445" operator="greaterThanOrEqual" dxfId="3">
      <formula>80</formula>
    </cfRule>
    <cfRule type="cellIs" priority="446" operator="between" dxfId="2">
      <formula>70</formula>
      <formula>79</formula>
    </cfRule>
    <cfRule type="cellIs" priority="447" operator="between" dxfId="1">
      <formula>60</formula>
      <formula>69</formula>
    </cfRule>
    <cfRule type="cellIs" priority="448" operator="between" dxfId="0">
      <formula>0</formula>
      <formula>59</formula>
    </cfRule>
  </conditionalFormatting>
  <conditionalFormatting sqref="B35:G3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50" operator="greaterThanOrEqual" dxfId="3">
      <formula>80</formula>
    </cfRule>
    <cfRule type="containsBlanks" priority="451" dxfId="4" stopIfTrue="1">
      <formula>LEN(TRIM(B35))=0</formula>
    </cfRule>
    <cfRule type="cellIs" priority="452" operator="greaterThanOrEqual" dxfId="3">
      <formula>80</formula>
    </cfRule>
    <cfRule type="cellIs" priority="453" operator="between" dxfId="2">
      <formula>70</formula>
      <formula>79</formula>
    </cfRule>
    <cfRule type="cellIs" priority="454" operator="between" dxfId="1">
      <formula>60</formula>
      <formula>69</formula>
    </cfRule>
    <cfRule type="cellIs" priority="455" operator="between" dxfId="0">
      <formula>0</formula>
      <formula>59</formula>
    </cfRule>
  </conditionalFormatting>
  <conditionalFormatting sqref="B36:G3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57" operator="greaterThanOrEqual" dxfId="3">
      <formula>80</formula>
    </cfRule>
    <cfRule type="containsBlanks" priority="458" dxfId="4" stopIfTrue="1">
      <formula>LEN(TRIM(B36))=0</formula>
    </cfRule>
    <cfRule type="cellIs" priority="459" operator="greaterThanOrEqual" dxfId="3">
      <formula>80</formula>
    </cfRule>
    <cfRule type="cellIs" priority="460" operator="between" dxfId="2">
      <formula>70</formula>
      <formula>79</formula>
    </cfRule>
    <cfRule type="cellIs" priority="461" operator="between" dxfId="1">
      <formula>60</formula>
      <formula>69</formula>
    </cfRule>
    <cfRule type="cellIs" priority="462" operator="between" dxfId="0">
      <formula>0</formula>
      <formula>59</formula>
    </cfRule>
  </conditionalFormatting>
  <conditionalFormatting sqref="B37:G37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64" operator="greaterThanOrEqual" dxfId="3">
      <formula>80</formula>
    </cfRule>
    <cfRule type="containsBlanks" priority="465" dxfId="4" stopIfTrue="1">
      <formula>LEN(TRIM(B37))=0</formula>
    </cfRule>
    <cfRule type="cellIs" priority="466" operator="greaterThanOrEqual" dxfId="3">
      <formula>80</formula>
    </cfRule>
    <cfRule type="cellIs" priority="467" operator="between" dxfId="2">
      <formula>70</formula>
      <formula>79</formula>
    </cfRule>
    <cfRule type="cellIs" priority="468" operator="between" dxfId="1">
      <formula>60</formula>
      <formula>69</formula>
    </cfRule>
    <cfRule type="cellIs" priority="469" operator="between" dxfId="0">
      <formula>0</formula>
      <formula>59</formula>
    </cfRule>
  </conditionalFormatting>
  <conditionalFormatting sqref="B38:G38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71" operator="greaterThanOrEqual" dxfId="3">
      <formula>80</formula>
    </cfRule>
    <cfRule type="containsBlanks" priority="472" dxfId="4" stopIfTrue="1">
      <formula>LEN(TRIM(B38))=0</formula>
    </cfRule>
    <cfRule type="cellIs" priority="473" operator="greaterThanOrEqual" dxfId="3">
      <formula>80</formula>
    </cfRule>
    <cfRule type="cellIs" priority="474" operator="between" dxfId="2">
      <formula>70</formula>
      <formula>79</formula>
    </cfRule>
    <cfRule type="cellIs" priority="475" operator="between" dxfId="1">
      <formula>60</formula>
      <formula>69</formula>
    </cfRule>
    <cfRule type="cellIs" priority="476" operator="between" dxfId="0">
      <formula>0</formula>
      <formula>59</formula>
    </cfRule>
  </conditionalFormatting>
  <conditionalFormatting sqref="B39:G39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78" operator="greaterThanOrEqual" dxfId="3">
      <formula>80</formula>
    </cfRule>
    <cfRule type="containsBlanks" priority="479" dxfId="4" stopIfTrue="1">
      <formula>LEN(TRIM(B39))=0</formula>
    </cfRule>
    <cfRule type="cellIs" priority="480" operator="greaterThanOrEqual" dxfId="3">
      <formula>80</formula>
    </cfRule>
    <cfRule type="cellIs" priority="481" operator="between" dxfId="2">
      <formula>70</formula>
      <formula>79</formula>
    </cfRule>
    <cfRule type="cellIs" priority="482" operator="between" dxfId="1">
      <formula>60</formula>
      <formula>69</formula>
    </cfRule>
    <cfRule type="cellIs" priority="483" operator="between" dxfId="0">
      <formula>0</formula>
      <formula>59</formula>
    </cfRule>
  </conditionalFormatting>
  <conditionalFormatting sqref="B40:G4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85" operator="greaterThanOrEqual" dxfId="3">
      <formula>80</formula>
    </cfRule>
    <cfRule type="containsBlanks" priority="486" dxfId="4" stopIfTrue="1">
      <formula>LEN(TRIM(B40))=0</formula>
    </cfRule>
    <cfRule type="cellIs" priority="487" operator="greaterThanOrEqual" dxfId="3">
      <formula>80</formula>
    </cfRule>
    <cfRule type="cellIs" priority="488" operator="between" dxfId="2">
      <formula>70</formula>
      <formula>79</formula>
    </cfRule>
    <cfRule type="cellIs" priority="489" operator="between" dxfId="1">
      <formula>60</formula>
      <formula>69</formula>
    </cfRule>
    <cfRule type="cellIs" priority="490" operator="between" dxfId="0">
      <formula>0</formula>
      <formula>59</formula>
    </cfRule>
  </conditionalFormatting>
  <conditionalFormatting sqref="B41:G41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92" operator="greaterThanOrEqual" dxfId="3">
      <formula>80</formula>
    </cfRule>
    <cfRule type="containsBlanks" priority="493" dxfId="4" stopIfTrue="1">
      <formula>LEN(TRIM(B41))=0</formula>
    </cfRule>
    <cfRule type="cellIs" priority="494" operator="greaterThanOrEqual" dxfId="3">
      <formula>80</formula>
    </cfRule>
    <cfRule type="cellIs" priority="495" operator="between" dxfId="2">
      <formula>70</formula>
      <formula>79</formula>
    </cfRule>
    <cfRule type="cellIs" priority="496" operator="between" dxfId="1">
      <formula>60</formula>
      <formula>69</formula>
    </cfRule>
    <cfRule type="cellIs" priority="497" operator="between" dxfId="0">
      <formula>0</formula>
      <formula>59</formula>
    </cfRule>
  </conditionalFormatting>
  <conditionalFormatting sqref="B42:G4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499" operator="greaterThanOrEqual" dxfId="3">
      <formula>80</formula>
    </cfRule>
    <cfRule type="containsBlanks" priority="500" dxfId="4" stopIfTrue="1">
      <formula>LEN(TRIM(B42))=0</formula>
    </cfRule>
    <cfRule type="cellIs" priority="501" operator="greaterThanOrEqual" dxfId="3">
      <formula>80</formula>
    </cfRule>
    <cfRule type="cellIs" priority="502" operator="between" dxfId="2">
      <formula>70</formula>
      <formula>79</formula>
    </cfRule>
    <cfRule type="cellIs" priority="503" operator="between" dxfId="1">
      <formula>60</formula>
      <formula>69</formula>
    </cfRule>
    <cfRule type="cellIs" priority="504" operator="between" dxfId="0">
      <formula>0</formula>
      <formula>59</formula>
    </cfRule>
  </conditionalFormatting>
  <dataValidations count="1">
    <dataValidation sqref="B2:G2" showErrorMessage="1" showInputMessage="1" allowBlank="1" type="list">
      <formula1>$K$5:$K$11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65"/>
  <sheetViews>
    <sheetView topLeftCell="A22" zoomScale="70" zoomScaleNormal="70" workbookViewId="0">
      <selection activeCell="B55" sqref="B55:B58"/>
    </sheetView>
  </sheetViews>
  <sheetFormatPr baseColWidth="8" defaultColWidth="9.28515625" defaultRowHeight="15" outlineLevelCol="0"/>
  <cols>
    <col width="44.85546875" bestFit="1" customWidth="1" min="1" max="1"/>
    <col width="18.85546875" bestFit="1" customWidth="1" min="2" max="2"/>
    <col width="14.85546875" bestFit="1" customWidth="1" min="3" max="3"/>
    <col width="15.85546875" bestFit="1" customWidth="1" min="4" max="4"/>
    <col width="17.7109375" bestFit="1" customWidth="1" min="5" max="5"/>
    <col width="14.5703125" bestFit="1" customWidth="1" min="6" max="7"/>
    <col width="17.7109375" bestFit="1" customWidth="1" min="8" max="8"/>
    <col width="14.5703125" bestFit="1" customWidth="1" min="9" max="10"/>
    <col width="14.85546875" bestFit="1" customWidth="1" min="11" max="11"/>
    <col width="14.5703125" bestFit="1" customWidth="1" min="12" max="12"/>
    <col width="15" bestFit="1" customWidth="1" min="13" max="14"/>
    <col width="14.42578125" bestFit="1" customWidth="1" min="15" max="16"/>
    <col width="14.85546875" bestFit="1" customWidth="1" min="17" max="18"/>
    <col width="14.42578125" bestFit="1" customWidth="1" min="19" max="19"/>
    <col width="14.85546875" bestFit="1" customWidth="1" min="20" max="21"/>
    <col width="15.28515625" bestFit="1" customWidth="1" min="22" max="26"/>
    <col width="9.28515625" bestFit="1" customWidth="1" min="27" max="28"/>
    <col width="4.28515625" bestFit="1" customWidth="1" min="30" max="30"/>
  </cols>
  <sheetData>
    <row r="1">
      <c r="A1" s="13" t="inlineStr">
        <is>
          <t>Student Number</t>
        </is>
      </c>
      <c r="B1" s="165" t="inlineStr">
        <is>
          <t>CHEM-1520-2</t>
        </is>
      </c>
      <c r="C1" s="165" t="inlineStr">
        <is>
          <t>CHEM-1520-3</t>
        </is>
      </c>
      <c r="D1" s="164" t="inlineStr">
        <is>
          <t>EPHY-1170-2</t>
        </is>
      </c>
      <c r="E1" s="164" t="inlineStr">
        <is>
          <t>EPHY-1170-9</t>
        </is>
      </c>
      <c r="F1" s="165" t="inlineStr">
        <is>
          <t>EPHY-1270-2</t>
        </is>
      </c>
      <c r="G1" s="165" t="inlineStr">
        <is>
          <t>EPHY-1270-4</t>
        </is>
      </c>
      <c r="H1" s="165" t="inlineStr">
        <is>
          <t>EPHY-1270-5</t>
        </is>
      </c>
      <c r="I1" s="165" t="inlineStr">
        <is>
          <t>EPHY-1270-6</t>
        </is>
      </c>
      <c r="J1" s="165" t="inlineStr">
        <is>
          <t>EPHY-1270-8</t>
        </is>
      </c>
      <c r="K1" s="167" t="inlineStr">
        <is>
          <t>CENG-3310-4</t>
        </is>
      </c>
      <c r="L1" s="167" t="inlineStr">
        <is>
          <t>EENG-3010-3</t>
        </is>
      </c>
      <c r="M1" s="167" t="inlineStr">
        <is>
          <t>EPHY-2200-2</t>
        </is>
      </c>
      <c r="N1" s="167" t="inlineStr">
        <is>
          <t>EPHY-2300-5</t>
        </is>
      </c>
      <c r="O1" s="167" t="inlineStr">
        <is>
          <t>SENG-3110-3</t>
        </is>
      </c>
      <c r="P1" s="167" t="inlineStr">
        <is>
          <t>STAT-2230-1</t>
        </is>
      </c>
      <c r="Q1" s="168" t="inlineStr">
        <is>
          <t>SENG-3210-3</t>
        </is>
      </c>
      <c r="R1" s="168" t="inlineStr">
        <is>
          <t>SENG-3210-5</t>
        </is>
      </c>
      <c r="S1" s="168" t="inlineStr">
        <is>
          <t>SENG-4110-2</t>
        </is>
      </c>
      <c r="T1" s="168" t="inlineStr">
        <is>
          <t>SENG-4130-6</t>
        </is>
      </c>
      <c r="U1" s="168" t="inlineStr">
        <is>
          <t>SENG-4140-2</t>
        </is>
      </c>
      <c r="V1" s="168" t="inlineStr">
        <is>
          <t>SENG-4230-3</t>
        </is>
      </c>
      <c r="W1" s="168" t="inlineStr">
        <is>
          <t>SENG-4230-4</t>
        </is>
      </c>
      <c r="X1" s="168" t="inlineStr">
        <is>
          <t>SENG-4650-2</t>
        </is>
      </c>
      <c r="Y1" s="168" t="inlineStr">
        <is>
          <t>SENG-4660-2</t>
        </is>
      </c>
      <c r="Z1" s="168" t="inlineStr">
        <is>
          <t>CENG-4320-2</t>
        </is>
      </c>
      <c r="AA1" s="34">
        <f>COUNTA(B1:Y1)</f>
        <v/>
      </c>
    </row>
    <row r="2" ht="30" customHeight="1">
      <c r="A2" s="16" t="inlineStr">
        <is>
          <t>Assessment
Tool</t>
        </is>
      </c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34">
        <f>COUNTIF(B2:Z2, "&lt;&gt;")</f>
        <v/>
      </c>
    </row>
    <row r="3">
      <c r="A3" s="35" t="n">
        <v>1</v>
      </c>
      <c r="B3" s="169" t="n"/>
      <c r="C3" s="169" t="n"/>
      <c r="D3" s="169" t="n"/>
      <c r="E3" s="169" t="n"/>
      <c r="F3" s="169" t="n"/>
      <c r="G3" s="169" t="n"/>
      <c r="H3" s="169" t="n"/>
      <c r="I3" s="169" t="n"/>
      <c r="J3" s="169" t="n"/>
      <c r="K3" s="169" t="n"/>
      <c r="L3" s="169" t="n"/>
      <c r="M3" s="169" t="n"/>
      <c r="N3" s="169" t="n"/>
      <c r="O3" s="169" t="n"/>
      <c r="P3" s="169" t="n"/>
      <c r="Q3" s="169" t="n"/>
      <c r="R3" s="169" t="n"/>
      <c r="S3" s="169" t="n"/>
      <c r="T3" s="169" t="n"/>
      <c r="U3" s="169" t="n"/>
      <c r="V3" s="169" t="n"/>
      <c r="W3" s="169" t="n"/>
      <c r="X3" s="169" t="n"/>
      <c r="Y3" s="169" t="n"/>
      <c r="Z3" s="174" t="n"/>
      <c r="AA3" s="202" t="n"/>
    </row>
    <row r="4">
      <c r="A4" s="35" t="n">
        <v>2</v>
      </c>
      <c r="B4" s="169" t="n"/>
      <c r="C4" s="169" t="n"/>
      <c r="D4" s="169" t="n"/>
      <c r="E4" s="169" t="n"/>
      <c r="F4" s="169" t="n"/>
      <c r="G4" s="169" t="n"/>
      <c r="H4" s="169" t="n"/>
      <c r="I4" s="169" t="n"/>
      <c r="J4" s="169" t="n"/>
      <c r="K4" s="169" t="n"/>
      <c r="L4" s="169" t="n"/>
      <c r="M4" s="169" t="n"/>
      <c r="N4" s="169" t="n"/>
      <c r="O4" s="169" t="n"/>
      <c r="P4" s="169" t="n"/>
      <c r="Q4" s="169" t="n"/>
      <c r="R4" s="169" t="n"/>
      <c r="S4" s="169" t="n"/>
      <c r="T4" s="169" t="n"/>
      <c r="U4" s="169" t="n"/>
      <c r="V4" s="169" t="n"/>
      <c r="W4" s="169" t="n"/>
      <c r="X4" s="169" t="n"/>
      <c r="Y4" s="169" t="n"/>
      <c r="Z4" s="175" t="n"/>
      <c r="AA4" s="200" t="n"/>
      <c r="AD4" s="120" t="inlineStr">
        <is>
          <t>A</t>
        </is>
      </c>
    </row>
    <row r="5">
      <c r="A5" s="35" t="n">
        <v>3</v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N5" s="169" t="n"/>
      <c r="O5" s="169" t="n"/>
      <c r="P5" s="169" t="n"/>
      <c r="Q5" s="169" t="n"/>
      <c r="R5" s="169" t="n"/>
      <c r="S5" s="169" t="n"/>
      <c r="T5" s="169" t="n"/>
      <c r="U5" s="169" t="n"/>
      <c r="V5" s="169" t="n"/>
      <c r="W5" s="169" t="n"/>
      <c r="X5" s="169" t="n"/>
      <c r="Y5" s="169" t="n"/>
      <c r="Z5" s="175" t="n"/>
      <c r="AA5" s="200" t="n"/>
      <c r="AD5" s="120" t="inlineStr">
        <is>
          <t>Q</t>
        </is>
      </c>
    </row>
    <row r="6">
      <c r="A6" s="35" t="n">
        <v>4</v>
      </c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N6" s="169" t="n"/>
      <c r="O6" s="169" t="n"/>
      <c r="P6" s="169" t="n"/>
      <c r="Q6" s="169" t="n"/>
      <c r="R6" s="169" t="n"/>
      <c r="S6" s="169" t="n"/>
      <c r="T6" s="169" t="n"/>
      <c r="U6" s="169" t="n"/>
      <c r="V6" s="169" t="n"/>
      <c r="W6" s="169" t="n"/>
      <c r="X6" s="169" t="n"/>
      <c r="Y6" s="169" t="n"/>
      <c r="Z6" s="175" t="n"/>
      <c r="AA6" s="200" t="n"/>
      <c r="AD6" s="120" t="inlineStr">
        <is>
          <t>M</t>
        </is>
      </c>
    </row>
    <row r="7">
      <c r="A7" s="35" t="n">
        <v>5</v>
      </c>
      <c r="B7" s="169" t="n"/>
      <c r="C7" s="169" t="n"/>
      <c r="D7" s="169" t="n"/>
      <c r="E7" s="169" t="n"/>
      <c r="F7" s="169" t="n"/>
      <c r="G7" s="169" t="n"/>
      <c r="H7" s="169" t="n"/>
      <c r="I7" s="169" t="n"/>
      <c r="J7" s="169" t="n"/>
      <c r="K7" s="169" t="n"/>
      <c r="L7" s="169" t="n"/>
      <c r="M7" s="169" t="n"/>
      <c r="N7" s="169" t="n"/>
      <c r="O7" s="169" t="n"/>
      <c r="P7" s="169" t="n"/>
      <c r="Q7" s="169" t="n"/>
      <c r="R7" s="169" t="n"/>
      <c r="S7" s="169" t="n"/>
      <c r="T7" s="169" t="n"/>
      <c r="U7" s="169" t="n"/>
      <c r="V7" s="169" t="n"/>
      <c r="W7" s="169" t="n"/>
      <c r="X7" s="169" t="n"/>
      <c r="Y7" s="169" t="n"/>
      <c r="Z7" s="175" t="n"/>
      <c r="AA7" s="200" t="n"/>
      <c r="AD7" s="120" t="inlineStr">
        <is>
          <t>F</t>
        </is>
      </c>
    </row>
    <row r="8">
      <c r="A8" s="35" t="n">
        <v>6</v>
      </c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69" t="n"/>
      <c r="N8" s="169" t="n"/>
      <c r="O8" s="169" t="n"/>
      <c r="P8" s="169" t="n"/>
      <c r="Q8" s="169" t="n"/>
      <c r="R8" s="169" t="n"/>
      <c r="S8" s="169" t="n"/>
      <c r="T8" s="169" t="n"/>
      <c r="U8" s="169" t="n"/>
      <c r="V8" s="169" t="n"/>
      <c r="W8" s="169" t="n"/>
      <c r="X8" s="169" t="n"/>
      <c r="Y8" s="169" t="n"/>
      <c r="Z8" s="175" t="n"/>
      <c r="AA8" s="200" t="n"/>
      <c r="AD8" s="120" t="inlineStr">
        <is>
          <t>P</t>
        </is>
      </c>
    </row>
    <row r="9">
      <c r="A9" s="35" t="n">
        <v>7</v>
      </c>
      <c r="B9" s="169" t="n"/>
      <c r="C9" s="169" t="n"/>
      <c r="D9" s="169" t="n"/>
      <c r="E9" s="169" t="n"/>
      <c r="F9" s="169" t="n"/>
      <c r="G9" s="169" t="n"/>
      <c r="H9" s="169" t="n"/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69" t="n"/>
      <c r="T9" s="169" t="n"/>
      <c r="U9" s="169" t="n"/>
      <c r="V9" s="169" t="n"/>
      <c r="W9" s="169" t="n"/>
      <c r="X9" s="169" t="n"/>
      <c r="Y9" s="169" t="n"/>
      <c r="Z9" s="175" t="n"/>
      <c r="AA9" s="200" t="n"/>
      <c r="AD9" s="120" t="inlineStr">
        <is>
          <t>L</t>
        </is>
      </c>
    </row>
    <row r="10">
      <c r="A10" s="35" t="n">
        <v>8</v>
      </c>
      <c r="B10" s="169" t="n"/>
      <c r="C10" s="169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69" t="n"/>
      <c r="W10" s="169" t="n"/>
      <c r="X10" s="169" t="n"/>
      <c r="Y10" s="169" t="n"/>
      <c r="Z10" s="175" t="n"/>
      <c r="AA10" s="200" t="n"/>
      <c r="AD10" s="120" t="inlineStr">
        <is>
          <t>OT</t>
        </is>
      </c>
    </row>
    <row r="11">
      <c r="A11" s="35" t="n">
        <v>9</v>
      </c>
      <c r="B11" s="169" t="n"/>
      <c r="C11" s="169" t="n"/>
      <c r="D11" s="169" t="n"/>
      <c r="E11" s="169" t="n"/>
      <c r="F11" s="169" t="n"/>
      <c r="G11" s="169" t="n"/>
      <c r="H11" s="169" t="n"/>
      <c r="I11" s="169" t="n"/>
      <c r="J11" s="169" t="n"/>
      <c r="K11" s="169" t="n"/>
      <c r="L11" s="169" t="n"/>
      <c r="M11" s="169" t="n"/>
      <c r="N11" s="169" t="n"/>
      <c r="O11" s="169" t="n"/>
      <c r="P11" s="169" t="n"/>
      <c r="Q11" s="169" t="n"/>
      <c r="R11" s="169" t="n"/>
      <c r="S11" s="169" t="n"/>
      <c r="T11" s="169" t="n"/>
      <c r="U11" s="169" t="n"/>
      <c r="V11" s="169" t="n"/>
      <c r="W11" s="169" t="n"/>
      <c r="X11" s="169" t="n"/>
      <c r="Y11" s="169" t="n"/>
      <c r="Z11" s="175" t="n"/>
      <c r="AA11" s="200" t="n"/>
    </row>
    <row r="12">
      <c r="A12" s="35" t="n">
        <v>10</v>
      </c>
      <c r="B12" s="169" t="n"/>
      <c r="C12" s="169" t="n"/>
      <c r="D12" s="169" t="n"/>
      <c r="E12" s="169" t="n"/>
      <c r="F12" s="169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69" t="n"/>
      <c r="S12" s="169" t="n"/>
      <c r="T12" s="169" t="n"/>
      <c r="U12" s="169" t="n"/>
      <c r="V12" s="169" t="n"/>
      <c r="W12" s="169" t="n"/>
      <c r="X12" s="169" t="n"/>
      <c r="Y12" s="169" t="n"/>
      <c r="Z12" s="175" t="n"/>
      <c r="AA12" s="200" t="n"/>
    </row>
    <row r="13">
      <c r="A13" s="35" t="n">
        <v>11</v>
      </c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69" t="n"/>
      <c r="N13" s="169" t="n"/>
      <c r="O13" s="169" t="n"/>
      <c r="P13" s="169" t="n"/>
      <c r="Q13" s="169" t="n"/>
      <c r="R13" s="169" t="n"/>
      <c r="S13" s="169" t="n"/>
      <c r="T13" s="169" t="n"/>
      <c r="U13" s="169" t="n"/>
      <c r="V13" s="169" t="n"/>
      <c r="W13" s="169" t="n"/>
      <c r="X13" s="169" t="n"/>
      <c r="Y13" s="169" t="n"/>
      <c r="Z13" s="175" t="n"/>
      <c r="AA13" s="200" t="n"/>
    </row>
    <row r="14">
      <c r="A14" s="35" t="n">
        <v>12</v>
      </c>
      <c r="B14" s="169" t="n"/>
      <c r="C14" s="169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T14" s="169" t="n"/>
      <c r="U14" s="169" t="n"/>
      <c r="V14" s="169" t="n"/>
      <c r="W14" s="169" t="n"/>
      <c r="X14" s="169" t="n"/>
      <c r="Y14" s="169" t="n"/>
      <c r="Z14" s="175" t="n"/>
      <c r="AA14" s="200" t="n"/>
    </row>
    <row r="15">
      <c r="A15" s="35" t="n">
        <v>13</v>
      </c>
      <c r="B15" s="169" t="n"/>
      <c r="C15" s="169" t="n"/>
      <c r="D15" s="169" t="n"/>
      <c r="E15" s="169" t="n"/>
      <c r="F15" s="169" t="n"/>
      <c r="G15" s="169" t="n"/>
      <c r="H15" s="169" t="n"/>
      <c r="I15" s="169" t="n"/>
      <c r="J15" s="169" t="n"/>
      <c r="K15" s="169" t="n"/>
      <c r="L15" s="169" t="n"/>
      <c r="M15" s="169" t="n"/>
      <c r="N15" s="169" t="n"/>
      <c r="O15" s="169" t="n"/>
      <c r="P15" s="169" t="n"/>
      <c r="Q15" s="169" t="n"/>
      <c r="R15" s="169" t="n"/>
      <c r="S15" s="169" t="n"/>
      <c r="T15" s="169" t="n"/>
      <c r="U15" s="169" t="n"/>
      <c r="V15" s="169" t="n"/>
      <c r="W15" s="169" t="n"/>
      <c r="X15" s="169" t="n"/>
      <c r="Y15" s="169" t="n"/>
      <c r="Z15" s="175" t="n"/>
      <c r="AA15" s="200" t="n"/>
    </row>
    <row r="16">
      <c r="A16" s="35" t="n">
        <v>14</v>
      </c>
      <c r="B16" s="169" t="n"/>
      <c r="C16" s="169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T16" s="169" t="n"/>
      <c r="U16" s="169" t="n"/>
      <c r="V16" s="169" t="n"/>
      <c r="W16" s="169" t="n"/>
      <c r="X16" s="169" t="n"/>
      <c r="Y16" s="169" t="n"/>
      <c r="Z16" s="175" t="n"/>
      <c r="AA16" s="200" t="n"/>
    </row>
    <row r="17">
      <c r="A17" s="35" t="n">
        <v>15</v>
      </c>
      <c r="B17" s="169" t="n"/>
      <c r="C17" s="169" t="n"/>
      <c r="D17" s="169" t="n"/>
      <c r="E17" s="169" t="n"/>
      <c r="F17" s="169" t="n"/>
      <c r="G17" s="169" t="n"/>
      <c r="H17" s="169" t="n"/>
      <c r="I17" s="169" t="n"/>
      <c r="J17" s="169" t="n"/>
      <c r="K17" s="169" t="n"/>
      <c r="L17" s="169" t="n"/>
      <c r="M17" s="169" t="n"/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69" t="n"/>
      <c r="W17" s="169" t="n"/>
      <c r="X17" s="169" t="n"/>
      <c r="Y17" s="169" t="n"/>
      <c r="Z17" s="175" t="n"/>
      <c r="AA17" s="200" t="n"/>
    </row>
    <row r="18">
      <c r="A18" s="35" t="n">
        <v>16</v>
      </c>
      <c r="B18" s="169" t="n"/>
      <c r="C18" s="169" t="n"/>
      <c r="D18" s="169" t="n"/>
      <c r="E18" s="169" t="n"/>
      <c r="F18" s="169" t="n"/>
      <c r="G18" s="169" t="n"/>
      <c r="H18" s="169" t="n"/>
      <c r="I18" s="169" t="n"/>
      <c r="J18" s="169" t="n"/>
      <c r="K18" s="169" t="n"/>
      <c r="L18" s="169" t="n"/>
      <c r="M18" s="169" t="n"/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69" t="n"/>
      <c r="W18" s="169" t="n"/>
      <c r="X18" s="169" t="n"/>
      <c r="Y18" s="169" t="n"/>
      <c r="Z18" s="175" t="n"/>
      <c r="AA18" s="200" t="n"/>
    </row>
    <row r="19">
      <c r="A19" s="35" t="n">
        <v>17</v>
      </c>
      <c r="B19" s="170" t="n"/>
      <c r="C19" s="170" t="n"/>
      <c r="D19" s="170" t="n"/>
      <c r="E19" s="170" t="n"/>
      <c r="F19" s="170" t="n"/>
      <c r="G19" s="170" t="n"/>
      <c r="H19" s="170" t="n"/>
      <c r="I19" s="170" t="n"/>
      <c r="J19" s="170" t="n"/>
      <c r="K19" s="170" t="n"/>
      <c r="L19" s="170" t="n"/>
      <c r="M19" s="170" t="n"/>
      <c r="N19" s="170" t="n"/>
      <c r="O19" s="170" t="n"/>
      <c r="P19" s="170" t="n"/>
      <c r="Q19" s="170" t="n"/>
      <c r="R19" s="170" t="n"/>
      <c r="S19" s="170" t="n"/>
      <c r="T19" s="170" t="n"/>
      <c r="U19" s="170" t="n"/>
      <c r="V19" s="170" t="n"/>
      <c r="W19" s="170" t="n"/>
      <c r="X19" s="170" t="n"/>
      <c r="Y19" s="170" t="n"/>
      <c r="Z19" s="175" t="n"/>
      <c r="AA19" s="200" t="n"/>
    </row>
    <row r="20">
      <c r="A20" s="35" t="n">
        <v>18</v>
      </c>
      <c r="B20" s="170" t="n"/>
      <c r="C20" s="170" t="n"/>
      <c r="D20" s="170" t="n"/>
      <c r="E20" s="170" t="n"/>
      <c r="F20" s="170" t="n"/>
      <c r="G20" s="170" t="n"/>
      <c r="H20" s="170" t="n"/>
      <c r="I20" s="170" t="n"/>
      <c r="J20" s="170" t="n"/>
      <c r="K20" s="170" t="n"/>
      <c r="L20" s="170" t="n"/>
      <c r="M20" s="170" t="n"/>
      <c r="N20" s="170" t="n"/>
      <c r="O20" s="170" t="n"/>
      <c r="P20" s="170" t="n"/>
      <c r="Q20" s="170" t="n"/>
      <c r="R20" s="170" t="n"/>
      <c r="S20" s="170" t="n"/>
      <c r="T20" s="170" t="n"/>
      <c r="U20" s="170" t="n"/>
      <c r="V20" s="170" t="n"/>
      <c r="W20" s="170" t="n"/>
      <c r="X20" s="170" t="n"/>
      <c r="Y20" s="170" t="n"/>
      <c r="Z20" s="175" t="n"/>
      <c r="AA20" s="200" t="n"/>
    </row>
    <row r="21">
      <c r="A21" s="35" t="n">
        <v>19</v>
      </c>
      <c r="B21" s="170" t="n"/>
      <c r="C21" s="170" t="n"/>
      <c r="D21" s="170" t="n"/>
      <c r="E21" s="170" t="n"/>
      <c r="F21" s="170" t="n"/>
      <c r="G21" s="170" t="n"/>
      <c r="H21" s="170" t="n"/>
      <c r="I21" s="170" t="n"/>
      <c r="J21" s="170" t="n"/>
      <c r="K21" s="170" t="n"/>
      <c r="L21" s="170" t="n"/>
      <c r="M21" s="170" t="n"/>
      <c r="N21" s="170" t="n"/>
      <c r="O21" s="170" t="n"/>
      <c r="P21" s="170" t="n"/>
      <c r="Q21" s="170" t="n"/>
      <c r="R21" s="170" t="n"/>
      <c r="S21" s="170" t="n"/>
      <c r="T21" s="170" t="n"/>
      <c r="U21" s="170" t="n"/>
      <c r="V21" s="170" t="n"/>
      <c r="W21" s="170" t="n"/>
      <c r="X21" s="170" t="n"/>
      <c r="Y21" s="170" t="n"/>
      <c r="Z21" s="175" t="n"/>
      <c r="AA21" s="200" t="n"/>
    </row>
    <row r="22">
      <c r="A22" s="35" t="n">
        <v>20</v>
      </c>
      <c r="B22" s="170" t="n"/>
      <c r="C22" s="170" t="n"/>
      <c r="D22" s="170" t="n"/>
      <c r="E22" s="170" t="n"/>
      <c r="F22" s="170" t="n"/>
      <c r="G22" s="170" t="n"/>
      <c r="H22" s="170" t="n"/>
      <c r="I22" s="170" t="n"/>
      <c r="J22" s="170" t="n"/>
      <c r="K22" s="170" t="n"/>
      <c r="L22" s="170" t="n"/>
      <c r="M22" s="170" t="n"/>
      <c r="N22" s="170" t="n"/>
      <c r="O22" s="170" t="n"/>
      <c r="P22" s="170" t="n"/>
      <c r="Q22" s="170" t="n"/>
      <c r="R22" s="170" t="n"/>
      <c r="S22" s="170" t="n"/>
      <c r="T22" s="170" t="n"/>
      <c r="U22" s="170" t="n"/>
      <c r="V22" s="170" t="n"/>
      <c r="W22" s="170" t="n"/>
      <c r="X22" s="170" t="n"/>
      <c r="Y22" s="170" t="n"/>
      <c r="Z22" s="175" t="n"/>
      <c r="AA22" s="200" t="n"/>
    </row>
    <row r="23">
      <c r="A23" s="35" t="n">
        <v>21</v>
      </c>
      <c r="B23" s="170" t="n"/>
      <c r="C23" s="170" t="n"/>
      <c r="D23" s="170" t="n"/>
      <c r="E23" s="170" t="n"/>
      <c r="F23" s="170" t="n"/>
      <c r="G23" s="170" t="n"/>
      <c r="H23" s="170" t="n"/>
      <c r="I23" s="170" t="n"/>
      <c r="J23" s="170" t="n"/>
      <c r="K23" s="170" t="n"/>
      <c r="L23" s="170" t="n"/>
      <c r="M23" s="170" t="n"/>
      <c r="N23" s="170" t="n"/>
      <c r="O23" s="170" t="n"/>
      <c r="P23" s="170" t="n"/>
      <c r="Q23" s="170" t="n"/>
      <c r="R23" s="170" t="n"/>
      <c r="S23" s="170" t="n"/>
      <c r="T23" s="170" t="n"/>
      <c r="U23" s="170" t="n"/>
      <c r="V23" s="170" t="n"/>
      <c r="W23" s="170" t="n"/>
      <c r="X23" s="170" t="n"/>
      <c r="Y23" s="170" t="n"/>
      <c r="Z23" s="175" t="n"/>
      <c r="AA23" s="200" t="n"/>
    </row>
    <row r="24">
      <c r="A24" s="35" t="n">
        <v>22</v>
      </c>
      <c r="B24" s="170" t="n"/>
      <c r="C24" s="170" t="n"/>
      <c r="D24" s="170" t="n"/>
      <c r="E24" s="170" t="n"/>
      <c r="F24" s="170" t="n"/>
      <c r="G24" s="170" t="n"/>
      <c r="H24" s="170" t="n"/>
      <c r="I24" s="170" t="n"/>
      <c r="J24" s="170" t="n"/>
      <c r="K24" s="170" t="n"/>
      <c r="L24" s="170" t="n"/>
      <c r="M24" s="170" t="n"/>
      <c r="N24" s="170" t="n"/>
      <c r="O24" s="170" t="n"/>
      <c r="P24" s="170" t="n"/>
      <c r="Q24" s="170" t="n"/>
      <c r="R24" s="170" t="n"/>
      <c r="S24" s="170" t="n"/>
      <c r="T24" s="170" t="n"/>
      <c r="U24" s="170" t="n"/>
      <c r="V24" s="170" t="n"/>
      <c r="W24" s="170" t="n"/>
      <c r="X24" s="170" t="n"/>
      <c r="Y24" s="170" t="n"/>
      <c r="Z24" s="175" t="n"/>
      <c r="AA24" s="200" t="n"/>
    </row>
    <row r="25">
      <c r="A25" s="35" t="n">
        <v>23</v>
      </c>
      <c r="B25" s="170" t="n"/>
      <c r="C25" s="170" t="n"/>
      <c r="D25" s="170" t="n"/>
      <c r="E25" s="170" t="n"/>
      <c r="F25" s="170" t="n"/>
      <c r="G25" s="170" t="n"/>
      <c r="H25" s="170" t="n"/>
      <c r="I25" s="170" t="n"/>
      <c r="J25" s="170" t="n"/>
      <c r="K25" s="170" t="n"/>
      <c r="L25" s="170" t="n"/>
      <c r="M25" s="170" t="n"/>
      <c r="N25" s="170" t="n"/>
      <c r="O25" s="170" t="n"/>
      <c r="P25" s="170" t="n"/>
      <c r="Q25" s="170" t="n"/>
      <c r="R25" s="170" t="n"/>
      <c r="S25" s="170" t="n"/>
      <c r="T25" s="170" t="n"/>
      <c r="U25" s="170" t="n"/>
      <c r="V25" s="170" t="n"/>
      <c r="W25" s="170" t="n"/>
      <c r="X25" s="170" t="n"/>
      <c r="Y25" s="170" t="n"/>
      <c r="Z25" s="175" t="n"/>
      <c r="AA25" s="200" t="n"/>
    </row>
    <row r="26">
      <c r="A26" s="35" t="n">
        <v>24</v>
      </c>
      <c r="B26" s="170" t="n"/>
      <c r="C26" s="170" t="n"/>
      <c r="D26" s="170" t="n"/>
      <c r="E26" s="170" t="n"/>
      <c r="F26" s="170" t="n"/>
      <c r="G26" s="170" t="n"/>
      <c r="H26" s="170" t="n"/>
      <c r="I26" s="170" t="n"/>
      <c r="J26" s="170" t="n"/>
      <c r="K26" s="170" t="n"/>
      <c r="L26" s="170" t="n"/>
      <c r="M26" s="170" t="n"/>
      <c r="N26" s="170" t="n"/>
      <c r="O26" s="170" t="n"/>
      <c r="P26" s="170" t="n"/>
      <c r="Q26" s="170" t="n"/>
      <c r="R26" s="170" t="n"/>
      <c r="S26" s="170" t="n"/>
      <c r="T26" s="170" t="n"/>
      <c r="U26" s="170" t="n"/>
      <c r="V26" s="170" t="n"/>
      <c r="W26" s="170" t="n"/>
      <c r="X26" s="170" t="n"/>
      <c r="Y26" s="170" t="n"/>
      <c r="Z26" s="175" t="n"/>
      <c r="AA26" s="200" t="n"/>
    </row>
    <row r="27">
      <c r="A27" s="35" t="n">
        <v>25</v>
      </c>
      <c r="B27" s="170" t="n"/>
      <c r="C27" s="170" t="n"/>
      <c r="D27" s="170" t="n"/>
      <c r="E27" s="170" t="n"/>
      <c r="F27" s="170" t="n"/>
      <c r="G27" s="170" t="n"/>
      <c r="H27" s="170" t="n"/>
      <c r="I27" s="170" t="n"/>
      <c r="J27" s="170" t="n"/>
      <c r="K27" s="170" t="n"/>
      <c r="L27" s="170" t="n"/>
      <c r="M27" s="170" t="n"/>
      <c r="N27" s="170" t="n"/>
      <c r="O27" s="170" t="n"/>
      <c r="P27" s="170" t="n"/>
      <c r="Q27" s="170" t="n"/>
      <c r="R27" s="170" t="n"/>
      <c r="S27" s="170" t="n"/>
      <c r="T27" s="170" t="n"/>
      <c r="U27" s="170" t="n"/>
      <c r="V27" s="170" t="n"/>
      <c r="W27" s="170" t="n"/>
      <c r="X27" s="170" t="n"/>
      <c r="Y27" s="170" t="n"/>
      <c r="Z27" s="175" t="n"/>
      <c r="AA27" s="200" t="n"/>
    </row>
    <row r="28">
      <c r="A28" s="35" t="n">
        <v>26</v>
      </c>
      <c r="B28" s="170" t="n"/>
      <c r="C28" s="170" t="n"/>
      <c r="D28" s="170" t="n"/>
      <c r="E28" s="170" t="n"/>
      <c r="F28" s="170" t="n"/>
      <c r="G28" s="170" t="n"/>
      <c r="H28" s="170" t="n"/>
      <c r="I28" s="170" t="n"/>
      <c r="J28" s="170" t="n"/>
      <c r="K28" s="170" t="n"/>
      <c r="L28" s="170" t="n"/>
      <c r="M28" s="170" t="n"/>
      <c r="N28" s="170" t="n"/>
      <c r="O28" s="170" t="n"/>
      <c r="P28" s="170" t="n"/>
      <c r="Q28" s="170" t="n"/>
      <c r="R28" s="170" t="n"/>
      <c r="S28" s="170" t="n"/>
      <c r="T28" s="170" t="n"/>
      <c r="U28" s="170" t="n"/>
      <c r="V28" s="170" t="n"/>
      <c r="W28" s="170" t="n"/>
      <c r="X28" s="170" t="n"/>
      <c r="Y28" s="170" t="n"/>
      <c r="Z28" s="175" t="n"/>
      <c r="AA28" s="200" t="n"/>
    </row>
    <row r="29">
      <c r="A29" s="35" t="n">
        <v>27</v>
      </c>
      <c r="B29" s="170" t="n"/>
      <c r="C29" s="170" t="n"/>
      <c r="D29" s="170" t="n"/>
      <c r="E29" s="170" t="n"/>
      <c r="F29" s="170" t="n"/>
      <c r="G29" s="170" t="n"/>
      <c r="H29" s="170" t="n"/>
      <c r="I29" s="170" t="n"/>
      <c r="J29" s="170" t="n"/>
      <c r="K29" s="170" t="n"/>
      <c r="L29" s="170" t="n"/>
      <c r="M29" s="170" t="n"/>
      <c r="N29" s="170" t="n"/>
      <c r="O29" s="170" t="n"/>
      <c r="P29" s="170" t="n"/>
      <c r="Q29" s="170" t="n"/>
      <c r="R29" s="170" t="n"/>
      <c r="S29" s="170" t="n"/>
      <c r="T29" s="170" t="n"/>
      <c r="U29" s="170" t="n"/>
      <c r="V29" s="170" t="n"/>
      <c r="W29" s="170" t="n"/>
      <c r="X29" s="170" t="n"/>
      <c r="Y29" s="170" t="n"/>
      <c r="Z29" s="175" t="n"/>
      <c r="AA29" s="200" t="n"/>
    </row>
    <row r="30">
      <c r="A30" s="35" t="n">
        <v>28</v>
      </c>
      <c r="B30" s="170" t="n"/>
      <c r="C30" s="170" t="n"/>
      <c r="D30" s="170" t="n"/>
      <c r="E30" s="170" t="n"/>
      <c r="F30" s="170" t="n"/>
      <c r="G30" s="170" t="n"/>
      <c r="H30" s="170" t="n"/>
      <c r="I30" s="170" t="n"/>
      <c r="J30" s="170" t="n"/>
      <c r="K30" s="170" t="n"/>
      <c r="L30" s="170" t="n"/>
      <c r="M30" s="170" t="n"/>
      <c r="N30" s="170" t="n"/>
      <c r="O30" s="170" t="n"/>
      <c r="P30" s="170" t="n"/>
      <c r="Q30" s="170" t="n"/>
      <c r="R30" s="170" t="n"/>
      <c r="S30" s="170" t="n"/>
      <c r="T30" s="170" t="n"/>
      <c r="U30" s="170" t="n"/>
      <c r="V30" s="170" t="n"/>
      <c r="W30" s="170" t="n"/>
      <c r="X30" s="170" t="n"/>
      <c r="Y30" s="170" t="n"/>
      <c r="Z30" s="175" t="n"/>
      <c r="AA30" s="200" t="n"/>
    </row>
    <row r="31">
      <c r="A31" s="35" t="n">
        <v>29</v>
      </c>
      <c r="B31" s="170" t="n"/>
      <c r="C31" s="170" t="n"/>
      <c r="D31" s="170" t="n"/>
      <c r="E31" s="170" t="n"/>
      <c r="F31" s="170" t="n"/>
      <c r="G31" s="170" t="n"/>
      <c r="H31" s="170" t="n"/>
      <c r="I31" s="170" t="n"/>
      <c r="J31" s="170" t="n"/>
      <c r="K31" s="170" t="n"/>
      <c r="L31" s="170" t="n"/>
      <c r="M31" s="170" t="n"/>
      <c r="N31" s="170" t="n"/>
      <c r="O31" s="170" t="n"/>
      <c r="P31" s="170" t="n"/>
      <c r="Q31" s="170" t="n"/>
      <c r="R31" s="170" t="n"/>
      <c r="S31" s="170" t="n"/>
      <c r="T31" s="170" t="n"/>
      <c r="U31" s="170" t="n"/>
      <c r="V31" s="170" t="n"/>
      <c r="W31" s="170" t="n"/>
      <c r="X31" s="170" t="n"/>
      <c r="Y31" s="170" t="n"/>
      <c r="Z31" s="175" t="n"/>
      <c r="AA31" s="200" t="n"/>
    </row>
    <row r="32">
      <c r="A32" s="35" t="n">
        <v>30</v>
      </c>
      <c r="B32" s="170" t="n"/>
      <c r="C32" s="170" t="n"/>
      <c r="D32" s="170" t="n"/>
      <c r="E32" s="170" t="n"/>
      <c r="F32" s="170" t="n"/>
      <c r="G32" s="170" t="n"/>
      <c r="H32" s="170" t="n"/>
      <c r="I32" s="170" t="n"/>
      <c r="J32" s="170" t="n"/>
      <c r="K32" s="170" t="n"/>
      <c r="L32" s="170" t="n"/>
      <c r="M32" s="170" t="n"/>
      <c r="N32" s="170" t="n"/>
      <c r="O32" s="170" t="n"/>
      <c r="P32" s="170" t="n"/>
      <c r="Q32" s="170" t="n"/>
      <c r="R32" s="170" t="n"/>
      <c r="S32" s="170" t="n"/>
      <c r="T32" s="170" t="n"/>
      <c r="U32" s="170" t="n"/>
      <c r="V32" s="170" t="n"/>
      <c r="W32" s="170" t="n"/>
      <c r="X32" s="170" t="n"/>
      <c r="Y32" s="170" t="n"/>
      <c r="Z32" s="175" t="n"/>
      <c r="AA32" s="200" t="n"/>
    </row>
    <row r="33">
      <c r="A33" s="35" t="n">
        <v>31</v>
      </c>
      <c r="B33" s="170" t="n"/>
      <c r="C33" s="170" t="n"/>
      <c r="D33" s="170" t="n"/>
      <c r="E33" s="170" t="n"/>
      <c r="F33" s="170" t="n"/>
      <c r="G33" s="170" t="n"/>
      <c r="H33" s="170" t="n"/>
      <c r="I33" s="170" t="n"/>
      <c r="J33" s="170" t="n"/>
      <c r="K33" s="170" t="n"/>
      <c r="L33" s="170" t="n"/>
      <c r="M33" s="170" t="n"/>
      <c r="N33" s="170" t="n"/>
      <c r="O33" s="170" t="n"/>
      <c r="P33" s="170" t="n"/>
      <c r="Q33" s="170" t="n"/>
      <c r="R33" s="170" t="n"/>
      <c r="S33" s="170" t="n"/>
      <c r="T33" s="170" t="n"/>
      <c r="U33" s="170" t="n"/>
      <c r="V33" s="170" t="n"/>
      <c r="W33" s="170" t="n"/>
      <c r="X33" s="170" t="n"/>
      <c r="Y33" s="170" t="n"/>
      <c r="Z33" s="175" t="n"/>
      <c r="AA33" s="200" t="n"/>
    </row>
    <row r="34">
      <c r="A34" s="35" t="n">
        <v>32</v>
      </c>
      <c r="B34" s="170" t="n"/>
      <c r="C34" s="170" t="n"/>
      <c r="D34" s="170" t="n"/>
      <c r="E34" s="170" t="n"/>
      <c r="F34" s="170" t="n"/>
      <c r="G34" s="170" t="n"/>
      <c r="H34" s="170" t="n"/>
      <c r="I34" s="170" t="n"/>
      <c r="J34" s="170" t="n"/>
      <c r="K34" s="170" t="n"/>
      <c r="L34" s="170" t="n"/>
      <c r="M34" s="170" t="n"/>
      <c r="N34" s="170" t="n"/>
      <c r="O34" s="170" t="n"/>
      <c r="P34" s="170" t="n"/>
      <c r="Q34" s="170" t="n"/>
      <c r="R34" s="170" t="n"/>
      <c r="S34" s="170" t="n"/>
      <c r="T34" s="170" t="n"/>
      <c r="U34" s="170" t="n"/>
      <c r="V34" s="170" t="n"/>
      <c r="W34" s="170" t="n"/>
      <c r="X34" s="170" t="n"/>
      <c r="Y34" s="170" t="n"/>
      <c r="Z34" s="175" t="n"/>
      <c r="AA34" s="200" t="n"/>
    </row>
    <row r="35">
      <c r="A35" s="35" t="n">
        <v>33</v>
      </c>
      <c r="B35" s="170" t="n"/>
      <c r="C35" s="170" t="n"/>
      <c r="D35" s="170" t="n"/>
      <c r="E35" s="170" t="n"/>
      <c r="F35" s="170" t="n"/>
      <c r="G35" s="170" t="n"/>
      <c r="H35" s="170" t="n"/>
      <c r="I35" s="170" t="n"/>
      <c r="J35" s="170" t="n"/>
      <c r="K35" s="170" t="n"/>
      <c r="L35" s="170" t="n"/>
      <c r="M35" s="170" t="n"/>
      <c r="N35" s="170" t="n"/>
      <c r="O35" s="170" t="n"/>
      <c r="P35" s="170" t="n"/>
      <c r="Q35" s="170" t="n"/>
      <c r="R35" s="170" t="n"/>
      <c r="S35" s="170" t="n"/>
      <c r="T35" s="170" t="n"/>
      <c r="U35" s="170" t="n"/>
      <c r="V35" s="170" t="n"/>
      <c r="W35" s="170" t="n"/>
      <c r="X35" s="170" t="n"/>
      <c r="Y35" s="170" t="n"/>
      <c r="Z35" s="175" t="n"/>
      <c r="AA35" s="200" t="n"/>
    </row>
    <row r="36">
      <c r="A36" s="35" t="n">
        <v>34</v>
      </c>
      <c r="B36" s="170" t="n"/>
      <c r="C36" s="170" t="n"/>
      <c r="D36" s="170" t="n"/>
      <c r="E36" s="170" t="n"/>
      <c r="F36" s="170" t="n"/>
      <c r="G36" s="170" t="n"/>
      <c r="H36" s="170" t="n"/>
      <c r="I36" s="170" t="n"/>
      <c r="J36" s="170" t="n"/>
      <c r="K36" s="170" t="n"/>
      <c r="L36" s="170" t="n"/>
      <c r="M36" s="170" t="n"/>
      <c r="N36" s="170" t="n"/>
      <c r="O36" s="170" t="n"/>
      <c r="P36" s="170" t="n"/>
      <c r="Q36" s="170" t="n"/>
      <c r="R36" s="170" t="n"/>
      <c r="S36" s="170" t="n"/>
      <c r="T36" s="170" t="n"/>
      <c r="U36" s="170" t="n"/>
      <c r="V36" s="170" t="n"/>
      <c r="W36" s="170" t="n"/>
      <c r="X36" s="170" t="n"/>
      <c r="Y36" s="170" t="n"/>
      <c r="Z36" s="175" t="n"/>
      <c r="AA36" s="200" t="n"/>
    </row>
    <row r="37">
      <c r="A37" s="35" t="n">
        <v>35</v>
      </c>
      <c r="B37" s="170" t="n"/>
      <c r="C37" s="170" t="n"/>
      <c r="D37" s="170" t="n"/>
      <c r="E37" s="170" t="n"/>
      <c r="F37" s="170" t="n"/>
      <c r="G37" s="170" t="n"/>
      <c r="H37" s="170" t="n"/>
      <c r="I37" s="170" t="n"/>
      <c r="J37" s="170" t="n"/>
      <c r="K37" s="170" t="n"/>
      <c r="L37" s="170" t="n"/>
      <c r="M37" s="170" t="n"/>
      <c r="N37" s="170" t="n"/>
      <c r="O37" s="170" t="n"/>
      <c r="P37" s="170" t="n"/>
      <c r="Q37" s="170" t="n"/>
      <c r="R37" s="170" t="n"/>
      <c r="S37" s="170" t="n"/>
      <c r="T37" s="170" t="n"/>
      <c r="U37" s="170" t="n"/>
      <c r="V37" s="170" t="n"/>
      <c r="W37" s="170" t="n"/>
      <c r="X37" s="170" t="n"/>
      <c r="Y37" s="170" t="n"/>
      <c r="Z37" s="175" t="n"/>
      <c r="AA37" s="200" t="n"/>
    </row>
    <row r="38">
      <c r="A38" s="35" t="n">
        <v>36</v>
      </c>
      <c r="B38" s="170" t="n"/>
      <c r="C38" s="170" t="n"/>
      <c r="D38" s="170" t="n"/>
      <c r="E38" s="170" t="n"/>
      <c r="F38" s="170" t="n"/>
      <c r="G38" s="170" t="n"/>
      <c r="H38" s="170" t="n"/>
      <c r="I38" s="170" t="n"/>
      <c r="J38" s="170" t="n"/>
      <c r="K38" s="170" t="n"/>
      <c r="L38" s="170" t="n"/>
      <c r="M38" s="170" t="n"/>
      <c r="N38" s="170" t="n"/>
      <c r="O38" s="170" t="n"/>
      <c r="P38" s="170" t="n"/>
      <c r="Q38" s="170" t="n"/>
      <c r="R38" s="170" t="n"/>
      <c r="S38" s="170" t="n"/>
      <c r="T38" s="170" t="n"/>
      <c r="U38" s="170" t="n"/>
      <c r="V38" s="170" t="n"/>
      <c r="W38" s="170" t="n"/>
      <c r="X38" s="170" t="n"/>
      <c r="Y38" s="170" t="n"/>
      <c r="Z38" s="175" t="n"/>
      <c r="AA38" s="200" t="n"/>
    </row>
    <row r="39">
      <c r="A39" s="35" t="n">
        <v>37</v>
      </c>
      <c r="B39" s="170" t="n"/>
      <c r="C39" s="170" t="n"/>
      <c r="D39" s="170" t="n"/>
      <c r="E39" s="170" t="n"/>
      <c r="F39" s="170" t="n"/>
      <c r="G39" s="170" t="n"/>
      <c r="H39" s="170" t="n"/>
      <c r="I39" s="170" t="n"/>
      <c r="J39" s="170" t="n"/>
      <c r="K39" s="170" t="n"/>
      <c r="L39" s="170" t="n"/>
      <c r="M39" s="170" t="n"/>
      <c r="N39" s="170" t="n"/>
      <c r="O39" s="170" t="n"/>
      <c r="P39" s="170" t="n"/>
      <c r="Q39" s="170" t="n"/>
      <c r="R39" s="170" t="n"/>
      <c r="S39" s="170" t="n"/>
      <c r="T39" s="170" t="n"/>
      <c r="U39" s="170" t="n"/>
      <c r="V39" s="170" t="n"/>
      <c r="W39" s="170" t="n"/>
      <c r="X39" s="170" t="n"/>
      <c r="Y39" s="170" t="n"/>
      <c r="Z39" s="175" t="n"/>
      <c r="AA39" s="200" t="n"/>
    </row>
    <row r="40">
      <c r="A40" s="35" t="n">
        <v>38</v>
      </c>
      <c r="B40" s="170" t="n"/>
      <c r="C40" s="170" t="n"/>
      <c r="D40" s="170" t="n"/>
      <c r="E40" s="170" t="n"/>
      <c r="F40" s="170" t="n"/>
      <c r="G40" s="170" t="n"/>
      <c r="H40" s="170" t="n"/>
      <c r="I40" s="170" t="n"/>
      <c r="J40" s="170" t="n"/>
      <c r="K40" s="170" t="n"/>
      <c r="L40" s="170" t="n"/>
      <c r="M40" s="170" t="n"/>
      <c r="N40" s="170" t="n"/>
      <c r="O40" s="170" t="n"/>
      <c r="P40" s="170" t="n"/>
      <c r="Q40" s="170" t="n"/>
      <c r="R40" s="170" t="n"/>
      <c r="S40" s="170" t="n"/>
      <c r="T40" s="170" t="n"/>
      <c r="U40" s="170" t="n"/>
      <c r="V40" s="170" t="n"/>
      <c r="W40" s="170" t="n"/>
      <c r="X40" s="170" t="n"/>
      <c r="Y40" s="170" t="n"/>
      <c r="Z40" s="175" t="n"/>
      <c r="AA40" s="200" t="n"/>
    </row>
    <row r="41">
      <c r="A41" s="35" t="n">
        <v>39</v>
      </c>
      <c r="B41" s="170" t="n"/>
      <c r="C41" s="170" t="n"/>
      <c r="D41" s="170" t="n"/>
      <c r="E41" s="170" t="n"/>
      <c r="F41" s="170" t="n"/>
      <c r="G41" s="170" t="n"/>
      <c r="H41" s="170" t="n"/>
      <c r="I41" s="170" t="n"/>
      <c r="J41" s="170" t="n"/>
      <c r="K41" s="170" t="n"/>
      <c r="L41" s="170" t="n"/>
      <c r="M41" s="170" t="n"/>
      <c r="N41" s="170" t="n"/>
      <c r="O41" s="170" t="n"/>
      <c r="P41" s="170" t="n"/>
      <c r="Q41" s="170" t="n"/>
      <c r="R41" s="170" t="n"/>
      <c r="S41" s="170" t="n"/>
      <c r="T41" s="170" t="n"/>
      <c r="U41" s="170" t="n"/>
      <c r="V41" s="170" t="n"/>
      <c r="W41" s="170" t="n"/>
      <c r="X41" s="170" t="n"/>
      <c r="Y41" s="170" t="n"/>
      <c r="Z41" s="175" t="n"/>
      <c r="AA41" s="200" t="n"/>
    </row>
    <row r="42" ht="15.75" customHeight="1" thickBot="1">
      <c r="A42" s="35" t="n">
        <v>40</v>
      </c>
      <c r="B42" s="170" t="n"/>
      <c r="C42" s="170" t="n"/>
      <c r="D42" s="170" t="n"/>
      <c r="E42" s="170" t="n"/>
      <c r="F42" s="170" t="n"/>
      <c r="G42" s="170" t="n"/>
      <c r="H42" s="170" t="n"/>
      <c r="I42" s="170" t="n"/>
      <c r="J42" s="170" t="n"/>
      <c r="K42" s="170" t="n"/>
      <c r="L42" s="170" t="n"/>
      <c r="M42" s="170" t="n"/>
      <c r="N42" s="170" t="n"/>
      <c r="O42" s="170" t="n"/>
      <c r="P42" s="170" t="n"/>
      <c r="Q42" s="170" t="n"/>
      <c r="R42" s="170" t="n"/>
      <c r="S42" s="170" t="n"/>
      <c r="T42" s="170" t="n"/>
      <c r="U42" s="170" t="n"/>
      <c r="V42" s="170" t="n"/>
      <c r="W42" s="170" t="n"/>
      <c r="X42" s="170" t="n"/>
      <c r="Y42" s="170" t="n"/>
      <c r="Z42" s="175" t="n"/>
      <c r="AA42" s="201" t="n"/>
    </row>
    <row r="43" ht="15.75" customHeight="1" thickTop="1">
      <c r="A43" s="121" t="inlineStr">
        <is>
          <t>Average</t>
        </is>
      </c>
      <c r="B43" s="171">
        <f>AVERAGE(B3:B42)</f>
        <v/>
      </c>
      <c r="C43" s="171">
        <f>AVERAGE(C3:C42)</f>
        <v/>
      </c>
      <c r="D43" s="171">
        <f>AVERAGE(D3:D42)</f>
        <v/>
      </c>
      <c r="E43" s="171">
        <f>AVERAGE(E3:E42)</f>
        <v/>
      </c>
      <c r="F43" s="171">
        <f>AVERAGE(F3:F42)</f>
        <v/>
      </c>
      <c r="G43" s="171">
        <f>AVERAGE(G3:G42)</f>
        <v/>
      </c>
      <c r="H43" s="171">
        <f>AVERAGE(H3:H42)</f>
        <v/>
      </c>
      <c r="I43" s="171">
        <f>AVERAGE(I3:I42)</f>
        <v/>
      </c>
      <c r="J43" s="171">
        <f>AVERAGE(J3:J42)</f>
        <v/>
      </c>
      <c r="K43" s="171">
        <f>AVERAGE(K3:K42)</f>
        <v/>
      </c>
      <c r="L43" s="171">
        <f>AVERAGE(L3:L42)</f>
        <v/>
      </c>
      <c r="M43" s="171">
        <f>AVERAGE(M3:M42)</f>
        <v/>
      </c>
      <c r="N43" s="171">
        <f>AVERAGE(N3:N42)</f>
        <v/>
      </c>
      <c r="O43" s="171">
        <f>AVERAGE(O3:O42)</f>
        <v/>
      </c>
      <c r="P43" s="171">
        <f>AVERAGE(P3:P42)</f>
        <v/>
      </c>
      <c r="Q43" s="171">
        <f>AVERAGE(Q3:Q42)</f>
        <v/>
      </c>
      <c r="R43" s="171">
        <f>AVERAGE(R3:R42)</f>
        <v/>
      </c>
      <c r="S43" s="171">
        <f>AVERAGE(S3:S42)</f>
        <v/>
      </c>
      <c r="T43" s="171">
        <f>AVERAGE(T3:T42)</f>
        <v/>
      </c>
      <c r="U43" s="171">
        <f>AVERAGE(U3:U42)</f>
        <v/>
      </c>
      <c r="V43" s="171">
        <f>AVERAGE(V3:V42)</f>
        <v/>
      </c>
      <c r="W43" s="171">
        <f>AVERAGE(W3:W42)</f>
        <v/>
      </c>
      <c r="X43" s="171">
        <f>AVERAGE(X3:X42)</f>
        <v/>
      </c>
      <c r="Y43" s="171">
        <f>AVERAGE(Y3:Y42)</f>
        <v/>
      </c>
      <c r="Z43" s="171">
        <f>AVERAGE(Z3:Z42)</f>
        <v/>
      </c>
      <c r="AA43" s="39" t="n"/>
    </row>
    <row r="44">
      <c r="A44" s="40" t="inlineStr">
        <is>
          <t>Overall Average</t>
        </is>
      </c>
      <c r="B44" s="172">
        <f>AVERAGEIF(B43:Z43, "&lt;&gt;#DIV/0!")</f>
        <v/>
      </c>
      <c r="C44" s="172" t="n"/>
      <c r="D44" s="172" t="n"/>
      <c r="E44" s="172" t="n"/>
      <c r="F44" s="172" t="n"/>
      <c r="G44" s="172" t="n"/>
      <c r="H44" s="172" t="n"/>
      <c r="I44" s="172" t="n"/>
      <c r="J44" s="172" t="n"/>
      <c r="K44" s="172" t="n"/>
      <c r="L44" s="172" t="n"/>
      <c r="M44" s="172" t="n"/>
      <c r="N44" s="172" t="n"/>
      <c r="O44" s="172" t="n"/>
      <c r="P44" s="172" t="n"/>
      <c r="Q44" s="172" t="n"/>
      <c r="R44" s="172" t="n"/>
      <c r="S44" s="172" t="n"/>
      <c r="T44" s="172" t="n"/>
      <c r="U44" s="172" t="n"/>
      <c r="V44" s="172" t="n"/>
      <c r="W44" s="172" t="n"/>
      <c r="X44" s="172" t="n"/>
      <c r="Y44" s="172" t="n"/>
      <c r="Z44" s="172" t="n"/>
      <c r="AA44" s="36" t="n"/>
    </row>
    <row r="45">
      <c r="A45" s="40" t="inlineStr">
        <is>
          <t>Total Students</t>
        </is>
      </c>
      <c r="B45" s="36">
        <f>COUNTIF(B3:B42, "&lt;&gt;")</f>
        <v/>
      </c>
      <c r="C45" s="36">
        <f>COUNTIF(C3:C42, "&lt;&gt;")</f>
        <v/>
      </c>
      <c r="D45" s="36">
        <f>COUNTIF(D3:D42, "&lt;&gt;")</f>
        <v/>
      </c>
      <c r="E45" s="36">
        <f>COUNTIF(E3:E42, "&lt;&gt;")</f>
        <v/>
      </c>
      <c r="F45" s="36">
        <f>COUNTIF(F3:F42, "&lt;&gt;")</f>
        <v/>
      </c>
      <c r="G45" s="36">
        <f>COUNTIF(G3:G42, "&lt;&gt;")</f>
        <v/>
      </c>
      <c r="H45" s="36">
        <f>COUNTIF(H3:H42, "&lt;&gt;")</f>
        <v/>
      </c>
      <c r="I45" s="36">
        <f>COUNTIF(I3:I42, "&lt;&gt;")</f>
        <v/>
      </c>
      <c r="J45" s="36">
        <f>COUNTIF(J3:J42, "&lt;&gt;")</f>
        <v/>
      </c>
      <c r="K45" s="36">
        <f>COUNTIF(K3:K42, "&lt;&gt;")</f>
        <v/>
      </c>
      <c r="L45" s="36">
        <f>COUNTIF(L3:L42, "&lt;&gt;")</f>
        <v/>
      </c>
      <c r="M45" s="36">
        <f>COUNTIF(M3:M42, "&lt;&gt;")</f>
        <v/>
      </c>
      <c r="N45" s="36">
        <f>COUNTIF(N3:N42, "&lt;&gt;")</f>
        <v/>
      </c>
      <c r="O45" s="36">
        <f>COUNTIF(O3:O42, "&lt;&gt;")</f>
        <v/>
      </c>
      <c r="P45" s="36">
        <f>COUNTIF(P3:P42, "&lt;&gt;")</f>
        <v/>
      </c>
      <c r="Q45" s="36">
        <f>COUNTIF(Q3:Q42, "&lt;&gt;")</f>
        <v/>
      </c>
      <c r="R45" s="36">
        <f>COUNTIF(R3:R42, "&lt;&gt;")</f>
        <v/>
      </c>
      <c r="S45" s="36">
        <f>COUNTIF(S3:S42, "&lt;&gt;")</f>
        <v/>
      </c>
      <c r="T45" s="36">
        <f>COUNTIF(T3:T42, "&lt;&gt;")</f>
        <v/>
      </c>
      <c r="U45" s="36">
        <f>COUNTIF(U3:U42, "&lt;&gt;")</f>
        <v/>
      </c>
      <c r="V45" s="36">
        <f>COUNTIF(V3:V42, "&lt;&gt;")</f>
        <v/>
      </c>
      <c r="W45" s="36">
        <f>COUNTIF(W3:W42, "&lt;&gt;")</f>
        <v/>
      </c>
      <c r="X45" s="36">
        <f>COUNTIF(X3:X42, "&lt;&gt;")</f>
        <v/>
      </c>
      <c r="Y45" s="36">
        <f>COUNTIF(Y3:Y42, "&lt;&gt;")</f>
        <v/>
      </c>
      <c r="Z45" s="36">
        <f>COUNTIF(Z3:Z42, "&lt;&gt;")</f>
        <v/>
      </c>
      <c r="AA45" s="36" t="n"/>
    </row>
    <row r="47">
      <c r="B47" s="103" t="inlineStr">
        <is>
          <t>Assignment (A)</t>
        </is>
      </c>
      <c r="C47" s="23" t="inlineStr">
        <is>
          <t>Quiz (Q)</t>
        </is>
      </c>
      <c r="D47" s="23" t="inlineStr">
        <is>
          <t>Mid Term (M)</t>
        </is>
      </c>
      <c r="E47" s="23" t="inlineStr">
        <is>
          <t>Final Exam (F)</t>
        </is>
      </c>
      <c r="F47" s="23" t="inlineStr">
        <is>
          <t>Project (P)</t>
        </is>
      </c>
      <c r="G47" s="23" t="inlineStr">
        <is>
          <t>Lab (L)</t>
        </is>
      </c>
      <c r="H47" s="24" t="inlineStr">
        <is>
          <t>Anyother (OT)</t>
        </is>
      </c>
      <c r="I47" s="24" t="inlineStr">
        <is>
          <t>Total</t>
        </is>
      </c>
      <c r="J47" s="163" t="n"/>
      <c r="K47" s="163" t="n"/>
      <c r="L47" s="163" t="n"/>
      <c r="M47" s="163" t="n"/>
      <c r="N47" s="163" t="n"/>
      <c r="O47" s="163" t="n"/>
      <c r="Q47" s="163" t="n"/>
      <c r="R47" s="163" t="n"/>
    </row>
    <row r="48">
      <c r="A48" s="113" t="inlineStr">
        <is>
          <t>I (1st, 2nd yr)</t>
        </is>
      </c>
      <c r="B48" s="17">
        <f>COUNTIF($B$2:$J$2, "A")</f>
        <v/>
      </c>
      <c r="C48" s="17">
        <f>COUNTIF($B$2:$J$2, "Q")</f>
        <v/>
      </c>
      <c r="D48" s="17">
        <f>COUNTIF($B$2:$J$2, "M")</f>
        <v/>
      </c>
      <c r="E48" s="17">
        <f>COUNTIF($B$2:$J$2, "F")</f>
        <v/>
      </c>
      <c r="F48" s="17">
        <f>COUNTIF($B$2:$J$2, "P")</f>
        <v/>
      </c>
      <c r="G48" s="17">
        <f>COUNTIF($B$2:$J$2, "L")</f>
        <v/>
      </c>
      <c r="H48" s="17">
        <f>COUNTIF($B$2:$J$2, "OT")</f>
        <v/>
      </c>
      <c r="I48" s="13">
        <f>SUM(B48:H48)</f>
        <v/>
      </c>
      <c r="J48" s="29" t="n"/>
      <c r="K48" s="29" t="n"/>
      <c r="L48" s="29" t="n"/>
      <c r="M48" s="29" t="n"/>
      <c r="N48" s="29" t="n"/>
      <c r="O48" s="29" t="n"/>
      <c r="Q48" s="29" t="n"/>
      <c r="R48" s="29" t="n"/>
    </row>
    <row r="49">
      <c r="A49" s="119" t="inlineStr">
        <is>
          <t>D (2nd &amp; 3rd yr)</t>
        </is>
      </c>
      <c r="B49" s="17">
        <f>COUNTIF($K$2:$P$2, "A")</f>
        <v/>
      </c>
      <c r="C49" s="17">
        <f>COUNTIF($K$2:$P$2, "Q")</f>
        <v/>
      </c>
      <c r="D49" s="17">
        <f>COUNTIF($K$2:$P$2, "M")</f>
        <v/>
      </c>
      <c r="E49" s="17">
        <f>COUNTIF($K$2:$P$2, "F")</f>
        <v/>
      </c>
      <c r="F49" s="17">
        <f>COUNTIF($K$2:$P$2, "P")</f>
        <v/>
      </c>
      <c r="G49" s="17">
        <f>COUNTIF($K$2:$P$2, "L")</f>
        <v/>
      </c>
      <c r="H49" s="17">
        <f>COUNTIF($K$2:$P$2, "OT")</f>
        <v/>
      </c>
      <c r="I49" s="13">
        <f>SUM(B49:H49)</f>
        <v/>
      </c>
      <c r="J49" s="29" t="n"/>
      <c r="K49" s="29" t="n"/>
      <c r="L49" s="29" t="n"/>
      <c r="M49" s="29" t="n"/>
      <c r="N49" s="29" t="n"/>
      <c r="O49" s="29" t="n"/>
      <c r="Q49" s="29" t="n"/>
      <c r="R49" s="29" t="n"/>
    </row>
    <row r="50">
      <c r="A50" s="115" t="inlineStr">
        <is>
          <t>A (3rd, 4yr)</t>
        </is>
      </c>
      <c r="B50" s="17">
        <f>COUNTIF($Q$2:$Z$2, "A")</f>
        <v/>
      </c>
      <c r="C50" s="17">
        <f>COUNTIF($Q$2:$Z$2, "Q")</f>
        <v/>
      </c>
      <c r="D50" s="17">
        <f>COUNTIF($Q$2:$Z$2, "M")</f>
        <v/>
      </c>
      <c r="E50" s="17">
        <f>COUNTIF($Q$2:$Z$2, "F")</f>
        <v/>
      </c>
      <c r="F50" s="17">
        <f>COUNTIF($Q$2:$Z$2, "P")</f>
        <v/>
      </c>
      <c r="G50" s="17">
        <f>COUNTIF($Q$2:$Z$2, "L")</f>
        <v/>
      </c>
      <c r="H50" s="17">
        <f>COUNTIF($Q$2:$Z$2, "OT")</f>
        <v/>
      </c>
      <c r="I50" s="13">
        <f>SUM(B50:H50)</f>
        <v/>
      </c>
      <c r="J50" s="29" t="n"/>
      <c r="K50" s="29" t="n"/>
      <c r="L50" s="29" t="n"/>
      <c r="M50" s="29" t="n"/>
      <c r="N50" s="29" t="n"/>
      <c r="O50" s="29" t="n"/>
      <c r="Q50" s="29" t="n"/>
      <c r="R50" s="29" t="n"/>
    </row>
    <row r="51">
      <c r="A51" s="23" t="inlineStr">
        <is>
          <t>Total</t>
        </is>
      </c>
      <c r="B51" s="13">
        <f>SUM(B48:B50)</f>
        <v/>
      </c>
      <c r="C51" s="13">
        <f>SUM(C48:C50)</f>
        <v/>
      </c>
      <c r="D51" s="13">
        <f>SUM(D48:D50)</f>
        <v/>
      </c>
      <c r="E51" s="13">
        <f>SUM(E48:E50)</f>
        <v/>
      </c>
      <c r="F51" s="13">
        <f>SUM(F48:F50)</f>
        <v/>
      </c>
      <c r="G51" s="13">
        <f>SUM(G48:G50)</f>
        <v/>
      </c>
      <c r="H51" s="13">
        <f>SUM(H48:H50)</f>
        <v/>
      </c>
      <c r="I51" s="13">
        <f>SUM(I48:I50)</f>
        <v/>
      </c>
      <c r="J51" s="29" t="n"/>
      <c r="K51" s="29" t="n"/>
      <c r="L51" s="29" t="n"/>
      <c r="M51" s="29" t="n"/>
      <c r="N51" s="29" t="n"/>
      <c r="O51" s="29" t="n"/>
      <c r="Q51" s="29" t="n"/>
      <c r="R51" s="29" t="n"/>
    </row>
    <row r="53" ht="18.75" customHeight="1" thickBot="1">
      <c r="A53" s="99" t="inlineStr">
        <is>
          <t>Frequency Distribution Analysis</t>
        </is>
      </c>
      <c r="C53" s="99" t="n"/>
      <c r="D53" s="99" t="n"/>
      <c r="E53" s="99" t="n"/>
      <c r="F53" s="99" t="n"/>
      <c r="G53" s="99" t="n"/>
      <c r="H53" s="97" t="n"/>
      <c r="I53" s="97" t="n"/>
      <c r="J53" s="97" t="n"/>
      <c r="K53" s="97" t="n"/>
      <c r="L53" s="97" t="n"/>
      <c r="M53" s="97" t="n"/>
      <c r="N53" s="97" t="n"/>
      <c r="O53" s="97" t="n"/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</row>
    <row r="54" ht="16.5" customHeight="1" thickBot="1">
      <c r="A54" s="41" t="inlineStr">
        <is>
          <t>Scale</t>
        </is>
      </c>
      <c r="B54" s="165" t="inlineStr">
        <is>
          <t>CHEM-1520-2</t>
        </is>
      </c>
      <c r="C54" s="165" t="inlineStr">
        <is>
          <t>CHEM-1520-3</t>
        </is>
      </c>
      <c r="D54" s="164" t="inlineStr">
        <is>
          <t>EPHY-1170-2</t>
        </is>
      </c>
      <c r="E54" s="164" t="inlineStr">
        <is>
          <t>EPHY-1170-9</t>
        </is>
      </c>
      <c r="F54" s="165" t="inlineStr">
        <is>
          <t>EPHY-1270-2</t>
        </is>
      </c>
      <c r="G54" s="165" t="inlineStr">
        <is>
          <t>EPHY-1270-4</t>
        </is>
      </c>
      <c r="H54" s="165" t="inlineStr">
        <is>
          <t>EPHY-1270-5</t>
        </is>
      </c>
      <c r="I54" s="165" t="inlineStr">
        <is>
          <t>EPHY-1270-6</t>
        </is>
      </c>
      <c r="J54" s="165" t="inlineStr">
        <is>
          <t>EPHY-1270-8</t>
        </is>
      </c>
      <c r="K54" s="167" t="inlineStr">
        <is>
          <t>CENG-3310-4</t>
        </is>
      </c>
      <c r="L54" s="167" t="inlineStr">
        <is>
          <t>EENG-3010-3</t>
        </is>
      </c>
      <c r="M54" s="167" t="inlineStr">
        <is>
          <t>EPHY-2200-2</t>
        </is>
      </c>
      <c r="N54" s="167" t="inlineStr">
        <is>
          <t>EPHY-2300-5</t>
        </is>
      </c>
      <c r="O54" s="167" t="inlineStr">
        <is>
          <t>SENG-3110-3</t>
        </is>
      </c>
      <c r="P54" s="167" t="inlineStr">
        <is>
          <t>STAT-2230-1</t>
        </is>
      </c>
      <c r="Q54" s="168" t="inlineStr">
        <is>
          <t>SENG-3210-3</t>
        </is>
      </c>
      <c r="R54" s="168" t="inlineStr">
        <is>
          <t>SENG-3210-5</t>
        </is>
      </c>
      <c r="S54" s="168" t="inlineStr">
        <is>
          <t>SENG-4110-2</t>
        </is>
      </c>
      <c r="T54" s="168" t="inlineStr">
        <is>
          <t>SENG-4130-6</t>
        </is>
      </c>
      <c r="U54" s="168" t="inlineStr">
        <is>
          <t>SENG-4140-2</t>
        </is>
      </c>
      <c r="V54" s="168" t="inlineStr">
        <is>
          <t>SENG-4230-3</t>
        </is>
      </c>
      <c r="W54" s="168" t="inlineStr">
        <is>
          <t>SENG-4230-4</t>
        </is>
      </c>
      <c r="X54" s="168" t="inlineStr">
        <is>
          <t>SENG-4650-2</t>
        </is>
      </c>
      <c r="Y54" s="168" t="inlineStr">
        <is>
          <t>SENG-4660-2</t>
        </is>
      </c>
      <c r="Z54" s="168" t="inlineStr">
        <is>
          <t>CENG-4320-2</t>
        </is>
      </c>
      <c r="AA54" s="135" t="inlineStr">
        <is>
          <t>Average</t>
        </is>
      </c>
    </row>
    <row r="55" ht="16.5" customHeight="1" thickBot="1">
      <c r="A55" s="116" t="inlineStr">
        <is>
          <t>Below Expectation (C- and below)  (%)</t>
        </is>
      </c>
      <c r="B55" s="129">
        <f>(COUNTIF(B3:B42, "&lt;=59%"))/B45</f>
        <v/>
      </c>
      <c r="C55" s="129">
        <f>(COUNTIF(C3:C42, "&lt;=59%"))/C45</f>
        <v/>
      </c>
      <c r="D55" s="129">
        <f>(COUNTIF(D3:D42, "&lt;=59%"))/D45</f>
        <v/>
      </c>
      <c r="E55" s="129">
        <f>(COUNTIF(E3:E42, "&lt;=59%"))/E45</f>
        <v/>
      </c>
      <c r="F55" s="129">
        <f>(COUNTIF(F3:F42, "&lt;=59%"))/F45</f>
        <v/>
      </c>
      <c r="G55" s="129">
        <f>(COUNTIF(G3:G42, "&lt;=59%"))/G45</f>
        <v/>
      </c>
      <c r="H55" s="129">
        <f>(COUNTIF(H3:H42, "&lt;=59%"))/H45</f>
        <v/>
      </c>
      <c r="I55" s="129">
        <f>(COUNTIF(I3:I42, "&lt;=59%"))/I45</f>
        <v/>
      </c>
      <c r="J55" s="129">
        <f>(COUNTIF(J3:J42, "&lt;=59%"))/J45</f>
        <v/>
      </c>
      <c r="K55" s="129">
        <f>(COUNTIF(K3:K42, "&lt;=59%"))/K45</f>
        <v/>
      </c>
      <c r="L55" s="129">
        <f>(COUNTIF(L3:L42, "&lt;=59%"))/L45</f>
        <v/>
      </c>
      <c r="M55" s="129">
        <f>(COUNTIF(M3:M42, "&lt;=59%"))/M45</f>
        <v/>
      </c>
      <c r="N55" s="129">
        <f>(COUNTIF(N3:N42, "&lt;=59%"))/N45</f>
        <v/>
      </c>
      <c r="O55" s="129">
        <f>(COUNTIF(O3:O42, "&lt;=59%"))/O45</f>
        <v/>
      </c>
      <c r="P55" s="129">
        <f>(COUNTIF(P3:P42, "&lt;=59%"))/P45</f>
        <v/>
      </c>
      <c r="Q55" s="129">
        <f>(COUNTIF(Q3:Q42, "&lt;=59%"))/Q45</f>
        <v/>
      </c>
      <c r="R55" s="129">
        <f>(COUNTIF(R3:R42, "&lt;=59%"))/R45</f>
        <v/>
      </c>
      <c r="S55" s="129">
        <f>(COUNTIF(S3:S42, "&lt;=59%"))/S45</f>
        <v/>
      </c>
      <c r="T55" s="129">
        <f>(COUNTIF(T3:T42, "&lt;=59%"))/T45</f>
        <v/>
      </c>
      <c r="U55" s="129">
        <f>(COUNTIF(U3:U42, "&lt;=59%"))/U45</f>
        <v/>
      </c>
      <c r="V55" s="129">
        <f>(COUNTIF(V3:V42, "&lt;=59%"))/V45</f>
        <v/>
      </c>
      <c r="W55" s="129">
        <f>(COUNTIF(W3:W42, "&lt;=59%"))/W45</f>
        <v/>
      </c>
      <c r="X55" s="129">
        <f>(COUNTIF(X3:X42, "&lt;=59%"))/X45</f>
        <v/>
      </c>
      <c r="Y55" s="129">
        <f>(COUNTIF(Y3:Y42, "&lt;=59%"))/Y45</f>
        <v/>
      </c>
      <c r="Z55" s="129">
        <f>(COUNTIF(Z3:Z42, "&lt;=59%"))/Z45</f>
        <v/>
      </c>
      <c r="AA55" s="45">
        <f>AVERAGEIF(B55:Z55, "&lt;&gt;#DIV/0!")</f>
        <v/>
      </c>
    </row>
    <row r="56" ht="16.5" customHeight="1" thickBot="1">
      <c r="A56" s="117" t="inlineStr">
        <is>
          <t>Marginal (C+, C)  (%)</t>
        </is>
      </c>
      <c r="B56" s="133">
        <f>(COUNTIFS(B3:B42, "&gt;= 60%", B3:B42, "&lt;=69%" ))/B45</f>
        <v/>
      </c>
      <c r="C56" s="133">
        <f>(COUNTIFS(C3:C42, "&gt;= 60%", C3:C42, "&lt;=69%" ))/C45</f>
        <v/>
      </c>
      <c r="D56" s="133">
        <f>(COUNTIFS(D3:D42, "&gt;= 60%", D3:D42, "&lt;=69%" ))/D45</f>
        <v/>
      </c>
      <c r="E56" s="133">
        <f>(COUNTIFS(E3:E42, "&gt;= 60%", E3:E42, "&lt;=69%" ))/E45</f>
        <v/>
      </c>
      <c r="F56" s="133">
        <f>(COUNTIFS(F3:F42, "&gt;= 60%", F3:F42, "&lt;=69%" ))/F45</f>
        <v/>
      </c>
      <c r="G56" s="133">
        <f>(COUNTIFS(G3:G42, "&gt;= 60%", G3:G42, "&lt;=69%" ))/G45</f>
        <v/>
      </c>
      <c r="H56" s="133">
        <f>(COUNTIFS(H3:H42, "&gt;= 60%", H3:H42, "&lt;=69%" ))/H45</f>
        <v/>
      </c>
      <c r="I56" s="133">
        <f>(COUNTIFS(I3:I42, "&gt;= 60%", I3:I42, "&lt;=69%" ))/I45</f>
        <v/>
      </c>
      <c r="J56" s="133">
        <f>(COUNTIFS(J3:J42, "&gt;= 60%", J3:J42, "&lt;=69%" ))/J45</f>
        <v/>
      </c>
      <c r="K56" s="133">
        <f>(COUNTIFS(K3:K42, "&gt;= 60%", K3:K42, "&lt;=69%" ))/K45</f>
        <v/>
      </c>
      <c r="L56" s="133">
        <f>(COUNTIFS(L3:L42, "&gt;= 60%", L3:L42, "&lt;=69%" ))/L45</f>
        <v/>
      </c>
      <c r="M56" s="133">
        <f>(COUNTIFS(M3:M42, "&gt;= 60%", M3:M42, "&lt;=69%" ))/M45</f>
        <v/>
      </c>
      <c r="N56" s="133">
        <f>(COUNTIFS(N3:N42, "&gt;= 60%", N3:N42, "&lt;=69%" ))/N45</f>
        <v/>
      </c>
      <c r="O56" s="133">
        <f>(COUNTIFS(O3:O42, "&gt;= 60%", O3:O42, "&lt;=69%" ))/O45</f>
        <v/>
      </c>
      <c r="P56" s="133">
        <f>(COUNTIFS(P3:P42, "&gt;= 60%", P3:P42, "&lt;=69%" ))/P45</f>
        <v/>
      </c>
      <c r="Q56" s="133">
        <f>(COUNTIFS(Q3:Q42, "&gt;= 60%", Q3:Q42, "&lt;=69%" ))/Q45</f>
        <v/>
      </c>
      <c r="R56" s="133">
        <f>(COUNTIFS(R3:R42, "&gt;= 60%", R3:R42, "&lt;=69%" ))/R45</f>
        <v/>
      </c>
      <c r="S56" s="133">
        <f>(COUNTIFS(S3:S42, "&gt;= 60%", S3:S42, "&lt;=69%" ))/S45</f>
        <v/>
      </c>
      <c r="T56" s="133">
        <f>(COUNTIFS(T3:T42, "&gt;= 60%", T3:T42, "&lt;=69%" ))/T45</f>
        <v/>
      </c>
      <c r="U56" s="133">
        <f>(COUNTIFS(U3:U42, "&gt;= 60%", U3:U42, "&lt;=69%" ))/U45</f>
        <v/>
      </c>
      <c r="V56" s="133">
        <f>(COUNTIFS(V3:V42, "&gt;= 60%", V3:V42, "&lt;=69%" ))/V45</f>
        <v/>
      </c>
      <c r="W56" s="133">
        <f>(COUNTIFS(W3:W42, "&gt;= 60%", W3:W42, "&lt;=69%" ))/W45</f>
        <v/>
      </c>
      <c r="X56" s="133">
        <f>(COUNTIFS(X3:X42, "&gt;= 60%", X3:X42, "&lt;=69%" ))/X45</f>
        <v/>
      </c>
      <c r="Y56" s="133">
        <f>(COUNTIFS(Y3:Y42, "&gt;= 60%", Y3:Y42, "&lt;=69%" ))/Y45</f>
        <v/>
      </c>
      <c r="Z56" s="133">
        <f>(COUNTIFS(Z3:Z42, "&gt;= 60%", Z3:Z42, "&lt;=69%" ))/Z45</f>
        <v/>
      </c>
      <c r="AA56" s="45">
        <f>AVERAGEIF(B56:Z56, "&lt;&gt;#DIV/0!")</f>
        <v/>
      </c>
    </row>
    <row r="57" ht="16.5" customHeight="1" thickBot="1">
      <c r="A57" s="112" t="inlineStr">
        <is>
          <t>Meets Expectation (B+, B, B-) (%)</t>
        </is>
      </c>
      <c r="B57" s="133">
        <f>(COUNTIFS(B3:B42, "&gt;= 70%", B3:B42, "&lt;=79%" ))/B45</f>
        <v/>
      </c>
      <c r="C57" s="133">
        <f>(COUNTIFS(C3:C42, "&gt;= 70%", C3:C42, "&lt;=79%" ))/C45</f>
        <v/>
      </c>
      <c r="D57" s="133">
        <f>(COUNTIFS(D3:D42, "&gt;= 70%", D3:D42, "&lt;=79%" ))/D45</f>
        <v/>
      </c>
      <c r="E57" s="133">
        <f>(COUNTIFS(E3:E42, "&gt;= 70%", E3:E42, "&lt;=79%" ))/E45</f>
        <v/>
      </c>
      <c r="F57" s="133">
        <f>(COUNTIFS(F3:F42, "&gt;= 70%", F3:F42, "&lt;=79%" ))/F45</f>
        <v/>
      </c>
      <c r="G57" s="133">
        <f>(COUNTIFS(G3:G42, "&gt;= 70%", G3:G42, "&lt;=79%" ))/G45</f>
        <v/>
      </c>
      <c r="H57" s="133">
        <f>(COUNTIFS(H3:H42, "&gt;= 70%", H3:H42, "&lt;=79%" ))/H45</f>
        <v/>
      </c>
      <c r="I57" s="133">
        <f>(COUNTIFS(I3:I42, "&gt;= 70%", I3:I42, "&lt;=79%" ))/I45</f>
        <v/>
      </c>
      <c r="J57" s="133">
        <f>(COUNTIFS(J3:J42, "&gt;= 70%", J3:J42, "&lt;=79%" ))/J45</f>
        <v/>
      </c>
      <c r="K57" s="133">
        <f>(COUNTIFS(K3:K42, "&gt;= 70%", K3:K42, "&lt;=79%" ))/K45</f>
        <v/>
      </c>
      <c r="L57" s="133">
        <f>(COUNTIFS(L3:L42, "&gt;= 70%", L3:L42, "&lt;=79%" ))/L45</f>
        <v/>
      </c>
      <c r="M57" s="133">
        <f>(COUNTIFS(M3:M42, "&gt;= 70%", M3:M42, "&lt;=79%" ))/M45</f>
        <v/>
      </c>
      <c r="N57" s="133">
        <f>(COUNTIFS(N3:N42, "&gt;= 70%", N3:N42, "&lt;=79%" ))/N45</f>
        <v/>
      </c>
      <c r="O57" s="133">
        <f>(COUNTIFS(O3:O42, "&gt;= 70%", O3:O42, "&lt;=79%" ))/O45</f>
        <v/>
      </c>
      <c r="P57" s="133">
        <f>(COUNTIFS(P3:P42, "&gt;= 70%", P3:P42, "&lt;=79%" ))/P45</f>
        <v/>
      </c>
      <c r="Q57" s="133">
        <f>(COUNTIFS(Q3:Q42, "&gt;= 70%", Q3:Q42, "&lt;=79%" ))/Q45</f>
        <v/>
      </c>
      <c r="R57" s="133">
        <f>(COUNTIFS(R3:R42, "&gt;= 70%", R3:R42, "&lt;=79%" ))/R45</f>
        <v/>
      </c>
      <c r="S57" s="133">
        <f>(COUNTIFS(S3:S42, "&gt;= 70%", S3:S42, "&lt;=79%" ))/S45</f>
        <v/>
      </c>
      <c r="T57" s="133">
        <f>(COUNTIFS(T3:T42, "&gt;= 70%", T3:T42, "&lt;=79%" ))/T45</f>
        <v/>
      </c>
      <c r="U57" s="133">
        <f>(COUNTIFS(U3:U42, "&gt;= 70%", U3:U42, "&lt;=79%" ))/U45</f>
        <v/>
      </c>
      <c r="V57" s="133">
        <f>(COUNTIFS(V3:V42, "&gt;= 70%", V3:V42, "&lt;=79%" ))/V45</f>
        <v/>
      </c>
      <c r="W57" s="133">
        <f>(COUNTIFS(W3:W42, "&gt;= 70%", W3:W42, "&lt;=79%" ))/W45</f>
        <v/>
      </c>
      <c r="X57" s="133">
        <f>(COUNTIFS(X3:X42, "&gt;= 70%", X3:X42, "&lt;=79%" ))/X45</f>
        <v/>
      </c>
      <c r="Y57" s="133">
        <f>(COUNTIFS(Y3:Y42, "&gt;= 70%", Y3:Y42, "&lt;=79%" ))/Y45</f>
        <v/>
      </c>
      <c r="Z57" s="133">
        <f>(COUNTIFS(Z3:Z42, "&gt;= 70%", Z3:Z42, "&lt;=79%" ))/Z45</f>
        <v/>
      </c>
      <c r="AA57" s="45">
        <f>AVERAGEIF(B57:Z57, "&lt;&gt;#DIV/0!")</f>
        <v/>
      </c>
    </row>
    <row r="58" ht="16.5" customHeight="1" thickBot="1">
      <c r="A58" s="118" t="inlineStr">
        <is>
          <t>Exceeds Expectation (A+, A, A-) (%)</t>
        </is>
      </c>
      <c r="B58" s="133">
        <f>(COUNTIF(B3:B42,"&gt;= 80%")/B45)</f>
        <v/>
      </c>
      <c r="C58" s="133">
        <f>(COUNTIF(C3:C42,"&gt;= 80%")/C45)</f>
        <v/>
      </c>
      <c r="D58" s="133">
        <f>(COUNTIF(D3:D42,"&gt;= 80%")/D45)</f>
        <v/>
      </c>
      <c r="E58" s="133">
        <f>(COUNTIF(E3:E42,"&gt;= 80%")/E45)</f>
        <v/>
      </c>
      <c r="F58" s="133">
        <f>(COUNTIF(F3:F42,"&gt;= 80%")/F45)</f>
        <v/>
      </c>
      <c r="G58" s="133">
        <f>(COUNTIF(G3:G42,"&gt;= 80%")/G45)</f>
        <v/>
      </c>
      <c r="H58" s="133">
        <f>(COUNTIF(H3:H42,"&gt;= 80%")/H45)</f>
        <v/>
      </c>
      <c r="I58" s="133">
        <f>(COUNTIF(I3:I42,"&gt;= 80%")/I45)</f>
        <v/>
      </c>
      <c r="J58" s="133">
        <f>(COUNTIF(J3:J42,"&gt;= 80%")/J45)</f>
        <v/>
      </c>
      <c r="K58" s="133">
        <f>(COUNTIF(K3:K42,"&gt;= 80%")/K45)</f>
        <v/>
      </c>
      <c r="L58" s="133">
        <f>(COUNTIF(L3:L42,"&gt;= 80%")/L45)</f>
        <v/>
      </c>
      <c r="M58" s="133">
        <f>(COUNTIF(M3:M42,"&gt;= 80%")/M45)</f>
        <v/>
      </c>
      <c r="N58" s="133">
        <f>(COUNTIF(N3:N42,"&gt;= 80%")/N45)</f>
        <v/>
      </c>
      <c r="O58" s="133">
        <f>(COUNTIF(O3:O42,"&gt;= 80%")/O45)</f>
        <v/>
      </c>
      <c r="P58" s="133">
        <f>(COUNTIF(P3:P42,"&gt;= 80%")/P45)</f>
        <v/>
      </c>
      <c r="Q58" s="133">
        <f>(COUNTIF(Q3:Q42,"&gt;= 80%")/Q45)</f>
        <v/>
      </c>
      <c r="R58" s="133">
        <f>(COUNTIF(R3:R42,"&gt;= 80%")/R45)</f>
        <v/>
      </c>
      <c r="S58" s="133">
        <f>(COUNTIF(S3:S42,"&gt;= 80%")/S45)</f>
        <v/>
      </c>
      <c r="T58" s="133">
        <f>(COUNTIF(T3:T42,"&gt;= 80%")/T45)</f>
        <v/>
      </c>
      <c r="U58" s="133">
        <f>(COUNTIF(U3:U42,"&gt;= 80%")/U45)</f>
        <v/>
      </c>
      <c r="V58" s="133">
        <f>(COUNTIF(V3:V42,"&gt;= 80%")/V45)</f>
        <v/>
      </c>
      <c r="W58" s="133">
        <f>(COUNTIF(W3:W42,"&gt;= 80%")/W45)</f>
        <v/>
      </c>
      <c r="X58" s="133">
        <f>(COUNTIF(X3:X42,"&gt;= 80%")/X45)</f>
        <v/>
      </c>
      <c r="Y58" s="133">
        <f>(COUNTIF(Y3:Y42,"&gt;= 80%")/Y45)</f>
        <v/>
      </c>
      <c r="Z58" s="133">
        <f>(COUNTIF(Z3:Z42,"&gt;= 80%")/Z45)</f>
        <v/>
      </c>
      <c r="AA58" s="45">
        <f>AVERAGEIF(B58:Z58, "&lt;&gt;#DIV/0!")</f>
        <v/>
      </c>
    </row>
    <row r="59" ht="16.5" customHeight="1" thickBot="1" thickTop="1">
      <c r="A59" s="48" t="n"/>
      <c r="B59" s="101">
        <f>SUMIF(B55:B58, "&lt;&gt;#DIV/0!")</f>
        <v/>
      </c>
      <c r="C59" s="101">
        <f>SUMIF(C55:C58, "&lt;&gt;#DIV/0!")</f>
        <v/>
      </c>
      <c r="D59" s="101">
        <f>SUMIF(D55:D58, "&lt;&gt;#DIV/0!")</f>
        <v/>
      </c>
      <c r="E59" s="101">
        <f>SUMIF(E55:E58, "&lt;&gt;#DIV/0!")</f>
        <v/>
      </c>
      <c r="F59" s="101">
        <f>SUMIF(F55:F58, "&lt;&gt;#DIV/0!")</f>
        <v/>
      </c>
      <c r="G59" s="101">
        <f>SUMIF(G55:G58, "&lt;&gt;#DIV/0!")</f>
        <v/>
      </c>
      <c r="H59" s="101">
        <f>SUMIF(H55:H58, "&lt;&gt;#DIV/0!")</f>
        <v/>
      </c>
      <c r="I59" s="101">
        <f>SUMIF(I55:I58, "&lt;&gt;#DIV/0!")</f>
        <v/>
      </c>
      <c r="J59" s="101">
        <f>SUMIF(J55:J58, "&lt;&gt;#DIV/0!")</f>
        <v/>
      </c>
      <c r="K59" s="101">
        <f>SUMIF(K55:K58, "&lt;&gt;#DIV/0!")</f>
        <v/>
      </c>
      <c r="L59" s="101">
        <f>SUMIF(L55:L58, "&lt;&gt;#DIV/0!")</f>
        <v/>
      </c>
      <c r="M59" s="101">
        <f>SUMIF(M55:M58, "&lt;&gt;#DIV/0!")</f>
        <v/>
      </c>
      <c r="N59" s="101">
        <f>SUMIF(N55:N58, "&lt;&gt;#DIV/0!")</f>
        <v/>
      </c>
      <c r="O59" s="101">
        <f>SUMIF(O55:O58, "&lt;&gt;#DIV/0!")</f>
        <v/>
      </c>
      <c r="P59" s="101">
        <f>SUMIF(P55:P58, "&lt;&gt;#DIV/0!")</f>
        <v/>
      </c>
      <c r="Q59" s="101">
        <f>SUMIF(Q55:Q58, "&lt;&gt;#DIV/0!")</f>
        <v/>
      </c>
      <c r="R59" s="101">
        <f>SUMIF(R55:R58, "&lt;&gt;#DIV/0!")</f>
        <v/>
      </c>
      <c r="S59" s="101">
        <f>SUMIF(S55:S58, "&lt;&gt;#DIV/0!")</f>
        <v/>
      </c>
      <c r="T59" s="101">
        <f>SUMIF(T55:T58, "&lt;&gt;#DIV/0!")</f>
        <v/>
      </c>
      <c r="U59" s="101">
        <f>SUMIF(U55:U58, "&lt;&gt;#DIV/0!")</f>
        <v/>
      </c>
      <c r="V59" s="101">
        <f>SUMIF(V55:V58, "&lt;&gt;#DIV/0!")</f>
        <v/>
      </c>
      <c r="W59" s="101">
        <f>SUMIF(W55:W58, "&lt;&gt;#DIV/0!")</f>
        <v/>
      </c>
      <c r="X59" s="101">
        <f>SUMIF(X55:X58, "&lt;&gt;#DIV/0!")</f>
        <v/>
      </c>
      <c r="Y59" s="101">
        <f>SUMIF(Y55:Y58, "&lt;&gt;#DIV/0!")</f>
        <v/>
      </c>
      <c r="Z59" s="101">
        <f>SUMIF(Z55:Z58, "&lt;&gt;#DIV/0!")</f>
        <v/>
      </c>
      <c r="AA59" s="136" t="n"/>
    </row>
    <row r="60" ht="15.75" customHeight="1" thickBot="1"/>
    <row r="61" ht="15.75" customHeight="1" thickBot="1">
      <c r="A61" s="29" t="n"/>
      <c r="B61" s="46" t="inlineStr">
        <is>
          <t>Class Limit</t>
        </is>
      </c>
      <c r="C61" s="46" t="inlineStr">
        <is>
          <t>Bin</t>
        </is>
      </c>
    </row>
    <row r="62" ht="16.5" customHeight="1" thickBot="1">
      <c r="A62" s="42" t="inlineStr">
        <is>
          <t>Exceeds Expectation (A+, A, A-) (%)</t>
        </is>
      </c>
      <c r="B62" s="48" t="inlineStr">
        <is>
          <t>80-100</t>
        </is>
      </c>
      <c r="C62" s="47" t="n">
        <v>100</v>
      </c>
    </row>
    <row r="63" ht="16.5" customHeight="1" thickBot="1">
      <c r="A63" s="42" t="inlineStr">
        <is>
          <t>Meets Expectation (B+, B, B-) (%)</t>
        </is>
      </c>
      <c r="B63" s="48" t="inlineStr">
        <is>
          <t>70-79</t>
        </is>
      </c>
      <c r="C63" s="47" t="n">
        <v>79</v>
      </c>
    </row>
    <row r="64" ht="16.5" customHeight="1" thickBot="1">
      <c r="A64" s="42" t="inlineStr">
        <is>
          <t>Marginal (C+, C)  (%)</t>
        </is>
      </c>
      <c r="B64" s="48" t="inlineStr">
        <is>
          <t>60-69</t>
        </is>
      </c>
      <c r="C64" s="47" t="n">
        <v>69</v>
      </c>
    </row>
    <row r="65" ht="16.5" customHeight="1" thickBot="1">
      <c r="A65" s="42" t="inlineStr">
        <is>
          <t>Below Expectation (C- and below)  (%)</t>
        </is>
      </c>
      <c r="B65" s="48" t="inlineStr">
        <is>
          <t>0-59</t>
        </is>
      </c>
      <c r="C65" s="47" t="n">
        <v>59</v>
      </c>
    </row>
  </sheetData>
  <mergeCells count="1">
    <mergeCell ref="AA3:AA42"/>
  </mergeCells>
  <conditionalFormatting sqref="P3: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greaterThanOrEqual" dxfId="3">
      <formula>80</formula>
    </cfRule>
    <cfRule type="containsBlanks" priority="3" dxfId="4" stopIfTrue="1">
      <formula>LEN(TRIM(P3))=0</formula>
    </cfRule>
    <cfRule type="cellIs" priority="4" operator="greaterThanOrEqual" dxfId="3">
      <formula>80</formula>
    </cfRule>
    <cfRule type="cellIs" priority="5" operator="between" dxfId="2">
      <formula>70</formula>
      <formula>79</formula>
    </cfRule>
    <cfRule type="cellIs" priority="6" operator="between" dxfId="1">
      <formula>60</formula>
      <formula>69</formula>
    </cfRule>
    <cfRule type="cellIs" priority="7" operator="between" dxfId="0">
      <formula>0</formula>
      <formula>59</formula>
    </cfRule>
  </conditionalFormatting>
  <conditionalFormatting sqref="B3:O42 Q3:Z42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55" operator="greaterThanOrEqual" dxfId="3">
      <formula>80</formula>
    </cfRule>
    <cfRule type="containsBlanks" priority="556" dxfId="4" stopIfTrue="1">
      <formula>LEN(TRIM(B3))=0</formula>
    </cfRule>
    <cfRule type="cellIs" priority="557" operator="greaterThanOrEqual" dxfId="3">
      <formula>80</formula>
    </cfRule>
    <cfRule type="cellIs" priority="558" operator="between" dxfId="2">
      <formula>70</formula>
      <formula>79</formula>
    </cfRule>
    <cfRule type="cellIs" priority="559" operator="between" dxfId="1">
      <formula>60</formula>
      <formula>69</formula>
    </cfRule>
    <cfRule type="cellIs" priority="560" operator="between" dxfId="0">
      <formula>0</formula>
      <formula>59</formula>
    </cfRule>
  </conditionalFormatting>
  <dataValidations count="1">
    <dataValidation sqref="B2:Z2" showErrorMessage="1" showInputMessage="1" allowBlank="1" type="list">
      <formula1>$AD$4:$AD$11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65"/>
  <sheetViews>
    <sheetView topLeftCell="A21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42578125" bestFit="1" customWidth="1" min="3" max="3"/>
    <col width="15.85546875" bestFit="1" customWidth="1" min="4" max="4"/>
    <col width="17.7109375" bestFit="1" customWidth="1" min="5" max="5"/>
    <col width="14.42578125" bestFit="1" customWidth="1" min="6" max="6"/>
    <col width="14.85546875" bestFit="1" customWidth="1" min="7" max="7"/>
    <col width="17.7109375" bestFit="1" customWidth="1" min="8" max="8"/>
    <col width="14.85546875" bestFit="1" customWidth="1" min="9" max="9"/>
    <col width="15.28515625" bestFit="1" customWidth="1" min="10" max="13"/>
    <col width="9.28515625" customWidth="1" min="14" max="14"/>
    <col width="9.28515625" bestFit="1" customWidth="1" min="15" max="15"/>
    <col width="4.28515625" bestFit="1" customWidth="1" min="17" max="17"/>
  </cols>
  <sheetData>
    <row r="1" ht="15" customHeight="1">
      <c r="A1" s="13" t="inlineStr">
        <is>
          <t>Student Number</t>
        </is>
      </c>
      <c r="B1" s="164" t="inlineStr">
        <is>
          <t>EPHY-1170-7</t>
        </is>
      </c>
      <c r="C1" s="166" t="inlineStr">
        <is>
          <t>MATH-1130-4</t>
        </is>
      </c>
      <c r="D1" s="167" t="inlineStr">
        <is>
          <t>SENG-3110-5</t>
        </is>
      </c>
      <c r="E1" s="167" t="inlineStr">
        <is>
          <t>STAT-2230-2</t>
        </is>
      </c>
      <c r="F1" s="168" t="inlineStr">
        <is>
          <t>SENG-4110-5</t>
        </is>
      </c>
      <c r="G1" s="168" t="inlineStr">
        <is>
          <t>SENG-4120-4</t>
        </is>
      </c>
      <c r="H1" s="168" t="inlineStr">
        <is>
          <t>SENG-4120-5</t>
        </is>
      </c>
      <c r="I1" s="168" t="inlineStr">
        <is>
          <t>SENG-4130-5</t>
        </is>
      </c>
      <c r="J1" s="168" t="inlineStr">
        <is>
          <t>SENG-4620-3</t>
        </is>
      </c>
      <c r="K1" s="168" t="inlineStr">
        <is>
          <t>SENG-4650-4</t>
        </is>
      </c>
      <c r="L1" s="168" t="inlineStr">
        <is>
          <t>SENG-4660-3</t>
        </is>
      </c>
      <c r="M1" s="168" t="inlineStr">
        <is>
          <t>CENG-4320-3</t>
        </is>
      </c>
      <c r="N1" s="34">
        <f>COUNTA(B1:L1)</f>
        <v/>
      </c>
    </row>
    <row r="2" ht="30" customHeight="1">
      <c r="A2" s="16" t="inlineStr">
        <is>
          <t>Assessment
Tool</t>
        </is>
      </c>
      <c r="B2" s="16" t="n"/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34">
        <f>COUNTIF(B2:M2, "&lt;&gt;")</f>
        <v/>
      </c>
    </row>
    <row r="3">
      <c r="A3" s="17" t="n">
        <v>1</v>
      </c>
      <c r="B3" s="169" t="n"/>
      <c r="C3" s="169" t="n"/>
      <c r="D3" s="169" t="n"/>
      <c r="E3" s="169" t="n"/>
      <c r="F3" s="169" t="n"/>
      <c r="G3" s="169" t="n"/>
      <c r="H3" s="169" t="n"/>
      <c r="I3" s="169" t="n"/>
      <c r="J3" s="169" t="n"/>
      <c r="K3" s="169" t="n"/>
      <c r="L3" s="169" t="n"/>
      <c r="M3" s="174" t="n"/>
      <c r="N3" s="199" t="n"/>
    </row>
    <row r="4">
      <c r="A4" s="17" t="n">
        <v>2</v>
      </c>
      <c r="B4" s="169" t="n"/>
      <c r="C4" s="169" t="n"/>
      <c r="D4" s="169" t="n"/>
      <c r="E4" s="169" t="n"/>
      <c r="F4" s="169" t="n"/>
      <c r="G4" s="169" t="n"/>
      <c r="H4" s="169" t="n"/>
      <c r="I4" s="169" t="n"/>
      <c r="J4" s="169" t="n"/>
      <c r="K4" s="169" t="n"/>
      <c r="L4" s="169" t="n"/>
      <c r="M4" s="175" t="n"/>
      <c r="N4" s="200" t="n"/>
    </row>
    <row r="5">
      <c r="A5" s="17" t="n">
        <v>3</v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75" t="n"/>
      <c r="N5" s="200" t="n"/>
      <c r="Q5" s="120" t="n"/>
    </row>
    <row r="6">
      <c r="A6" s="17" t="n">
        <v>4</v>
      </c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75" t="n"/>
      <c r="N6" s="200" t="n"/>
      <c r="Q6" s="120" t="inlineStr">
        <is>
          <t>A</t>
        </is>
      </c>
    </row>
    <row r="7">
      <c r="A7" s="17" t="n">
        <v>5</v>
      </c>
      <c r="B7" s="169" t="n"/>
      <c r="C7" s="169" t="n"/>
      <c r="D7" s="169" t="n"/>
      <c r="E7" s="169" t="n"/>
      <c r="F7" s="169" t="n"/>
      <c r="G7" s="169" t="n"/>
      <c r="H7" s="169" t="n"/>
      <c r="I7" s="169" t="n"/>
      <c r="J7" s="169" t="n"/>
      <c r="K7" s="169" t="n"/>
      <c r="L7" s="169" t="n"/>
      <c r="M7" s="175" t="n"/>
      <c r="N7" s="200" t="n"/>
      <c r="Q7" s="120" t="inlineStr">
        <is>
          <t>Q</t>
        </is>
      </c>
    </row>
    <row r="8">
      <c r="A8" s="17" t="n">
        <v>6</v>
      </c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75" t="n"/>
      <c r="N8" s="200" t="n"/>
      <c r="Q8" s="120" t="inlineStr">
        <is>
          <t>M</t>
        </is>
      </c>
    </row>
    <row r="9">
      <c r="A9" s="17" t="n">
        <v>7</v>
      </c>
      <c r="B9" s="169" t="n"/>
      <c r="C9" s="169" t="n"/>
      <c r="D9" s="169" t="n"/>
      <c r="E9" s="169" t="n"/>
      <c r="F9" s="169" t="n"/>
      <c r="G9" s="169" t="n"/>
      <c r="H9" s="169" t="n"/>
      <c r="I9" s="169" t="n"/>
      <c r="J9" s="169" t="n"/>
      <c r="K9" s="169" t="n"/>
      <c r="L9" s="169" t="n"/>
      <c r="M9" s="175" t="n"/>
      <c r="N9" s="200" t="n"/>
      <c r="Q9" s="120" t="inlineStr">
        <is>
          <t>F</t>
        </is>
      </c>
    </row>
    <row r="10">
      <c r="A10" s="17" t="n">
        <v>8</v>
      </c>
      <c r="B10" s="169" t="n"/>
      <c r="C10" s="169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75" t="n"/>
      <c r="N10" s="200" t="n"/>
      <c r="Q10" s="120" t="inlineStr">
        <is>
          <t>P</t>
        </is>
      </c>
    </row>
    <row r="11">
      <c r="A11" s="17" t="n">
        <v>9</v>
      </c>
      <c r="B11" s="169" t="n"/>
      <c r="C11" s="169" t="n"/>
      <c r="D11" s="169" t="n"/>
      <c r="E11" s="169" t="n"/>
      <c r="F11" s="169" t="n"/>
      <c r="G11" s="169" t="n"/>
      <c r="H11" s="169" t="n"/>
      <c r="I11" s="169" t="n"/>
      <c r="J11" s="169" t="n"/>
      <c r="K11" s="169" t="n"/>
      <c r="L11" s="169" t="n"/>
      <c r="M11" s="175" t="n"/>
      <c r="N11" s="200" t="n"/>
      <c r="Q11" s="120" t="inlineStr">
        <is>
          <t>L</t>
        </is>
      </c>
    </row>
    <row r="12">
      <c r="A12" s="17" t="n">
        <v>10</v>
      </c>
      <c r="B12" s="169" t="n"/>
      <c r="C12" s="169" t="n"/>
      <c r="D12" s="169" t="n"/>
      <c r="E12" s="169" t="n"/>
      <c r="F12" s="169" t="n"/>
      <c r="G12" s="169" t="n"/>
      <c r="H12" s="169" t="n"/>
      <c r="I12" s="169" t="n"/>
      <c r="J12" s="169" t="n"/>
      <c r="K12" s="169" t="n"/>
      <c r="L12" s="169" t="n"/>
      <c r="M12" s="175" t="n"/>
      <c r="N12" s="200" t="n"/>
      <c r="Q12" s="120" t="inlineStr">
        <is>
          <t>OT</t>
        </is>
      </c>
    </row>
    <row r="13">
      <c r="A13" s="17" t="n">
        <v>11</v>
      </c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75" t="n"/>
      <c r="N13" s="200" t="n"/>
      <c r="Q13" s="120" t="n"/>
    </row>
    <row r="14">
      <c r="A14" s="17" t="n">
        <v>12</v>
      </c>
      <c r="B14" s="169" t="n"/>
      <c r="C14" s="169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75" t="n"/>
      <c r="N14" s="200" t="n"/>
      <c r="Q14" s="120" t="n"/>
    </row>
    <row r="15">
      <c r="A15" s="17" t="n">
        <v>13</v>
      </c>
      <c r="B15" s="169" t="n"/>
      <c r="C15" s="169" t="n"/>
      <c r="D15" s="169" t="n"/>
      <c r="E15" s="169" t="n"/>
      <c r="F15" s="169" t="n"/>
      <c r="G15" s="169" t="n"/>
      <c r="H15" s="169" t="n"/>
      <c r="I15" s="169" t="n"/>
      <c r="J15" s="169" t="n"/>
      <c r="K15" s="169" t="n"/>
      <c r="L15" s="169" t="n"/>
      <c r="M15" s="175" t="n"/>
      <c r="N15" s="200" t="n"/>
    </row>
    <row r="16">
      <c r="A16" s="17" t="n">
        <v>14</v>
      </c>
      <c r="B16" s="169" t="n"/>
      <c r="C16" s="169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75" t="n"/>
      <c r="N16" s="200" t="n"/>
    </row>
    <row r="17">
      <c r="A17" s="17" t="n">
        <v>15</v>
      </c>
      <c r="B17" s="169" t="n"/>
      <c r="C17" s="169" t="n"/>
      <c r="D17" s="169" t="n"/>
      <c r="E17" s="169" t="n"/>
      <c r="F17" s="169" t="n"/>
      <c r="G17" s="169" t="n"/>
      <c r="H17" s="169" t="n"/>
      <c r="I17" s="169" t="n"/>
      <c r="J17" s="169" t="n"/>
      <c r="K17" s="169" t="n"/>
      <c r="L17" s="169" t="n"/>
      <c r="M17" s="175" t="n"/>
      <c r="N17" s="200" t="n"/>
    </row>
    <row r="18">
      <c r="A18" s="17" t="n">
        <v>16</v>
      </c>
      <c r="B18" s="169" t="n"/>
      <c r="C18" s="169" t="n"/>
      <c r="D18" s="169" t="n"/>
      <c r="E18" s="169" t="n"/>
      <c r="F18" s="169" t="n"/>
      <c r="G18" s="169" t="n"/>
      <c r="H18" s="169" t="n"/>
      <c r="I18" s="169" t="n"/>
      <c r="J18" s="169" t="n"/>
      <c r="K18" s="169" t="n"/>
      <c r="L18" s="169" t="n"/>
      <c r="M18" s="175" t="n"/>
      <c r="N18" s="200" t="n"/>
    </row>
    <row r="19">
      <c r="A19" s="17" t="n">
        <v>17</v>
      </c>
      <c r="B19" s="169" t="n"/>
      <c r="C19" s="169" t="n"/>
      <c r="D19" s="169" t="n"/>
      <c r="E19" s="169" t="n"/>
      <c r="F19" s="169" t="n"/>
      <c r="G19" s="169" t="n"/>
      <c r="H19" s="169" t="n"/>
      <c r="I19" s="169" t="n"/>
      <c r="J19" s="169" t="n"/>
      <c r="K19" s="169" t="n"/>
      <c r="L19" s="169" t="n"/>
      <c r="M19" s="175" t="n"/>
      <c r="N19" s="200" t="n"/>
    </row>
    <row r="20">
      <c r="A20" s="17" t="n">
        <v>18</v>
      </c>
      <c r="B20" s="169" t="n"/>
      <c r="C20" s="169" t="n"/>
      <c r="D20" s="169" t="n"/>
      <c r="E20" s="169" t="n"/>
      <c r="F20" s="169" t="n"/>
      <c r="G20" s="169" t="n"/>
      <c r="H20" s="169" t="n"/>
      <c r="I20" s="169" t="n"/>
      <c r="J20" s="169" t="n"/>
      <c r="K20" s="169" t="n"/>
      <c r="L20" s="169" t="n"/>
      <c r="M20" s="175" t="n"/>
      <c r="N20" s="200" t="n"/>
    </row>
    <row r="21">
      <c r="A21" s="17" t="n">
        <v>19</v>
      </c>
      <c r="B21" s="169" t="n"/>
      <c r="C21" s="169" t="n"/>
      <c r="D21" s="169" t="n"/>
      <c r="E21" s="169" t="n"/>
      <c r="F21" s="169" t="n"/>
      <c r="G21" s="169" t="n"/>
      <c r="H21" s="169" t="n"/>
      <c r="I21" s="169" t="n"/>
      <c r="J21" s="169" t="n"/>
      <c r="K21" s="169" t="n"/>
      <c r="L21" s="169" t="n"/>
      <c r="M21" s="175" t="n"/>
      <c r="N21" s="200" t="n"/>
    </row>
    <row r="22">
      <c r="A22" s="17" t="n">
        <v>20</v>
      </c>
      <c r="B22" s="169" t="n"/>
      <c r="C22" s="169" t="n"/>
      <c r="D22" s="169" t="n"/>
      <c r="E22" s="169" t="n"/>
      <c r="F22" s="169" t="n"/>
      <c r="G22" s="169" t="n"/>
      <c r="H22" s="169" t="n"/>
      <c r="I22" s="169" t="n"/>
      <c r="J22" s="169" t="n"/>
      <c r="K22" s="169" t="n"/>
      <c r="L22" s="169" t="n"/>
      <c r="M22" s="175" t="n"/>
      <c r="N22" s="200" t="n"/>
    </row>
    <row r="23">
      <c r="A23" s="122" t="n">
        <v>21</v>
      </c>
      <c r="B23" s="170" t="n"/>
      <c r="C23" s="170" t="n"/>
      <c r="D23" s="170" t="n"/>
      <c r="E23" s="170" t="n"/>
      <c r="F23" s="170" t="n"/>
      <c r="G23" s="170" t="n"/>
      <c r="H23" s="170" t="n"/>
      <c r="I23" s="170" t="n"/>
      <c r="J23" s="170" t="n"/>
      <c r="K23" s="170" t="n"/>
      <c r="L23" s="170" t="n"/>
      <c r="M23" s="175" t="n"/>
      <c r="N23" s="200" t="n"/>
    </row>
    <row r="24">
      <c r="A24" s="122" t="n">
        <v>22</v>
      </c>
      <c r="B24" s="170" t="n"/>
      <c r="C24" s="170" t="n"/>
      <c r="D24" s="170" t="n"/>
      <c r="E24" s="170" t="n"/>
      <c r="F24" s="170" t="n"/>
      <c r="G24" s="170" t="n"/>
      <c r="H24" s="170" t="n"/>
      <c r="I24" s="170" t="n"/>
      <c r="J24" s="170" t="n"/>
      <c r="K24" s="170" t="n"/>
      <c r="L24" s="170" t="n"/>
      <c r="M24" s="175" t="n"/>
      <c r="N24" s="200" t="n"/>
    </row>
    <row r="25">
      <c r="A25" s="122" t="n">
        <v>23</v>
      </c>
      <c r="B25" s="170" t="n"/>
      <c r="C25" s="170" t="n"/>
      <c r="D25" s="170" t="n"/>
      <c r="E25" s="170" t="n"/>
      <c r="F25" s="170" t="n"/>
      <c r="G25" s="170" t="n"/>
      <c r="H25" s="170" t="n"/>
      <c r="I25" s="170" t="n"/>
      <c r="J25" s="170" t="n"/>
      <c r="K25" s="170" t="n"/>
      <c r="L25" s="170" t="n"/>
      <c r="M25" s="175" t="n"/>
      <c r="N25" s="200" t="n"/>
    </row>
    <row r="26">
      <c r="A26" s="122" t="n">
        <v>24</v>
      </c>
      <c r="B26" s="170" t="n"/>
      <c r="C26" s="170" t="n"/>
      <c r="D26" s="170" t="n"/>
      <c r="E26" s="170" t="n"/>
      <c r="F26" s="170" t="n"/>
      <c r="G26" s="170" t="n"/>
      <c r="H26" s="170" t="n"/>
      <c r="I26" s="170" t="n"/>
      <c r="J26" s="170" t="n"/>
      <c r="K26" s="170" t="n"/>
      <c r="L26" s="170" t="n"/>
      <c r="M26" s="175" t="n"/>
      <c r="N26" s="200" t="n"/>
    </row>
    <row r="27">
      <c r="A27" s="122" t="n">
        <v>25</v>
      </c>
      <c r="B27" s="170" t="n"/>
      <c r="C27" s="170" t="n"/>
      <c r="D27" s="170" t="n"/>
      <c r="E27" s="170" t="n"/>
      <c r="F27" s="170" t="n"/>
      <c r="G27" s="170" t="n"/>
      <c r="H27" s="170" t="n"/>
      <c r="I27" s="170" t="n"/>
      <c r="J27" s="170" t="n"/>
      <c r="K27" s="170" t="n"/>
      <c r="L27" s="170" t="n"/>
      <c r="M27" s="175" t="n"/>
      <c r="N27" s="200" t="n"/>
    </row>
    <row r="28">
      <c r="A28" s="122" t="n">
        <v>26</v>
      </c>
      <c r="B28" s="170" t="n"/>
      <c r="C28" s="170" t="n"/>
      <c r="D28" s="170" t="n"/>
      <c r="E28" s="170" t="n"/>
      <c r="F28" s="170" t="n"/>
      <c r="G28" s="170" t="n"/>
      <c r="H28" s="170" t="n"/>
      <c r="I28" s="170" t="n"/>
      <c r="J28" s="170" t="n"/>
      <c r="K28" s="170" t="n"/>
      <c r="L28" s="170" t="n"/>
      <c r="M28" s="175" t="n"/>
      <c r="N28" s="200" t="n"/>
    </row>
    <row r="29">
      <c r="A29" s="122" t="n">
        <v>27</v>
      </c>
      <c r="B29" s="170" t="n"/>
      <c r="C29" s="170" t="n"/>
      <c r="D29" s="170" t="n"/>
      <c r="E29" s="170" t="n"/>
      <c r="F29" s="170" t="n"/>
      <c r="G29" s="170" t="n"/>
      <c r="H29" s="170" t="n"/>
      <c r="I29" s="170" t="n"/>
      <c r="J29" s="170" t="n"/>
      <c r="K29" s="170" t="n"/>
      <c r="L29" s="170" t="n"/>
      <c r="M29" s="175" t="n"/>
      <c r="N29" s="200" t="n"/>
    </row>
    <row r="30">
      <c r="A30" s="122" t="n">
        <v>28</v>
      </c>
      <c r="B30" s="170" t="n"/>
      <c r="C30" s="170" t="n"/>
      <c r="D30" s="170" t="n"/>
      <c r="E30" s="170" t="n"/>
      <c r="F30" s="170" t="n"/>
      <c r="G30" s="170" t="n"/>
      <c r="H30" s="170" t="n"/>
      <c r="I30" s="170" t="n"/>
      <c r="J30" s="170" t="n"/>
      <c r="K30" s="170" t="n"/>
      <c r="L30" s="170" t="n"/>
      <c r="M30" s="175" t="n"/>
      <c r="N30" s="200" t="n"/>
    </row>
    <row r="31">
      <c r="A31" s="122" t="n">
        <v>29</v>
      </c>
      <c r="B31" s="170" t="n"/>
      <c r="C31" s="170" t="n"/>
      <c r="D31" s="170" t="n"/>
      <c r="E31" s="170" t="n"/>
      <c r="F31" s="170" t="n"/>
      <c r="G31" s="170" t="n"/>
      <c r="H31" s="170" t="n"/>
      <c r="I31" s="170" t="n"/>
      <c r="J31" s="170" t="n"/>
      <c r="K31" s="170" t="n"/>
      <c r="L31" s="170" t="n"/>
      <c r="M31" s="175" t="n"/>
      <c r="N31" s="200" t="n"/>
    </row>
    <row r="32">
      <c r="A32" s="122" t="n">
        <v>30</v>
      </c>
      <c r="B32" s="170" t="n"/>
      <c r="C32" s="170" t="n"/>
      <c r="D32" s="170" t="n"/>
      <c r="E32" s="170" t="n"/>
      <c r="F32" s="170" t="n"/>
      <c r="G32" s="170" t="n"/>
      <c r="H32" s="170" t="n"/>
      <c r="I32" s="170" t="n"/>
      <c r="J32" s="170" t="n"/>
      <c r="K32" s="170" t="n"/>
      <c r="L32" s="170" t="n"/>
      <c r="M32" s="175" t="n"/>
      <c r="N32" s="200" t="n"/>
    </row>
    <row r="33">
      <c r="A33" s="122" t="n">
        <v>31</v>
      </c>
      <c r="B33" s="170" t="n"/>
      <c r="C33" s="170" t="n"/>
      <c r="D33" s="170" t="n"/>
      <c r="E33" s="170" t="n"/>
      <c r="F33" s="170" t="n"/>
      <c r="G33" s="170" t="n"/>
      <c r="H33" s="170" t="n"/>
      <c r="I33" s="170" t="n"/>
      <c r="J33" s="170" t="n"/>
      <c r="K33" s="170" t="n"/>
      <c r="L33" s="170" t="n"/>
      <c r="M33" s="175" t="n"/>
      <c r="N33" s="200" t="n"/>
    </row>
    <row r="34">
      <c r="A34" s="122" t="n">
        <v>32</v>
      </c>
      <c r="B34" s="170" t="n"/>
      <c r="C34" s="170" t="n"/>
      <c r="D34" s="170" t="n"/>
      <c r="E34" s="170" t="n"/>
      <c r="F34" s="170" t="n"/>
      <c r="G34" s="170" t="n"/>
      <c r="H34" s="170" t="n"/>
      <c r="I34" s="170" t="n"/>
      <c r="J34" s="170" t="n"/>
      <c r="K34" s="170" t="n"/>
      <c r="L34" s="170" t="n"/>
      <c r="M34" s="175" t="n"/>
      <c r="N34" s="200" t="n"/>
    </row>
    <row r="35">
      <c r="A35" s="122" t="n">
        <v>33</v>
      </c>
      <c r="B35" s="170" t="n"/>
      <c r="C35" s="170" t="n"/>
      <c r="D35" s="170" t="n"/>
      <c r="E35" s="170" t="n"/>
      <c r="F35" s="170" t="n"/>
      <c r="G35" s="170" t="n"/>
      <c r="H35" s="170" t="n"/>
      <c r="I35" s="170" t="n"/>
      <c r="J35" s="170" t="n"/>
      <c r="K35" s="170" t="n"/>
      <c r="L35" s="170" t="n"/>
      <c r="M35" s="175" t="n"/>
      <c r="N35" s="200" t="n"/>
    </row>
    <row r="36">
      <c r="A36" s="122" t="n">
        <v>34</v>
      </c>
      <c r="B36" s="170" t="n"/>
      <c r="C36" s="170" t="n"/>
      <c r="D36" s="170" t="n"/>
      <c r="E36" s="170" t="n"/>
      <c r="F36" s="170" t="n"/>
      <c r="G36" s="170" t="n"/>
      <c r="H36" s="170" t="n"/>
      <c r="I36" s="170" t="n"/>
      <c r="J36" s="170" t="n"/>
      <c r="K36" s="170" t="n"/>
      <c r="L36" s="170" t="n"/>
      <c r="M36" s="175" t="n"/>
      <c r="N36" s="200" t="n"/>
    </row>
    <row r="37">
      <c r="A37" s="122" t="n">
        <v>35</v>
      </c>
      <c r="B37" s="170" t="n"/>
      <c r="C37" s="170" t="n"/>
      <c r="D37" s="170" t="n"/>
      <c r="E37" s="170" t="n"/>
      <c r="F37" s="170" t="n"/>
      <c r="G37" s="170" t="n"/>
      <c r="H37" s="170" t="n"/>
      <c r="I37" s="170" t="n"/>
      <c r="J37" s="170" t="n"/>
      <c r="K37" s="170" t="n"/>
      <c r="L37" s="170" t="n"/>
      <c r="M37" s="175" t="n"/>
      <c r="N37" s="200" t="n"/>
    </row>
    <row r="38">
      <c r="A38" s="122" t="n">
        <v>36</v>
      </c>
      <c r="B38" s="170" t="n"/>
      <c r="C38" s="170" t="n"/>
      <c r="D38" s="170" t="n"/>
      <c r="E38" s="170" t="n"/>
      <c r="F38" s="170" t="n"/>
      <c r="G38" s="170" t="n"/>
      <c r="H38" s="170" t="n"/>
      <c r="I38" s="170" t="n"/>
      <c r="J38" s="170" t="n"/>
      <c r="K38" s="170" t="n"/>
      <c r="L38" s="170" t="n"/>
      <c r="M38" s="175" t="n"/>
      <c r="N38" s="200" t="n"/>
    </row>
    <row r="39">
      <c r="A39" s="122" t="n">
        <v>37</v>
      </c>
      <c r="B39" s="170" t="n"/>
      <c r="C39" s="170" t="n"/>
      <c r="D39" s="170" t="n"/>
      <c r="E39" s="170" t="n"/>
      <c r="F39" s="170" t="n"/>
      <c r="G39" s="170" t="n"/>
      <c r="H39" s="170" t="n"/>
      <c r="I39" s="170" t="n"/>
      <c r="J39" s="170" t="n"/>
      <c r="K39" s="170" t="n"/>
      <c r="L39" s="170" t="n"/>
      <c r="M39" s="175" t="n"/>
      <c r="N39" s="200" t="n"/>
    </row>
    <row r="40">
      <c r="A40" s="122" t="n">
        <v>38</v>
      </c>
      <c r="B40" s="170" t="n"/>
      <c r="C40" s="170" t="n"/>
      <c r="D40" s="170" t="n"/>
      <c r="E40" s="170" t="n"/>
      <c r="F40" s="170" t="n"/>
      <c r="G40" s="170" t="n"/>
      <c r="H40" s="170" t="n"/>
      <c r="I40" s="170" t="n"/>
      <c r="J40" s="170" t="n"/>
      <c r="K40" s="170" t="n"/>
      <c r="L40" s="170" t="n"/>
      <c r="M40" s="175" t="n"/>
      <c r="N40" s="200" t="n"/>
    </row>
    <row r="41">
      <c r="A41" s="122" t="n">
        <v>39</v>
      </c>
      <c r="B41" s="170" t="n"/>
      <c r="C41" s="170" t="n"/>
      <c r="D41" s="170" t="n"/>
      <c r="E41" s="170" t="n"/>
      <c r="F41" s="170" t="n"/>
      <c r="G41" s="170" t="n"/>
      <c r="H41" s="170" t="n"/>
      <c r="I41" s="170" t="n"/>
      <c r="J41" s="170" t="n"/>
      <c r="K41" s="170" t="n"/>
      <c r="L41" s="170" t="n"/>
      <c r="M41" s="175" t="n"/>
      <c r="N41" s="200" t="n"/>
    </row>
    <row r="42" ht="15.75" customHeight="1" thickBot="1">
      <c r="A42" s="122" t="n">
        <v>40</v>
      </c>
      <c r="B42" s="170" t="n"/>
      <c r="C42" s="170" t="n"/>
      <c r="D42" s="170" t="n"/>
      <c r="E42" s="170" t="n"/>
      <c r="F42" s="170" t="n"/>
      <c r="G42" s="170" t="n"/>
      <c r="H42" s="170" t="n"/>
      <c r="I42" s="170" t="n"/>
      <c r="J42" s="170" t="n"/>
      <c r="K42" s="170" t="n"/>
      <c r="L42" s="170" t="n"/>
      <c r="M42" s="175" t="n"/>
      <c r="N42" s="201" t="n"/>
    </row>
    <row r="43" ht="15.75" customHeight="1" thickTop="1">
      <c r="A43" s="38" t="inlineStr">
        <is>
          <t>Average</t>
        </is>
      </c>
      <c r="B43" s="176">
        <f>AVERAGE(B3:B42)</f>
        <v/>
      </c>
      <c r="C43" s="176">
        <f>AVERAGE(C3:C42)</f>
        <v/>
      </c>
      <c r="D43" s="176">
        <f>AVERAGE(D3:D42)</f>
        <v/>
      </c>
      <c r="E43" s="176">
        <f>AVERAGE(E3:E42)</f>
        <v/>
      </c>
      <c r="F43" s="176">
        <f>AVERAGE(F3:F42)</f>
        <v/>
      </c>
      <c r="G43" s="176">
        <f>AVERAGE(G3:G42)</f>
        <v/>
      </c>
      <c r="H43" s="176">
        <f>AVERAGE(H3:H42)</f>
        <v/>
      </c>
      <c r="I43" s="176">
        <f>AVERAGE(I3:I42)</f>
        <v/>
      </c>
      <c r="J43" s="176">
        <f>AVERAGE(J3:J42)</f>
        <v/>
      </c>
      <c r="K43" s="176">
        <f>AVERAGE(K3:K42)</f>
        <v/>
      </c>
      <c r="L43" s="176">
        <f>AVERAGE(L3:L42)</f>
        <v/>
      </c>
      <c r="M43" s="176">
        <f>AVERAGE(M3:M42)</f>
        <v/>
      </c>
      <c r="N43" s="21" t="n"/>
    </row>
    <row r="44">
      <c r="A44" s="40" t="inlineStr">
        <is>
          <t>Overall Average</t>
        </is>
      </c>
      <c r="B44" s="169">
        <f>AVERAGEIF(B43:M43, "&lt;&gt;#DIV/0!")</f>
        <v/>
      </c>
      <c r="C44" s="169" t="n"/>
      <c r="D44" s="169" t="n"/>
      <c r="E44" s="169" t="n"/>
      <c r="F44" s="169" t="n"/>
      <c r="G44" s="169" t="n"/>
      <c r="H44" s="169" t="n"/>
      <c r="I44" s="169" t="n"/>
      <c r="J44" s="169" t="n"/>
      <c r="K44" s="169" t="n"/>
      <c r="L44" s="169" t="n"/>
      <c r="M44" s="169" t="n"/>
      <c r="N44" s="18" t="n"/>
    </row>
    <row r="45">
      <c r="A45" s="40" t="inlineStr">
        <is>
          <t>Total Students</t>
        </is>
      </c>
      <c r="B45" s="36">
        <f>COUNTIF(B3:B42, "&lt;&gt;")</f>
        <v/>
      </c>
      <c r="C45" s="36">
        <f>COUNTIF(C3:C42, "&lt;&gt;")</f>
        <v/>
      </c>
      <c r="D45" s="36">
        <f>COUNTIF(D3:D42, "&lt;&gt;")</f>
        <v/>
      </c>
      <c r="E45" s="36">
        <f>COUNTIF(E3:E42, "&lt;&gt;")</f>
        <v/>
      </c>
      <c r="F45" s="36">
        <f>COUNTIF(F3:F42, "&lt;&gt;")</f>
        <v/>
      </c>
      <c r="G45" s="36">
        <f>COUNTIF(G3:G42, "&lt;&gt;")</f>
        <v/>
      </c>
      <c r="H45" s="36">
        <f>COUNTIF(H3:H42, "&lt;&gt;")</f>
        <v/>
      </c>
      <c r="I45" s="36">
        <f>COUNTIF(I3:I42, "&lt;&gt;")</f>
        <v/>
      </c>
      <c r="J45" s="36">
        <f>COUNTIF(J3:J42, "&lt;&gt;")</f>
        <v/>
      </c>
      <c r="K45" s="36">
        <f>COUNTIF(K3:K42, "&lt;&gt;")</f>
        <v/>
      </c>
      <c r="L45" s="36">
        <f>COUNTIF(L3:L42, "&lt;&gt;")</f>
        <v/>
      </c>
      <c r="M45" s="36">
        <f>COUNTIF(M3:M42, "&lt;&gt;")</f>
        <v/>
      </c>
      <c r="N45" s="110" t="n"/>
    </row>
    <row r="46">
      <c r="A46" s="104" t="n"/>
      <c r="B46" s="25" t="n"/>
      <c r="C46" s="25" t="n"/>
      <c r="D46" s="25" t="n"/>
      <c r="E46" s="25" t="n"/>
      <c r="F46" s="25" t="n"/>
      <c r="G46" s="25" t="n"/>
      <c r="H46" s="25" t="n"/>
      <c r="I46" s="25" t="n"/>
      <c r="J46" s="25" t="n"/>
      <c r="K46" s="25" t="n"/>
      <c r="L46" s="25" t="n"/>
      <c r="M46" s="25" t="n"/>
      <c r="N46" s="25" t="n"/>
      <c r="O46" s="25" t="n"/>
    </row>
    <row r="47">
      <c r="A47" s="13" t="n"/>
      <c r="B47" s="23" t="inlineStr">
        <is>
          <t>Assignment (A)</t>
        </is>
      </c>
      <c r="C47" s="23" t="inlineStr">
        <is>
          <t>Quiz (Q)</t>
        </is>
      </c>
      <c r="D47" s="23" t="inlineStr">
        <is>
          <t>Mid Term (M)</t>
        </is>
      </c>
      <c r="E47" s="23" t="inlineStr">
        <is>
          <t>Final Exam (F)</t>
        </is>
      </c>
      <c r="F47" s="23" t="inlineStr">
        <is>
          <t>Project (P)</t>
        </is>
      </c>
      <c r="G47" s="23" t="inlineStr">
        <is>
          <t>Lab (L)</t>
        </is>
      </c>
      <c r="H47" s="24" t="inlineStr">
        <is>
          <t>Anyother (OT)</t>
        </is>
      </c>
      <c r="I47" s="24" t="inlineStr">
        <is>
          <t>Total</t>
        </is>
      </c>
    </row>
    <row r="48">
      <c r="A48" s="113" t="inlineStr">
        <is>
          <t>I (1st, 2nd yr)</t>
        </is>
      </c>
      <c r="B48" s="17">
        <f>COUNTIF($B$2:$C$2, "A")</f>
        <v/>
      </c>
      <c r="C48" s="17">
        <f>COUNTIF($B$2:$C$2, "Q")</f>
        <v/>
      </c>
      <c r="D48" s="17">
        <f>COUNTIF($B$2:$C$2, "M")</f>
        <v/>
      </c>
      <c r="E48" s="17">
        <f>COUNTIF($B$2:$C$2, "F")</f>
        <v/>
      </c>
      <c r="F48" s="17">
        <f>COUNTIF($B$2:$C$2, "P")</f>
        <v/>
      </c>
      <c r="G48" s="17">
        <f>COUNTIF($B$2:$C$2, "L")</f>
        <v/>
      </c>
      <c r="H48" s="17">
        <f>COUNTIF($B$2:$C$2, "OT")</f>
        <v/>
      </c>
      <c r="I48" s="13">
        <f>SUM(B48:H48)</f>
        <v/>
      </c>
    </row>
    <row r="49">
      <c r="A49" s="114" t="inlineStr">
        <is>
          <t>D (2nd &amp; 3rd yr)</t>
        </is>
      </c>
      <c r="B49" s="17">
        <f>COUNTIF($D$2:$E$2, "A")</f>
        <v/>
      </c>
      <c r="C49" s="17">
        <f>COUNTIF($D$2:$E$2, "Q")</f>
        <v/>
      </c>
      <c r="D49" s="17">
        <f>COUNTIF($D$2:$E$2, "M")</f>
        <v/>
      </c>
      <c r="E49" s="17">
        <f>COUNTIF($D$2:$E$2, "F")</f>
        <v/>
      </c>
      <c r="F49" s="17">
        <f>COUNTIF($D$2:$E$2, "P")</f>
        <v/>
      </c>
      <c r="G49" s="17">
        <f>COUNTIF($D$2:$E$2, "L")</f>
        <v/>
      </c>
      <c r="H49" s="17">
        <f>COUNTIF($D$2:$E$2, "Ot")</f>
        <v/>
      </c>
      <c r="I49" s="13">
        <f>SUM(B49:H49)</f>
        <v/>
      </c>
    </row>
    <row r="50">
      <c r="A50" s="115" t="inlineStr">
        <is>
          <t>A (3rd, 4yr)</t>
        </is>
      </c>
      <c r="B50" s="17">
        <f>COUNTIF($F$2:$M$2, "A")</f>
        <v/>
      </c>
      <c r="C50" s="17">
        <f>COUNTIF($F$2:$M$2, "Q")</f>
        <v/>
      </c>
      <c r="D50" s="17">
        <f>COUNTIF($F$2:$M$2, "M")</f>
        <v/>
      </c>
      <c r="E50" s="17">
        <f>COUNTIF($F$2:$M$2, "F")</f>
        <v/>
      </c>
      <c r="F50" s="17">
        <f>COUNTIF($F$2:$M$2, "P")</f>
        <v/>
      </c>
      <c r="G50" s="17">
        <f>COUNTIF($F$2:$M$2, "L")</f>
        <v/>
      </c>
      <c r="H50" s="17">
        <f>COUNTIF($F$2:$M$2, "OT")</f>
        <v/>
      </c>
      <c r="I50" s="13">
        <f>SUM(B50:H50)</f>
        <v/>
      </c>
    </row>
    <row r="51">
      <c r="A51" s="23" t="inlineStr">
        <is>
          <t>Total</t>
        </is>
      </c>
      <c r="B51" s="13">
        <f>SUM(B48:B50)</f>
        <v/>
      </c>
      <c r="C51" s="13">
        <f>SUM(C48:C50)</f>
        <v/>
      </c>
      <c r="D51" s="13">
        <f>SUM(D48:D50)</f>
        <v/>
      </c>
      <c r="E51" s="13">
        <f>SUM(E48:E50)</f>
        <v/>
      </c>
      <c r="F51" s="13">
        <f>SUM(F48:F50)</f>
        <v/>
      </c>
      <c r="G51" s="13">
        <f>SUM(G48:G50)</f>
        <v/>
      </c>
      <c r="H51" s="13">
        <f>SUM(H48:H50)</f>
        <v/>
      </c>
      <c r="I51" s="13">
        <f>SUM(I48:I50)</f>
        <v/>
      </c>
    </row>
    <row r="53" ht="18.75" customHeight="1" thickBot="1">
      <c r="A53" s="99" t="inlineStr">
        <is>
          <t>Frequency Distribution Analysis</t>
        </is>
      </c>
      <c r="B53" s="99" t="n"/>
      <c r="C53" s="99" t="n"/>
      <c r="D53" s="99" t="n"/>
      <c r="F53" s="99" t="n"/>
      <c r="G53" s="99" t="n"/>
      <c r="I53" s="25" t="n"/>
      <c r="J53" s="25" t="n"/>
    </row>
    <row r="54" ht="16.5" customHeight="1" thickBot="1">
      <c r="A54" s="123" t="inlineStr">
        <is>
          <t>Scale</t>
        </is>
      </c>
      <c r="B54" s="164" t="inlineStr">
        <is>
          <t>EPHY-1170-7</t>
        </is>
      </c>
      <c r="C54" s="166" t="inlineStr">
        <is>
          <t>MATH-1130-4</t>
        </is>
      </c>
      <c r="D54" s="167" t="inlineStr">
        <is>
          <t>SENG-3110-5</t>
        </is>
      </c>
      <c r="E54" s="167" t="inlineStr">
        <is>
          <t>STAT-2230-2</t>
        </is>
      </c>
      <c r="F54" s="168" t="inlineStr">
        <is>
          <t>SENG-4110-5</t>
        </is>
      </c>
      <c r="G54" s="168" t="inlineStr">
        <is>
          <t>SENG-4120-4</t>
        </is>
      </c>
      <c r="H54" s="168" t="inlineStr">
        <is>
          <t>SENG-4120-5</t>
        </is>
      </c>
      <c r="I54" s="168" t="inlineStr">
        <is>
          <t>SENG-4130-5</t>
        </is>
      </c>
      <c r="J54" s="168" t="inlineStr">
        <is>
          <t>SENG-4620-3</t>
        </is>
      </c>
      <c r="K54" s="168" t="inlineStr">
        <is>
          <t>SENG-4650-4</t>
        </is>
      </c>
      <c r="L54" s="168" t="inlineStr">
        <is>
          <t>SENG-4660-3</t>
        </is>
      </c>
      <c r="M54" s="168" t="inlineStr">
        <is>
          <t>CENG-4320-3</t>
        </is>
      </c>
      <c r="N54" s="44" t="inlineStr">
        <is>
          <t>Average</t>
        </is>
      </c>
    </row>
    <row r="55" ht="16.5" customHeight="1" thickBot="1">
      <c r="A55" s="124" t="inlineStr">
        <is>
          <t>Below Expectation (C- and below)  (%)</t>
        </is>
      </c>
      <c r="B55" s="129">
        <f>(COUNTIF(B3:B42, "&lt;=59%"))/B45</f>
        <v/>
      </c>
      <c r="C55" s="129">
        <f>(COUNTIF(C3:C42, "&lt;=59%"))/C45</f>
        <v/>
      </c>
      <c r="D55" s="129">
        <f>(COUNTIF(D3:D42, "&lt;=59%"))/D45</f>
        <v/>
      </c>
      <c r="E55" s="129">
        <f>(COUNTIF(E3:E42, "&lt;=59%"))/E45</f>
        <v/>
      </c>
      <c r="F55" s="129">
        <f>(COUNTIF(F3:F42, "&lt;=59%"))/F45</f>
        <v/>
      </c>
      <c r="G55" s="129">
        <f>(COUNTIF(G3:G42, "&lt;=59%"))/G45</f>
        <v/>
      </c>
      <c r="H55" s="129">
        <f>(COUNTIF(H3:H42, "&lt;=59%"))/H45</f>
        <v/>
      </c>
      <c r="I55" s="129">
        <f>(COUNTIF(I3:I42, "&lt;=59%"))/I45</f>
        <v/>
      </c>
      <c r="J55" s="129">
        <f>(COUNTIF(J3:J42, "&lt;=59%"))/J45</f>
        <v/>
      </c>
      <c r="K55" s="129">
        <f>(COUNTIF(K3:K42, "&lt;=59%"))/K45</f>
        <v/>
      </c>
      <c r="L55" s="129">
        <f>(COUNTIF(L3:L42, "&lt;=59%"))/L45</f>
        <v/>
      </c>
      <c r="M55" s="129">
        <f>(COUNTIF(M3:M42, "&lt;=59%"))/M45</f>
        <v/>
      </c>
      <c r="N55" s="100">
        <f>AVERAGEIF(B55:M55, "&lt;&gt;#DIV/0!")</f>
        <v/>
      </c>
    </row>
    <row r="56" ht="16.5" customHeight="1" thickBot="1">
      <c r="A56" s="125" t="inlineStr">
        <is>
          <t>Marginal (C+, C)  (%)</t>
        </is>
      </c>
      <c r="B56" s="133">
        <f>(COUNTIFS(B3:B42, "&gt;= 60%", B3:B42, "&lt;=69%" ))/B45</f>
        <v/>
      </c>
      <c r="C56" s="133">
        <f>(COUNTIFS(C3:C42, "&gt;= 60%", C3:C42, "&lt;=69%" ))/C45</f>
        <v/>
      </c>
      <c r="D56" s="133">
        <f>(COUNTIFS(D3:D42, "&gt;= 60%", D3:D42, "&lt;=69%" ))/D45</f>
        <v/>
      </c>
      <c r="E56" s="133">
        <f>(COUNTIFS(E3:E42, "&gt;= 60%", E3:E42, "&lt;=69%" ))/E45</f>
        <v/>
      </c>
      <c r="F56" s="133">
        <f>(COUNTIFS(F3:F42, "&gt;= 60%", F3:F42, "&lt;=69%" ))/F45</f>
        <v/>
      </c>
      <c r="G56" s="133">
        <f>(COUNTIFS(G3:G42, "&gt;= 60%", G3:G42, "&lt;=69%" ))/G45</f>
        <v/>
      </c>
      <c r="H56" s="133">
        <f>(COUNTIFS(H3:H42, "&gt;= 60%", H3:H42, "&lt;=69%" ))/H45</f>
        <v/>
      </c>
      <c r="I56" s="133">
        <f>(COUNTIFS(I3:I42, "&gt;= 60%", I3:I42, "&lt;=69%" ))/I45</f>
        <v/>
      </c>
      <c r="J56" s="133">
        <f>(COUNTIFS(J3:J42, "&gt;= 60%", J3:J42, "&lt;=69%" ))/J45</f>
        <v/>
      </c>
      <c r="K56" s="133">
        <f>(COUNTIFS(K3:K42, "&gt;= 60%", K3:K42, "&lt;=69%" ))/K45</f>
        <v/>
      </c>
      <c r="L56" s="133">
        <f>(COUNTIFS(L3:L42, "&gt;= 60%", L3:L42, "&lt;=69%" ))/L45</f>
        <v/>
      </c>
      <c r="M56" s="133">
        <f>(COUNTIFS(M3:M42, "&gt;= 60%", M3:M42, "&lt;=69%" ))/M45</f>
        <v/>
      </c>
      <c r="N56" s="100">
        <f>AVERAGEIF(B56:M56, "&lt;&gt;#DIV/0!")</f>
        <v/>
      </c>
    </row>
    <row r="57" ht="16.5" customHeight="1" thickBot="1">
      <c r="A57" s="126" t="inlineStr">
        <is>
          <t>Meets Expectation (B+, B, B-) (%)</t>
        </is>
      </c>
      <c r="B57" s="133">
        <f>(COUNTIFS(B3:B42, "&gt;= 70%", B3:B42, "&lt;=79%" ))/B45</f>
        <v/>
      </c>
      <c r="C57" s="133">
        <f>(COUNTIFS(C3:C42, "&gt;= 70%", C3:C42, "&lt;=79%" ))/C45</f>
        <v/>
      </c>
      <c r="D57" s="133">
        <f>(COUNTIFS(D3:D42, "&gt;= 70%", D3:D42, "&lt;=79%" ))/D45</f>
        <v/>
      </c>
      <c r="E57" s="133">
        <f>(COUNTIFS(E3:E42, "&gt;= 70%", E3:E42, "&lt;=79%" ))/E45</f>
        <v/>
      </c>
      <c r="F57" s="133">
        <f>(COUNTIFS(F3:F42, "&gt;= 70%", F3:F42, "&lt;=79%" ))/F45</f>
        <v/>
      </c>
      <c r="G57" s="133">
        <f>(COUNTIFS(G3:G42, "&gt;= 70%", G3:G42, "&lt;=79%" ))/G45</f>
        <v/>
      </c>
      <c r="H57" s="133">
        <f>(COUNTIFS(H3:H42, "&gt;= 70%", H3:H42, "&lt;=79%" ))/H45</f>
        <v/>
      </c>
      <c r="I57" s="133">
        <f>(COUNTIFS(I3:I42, "&gt;= 70%", I3:I42, "&lt;=79%" ))/I45</f>
        <v/>
      </c>
      <c r="J57" s="133">
        <f>(COUNTIFS(J3:J42, "&gt;= 70%", J3:J42, "&lt;=79%" ))/J45</f>
        <v/>
      </c>
      <c r="K57" s="133">
        <f>(COUNTIFS(K3:K42, "&gt;= 70%", K3:K42, "&lt;=79%" ))/K45</f>
        <v/>
      </c>
      <c r="L57" s="133">
        <f>(COUNTIFS(L3:L42, "&gt;= 70%", L3:L42, "&lt;=79%" ))/L45</f>
        <v/>
      </c>
      <c r="M57" s="133">
        <f>(COUNTIFS(M3:M42, "&gt;= 70%", M3:M42, "&lt;=79%" ))/M45</f>
        <v/>
      </c>
      <c r="N57" s="100">
        <f>AVERAGEIF(B57:M57, "&lt;&gt;#DIV/0!")</f>
        <v/>
      </c>
    </row>
    <row r="58" ht="16.5" customHeight="1" thickBot="1">
      <c r="A58" s="127" t="inlineStr">
        <is>
          <t>Exceeds Expectation (A+, A, A-) (%)</t>
        </is>
      </c>
      <c r="B58" s="133">
        <f>(COUNTIF(B3:B42,"&gt;= 80%")/B45)</f>
        <v/>
      </c>
      <c r="C58" s="133">
        <f>(COUNTIF(C3:C42,"&gt;= 80%")/C45)</f>
        <v/>
      </c>
      <c r="D58" s="133">
        <f>(COUNTIF(D3:D42,"&gt;= 80%")/D45)</f>
        <v/>
      </c>
      <c r="E58" s="133">
        <f>(COUNTIF(E3:E42,"&gt;= 80%")/E45)</f>
        <v/>
      </c>
      <c r="F58" s="133">
        <f>(COUNTIF(F3:F42,"&gt;= 80%")/F45)</f>
        <v/>
      </c>
      <c r="G58" s="133">
        <f>(COUNTIF(G3:G42,"&gt;= 80%")/G45)</f>
        <v/>
      </c>
      <c r="H58" s="133">
        <f>(COUNTIF(H3:H42,"&gt;= 80%")/H45)</f>
        <v/>
      </c>
      <c r="I58" s="133">
        <f>(COUNTIF(I3:I42,"&gt;= 80%")/I45)</f>
        <v/>
      </c>
      <c r="J58" s="133">
        <f>(COUNTIF(J3:J42,"&gt;= 80%")/J45)</f>
        <v/>
      </c>
      <c r="K58" s="133">
        <f>(COUNTIF(K3:K42,"&gt;= 80%")/K45)</f>
        <v/>
      </c>
      <c r="L58" s="133">
        <f>(COUNTIF(L3:L42,"&gt;= 80%")/L45)</f>
        <v/>
      </c>
      <c r="M58" s="133">
        <f>(COUNTIF(M3:M42,"&gt;= 80%")/M45)</f>
        <v/>
      </c>
      <c r="N58" s="100">
        <f>AVERAGEIF(B58:M58, "&lt;&gt;#DIV/0!")</f>
        <v/>
      </c>
    </row>
    <row r="59" ht="15.75" customHeight="1" thickBot="1">
      <c r="A59" s="137" t="n"/>
      <c r="B59" s="134">
        <f>SUMIF(B55:B58, "&lt;&gt;#DIV/0!")</f>
        <v/>
      </c>
      <c r="C59" s="143">
        <f>SUMIF(C55:C58, "&lt;&gt;#DIV/0!")</f>
        <v/>
      </c>
      <c r="D59" s="143">
        <f>SUMIF(D55:D58, "&lt;&gt;#DIV/0!")</f>
        <v/>
      </c>
      <c r="E59" s="143">
        <f>SUMIF(E55:E58, "&lt;&gt;#DIV/0!")</f>
        <v/>
      </c>
      <c r="F59" s="143">
        <f>SUMIF(F55:F58, "&lt;&gt;#DIV/0!")</f>
        <v/>
      </c>
      <c r="G59" s="143">
        <f>SUMIF(G55:G58, "&lt;&gt;#DIV/0!")</f>
        <v/>
      </c>
      <c r="H59" s="143">
        <f>SUMIF(H55:H58, "&lt;&gt;#DIV/0!")</f>
        <v/>
      </c>
      <c r="I59" s="143">
        <f>SUMIF(I55:I58, "&lt;&gt;#DIV/0!")</f>
        <v/>
      </c>
      <c r="J59" s="143">
        <f>SUMIF(J55:J58, "&lt;&gt;#DIV/0!")</f>
        <v/>
      </c>
      <c r="K59" s="143">
        <f>SUMIF(K55:K58, "&lt;&gt;#DIV/0!")</f>
        <v/>
      </c>
      <c r="L59" s="143">
        <f>SUMIF(L55:L58, "&lt;&gt;#DIV/0!")</f>
        <v/>
      </c>
      <c r="M59" s="143">
        <f>SUMIF(M55:M58, "&lt;&gt;#DIV/0!")</f>
        <v/>
      </c>
      <c r="N59" s="143">
        <f>SUMIF(N55:N58, "&lt;&gt;#DIV/0!")</f>
        <v/>
      </c>
    </row>
    <row r="60" ht="15.75" customHeight="1" thickBot="1"/>
    <row r="61" ht="15.75" customHeight="1" thickBot="1">
      <c r="A61" s="29" t="n"/>
      <c r="B61" s="46" t="inlineStr">
        <is>
          <t>Class Limit</t>
        </is>
      </c>
      <c r="C61" s="46" t="inlineStr">
        <is>
          <t>Bin</t>
        </is>
      </c>
    </row>
    <row r="62" ht="16.5" customHeight="1" thickBot="1">
      <c r="A62" s="42" t="inlineStr">
        <is>
          <t>Exceeds Expectation (A+, A, A-) (%)</t>
        </is>
      </c>
      <c r="B62" s="48" t="inlineStr">
        <is>
          <t>80-100</t>
        </is>
      </c>
      <c r="C62" s="47" t="n">
        <v>100</v>
      </c>
    </row>
    <row r="63" ht="16.5" customHeight="1" thickBot="1">
      <c r="A63" s="42" t="inlineStr">
        <is>
          <t>Meets Expectation (B+, B, B-) (%)</t>
        </is>
      </c>
      <c r="B63" s="48" t="inlineStr">
        <is>
          <t>70-79</t>
        </is>
      </c>
      <c r="C63" s="47" t="n">
        <v>79</v>
      </c>
    </row>
    <row r="64" ht="16.5" customHeight="1" thickBot="1">
      <c r="A64" s="42" t="inlineStr">
        <is>
          <t>Marginal (C+, C)  (%)</t>
        </is>
      </c>
      <c r="B64" s="48" t="inlineStr">
        <is>
          <t>60-69</t>
        </is>
      </c>
      <c r="C64" s="47" t="n">
        <v>69</v>
      </c>
    </row>
    <row r="65" ht="16.5" customHeight="1" thickBot="1">
      <c r="A65" s="42" t="inlineStr">
        <is>
          <t>Below Expectation (C- and below)  (%)</t>
        </is>
      </c>
      <c r="B65" s="48" t="inlineStr">
        <is>
          <t>0-59</t>
        </is>
      </c>
      <c r="C65" s="47" t="n">
        <v>59</v>
      </c>
    </row>
  </sheetData>
  <mergeCells count="1">
    <mergeCell ref="N3:N42"/>
  </mergeCells>
  <conditionalFormatting sqref="E3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greaterThanOrEqual" dxfId="3">
      <formula>80</formula>
    </cfRule>
    <cfRule type="containsBlanks" priority="3" dxfId="4" stopIfTrue="1">
      <formula>LEN(TRIM(E3))=0</formula>
    </cfRule>
    <cfRule type="cellIs" priority="4" operator="greaterThanOrEqual" dxfId="3">
      <formula>80</formula>
    </cfRule>
    <cfRule type="cellIs" priority="5" operator="between" dxfId="2">
      <formula>70</formula>
      <formula>79</formula>
    </cfRule>
    <cfRule type="cellIs" priority="6" operator="between" dxfId="1">
      <formula>60</formula>
      <formula>69</formula>
    </cfRule>
    <cfRule type="cellIs" priority="7" operator="between" dxfId="0">
      <formula>0</formula>
      <formula>59</formula>
    </cfRule>
  </conditionalFormatting>
  <conditionalFormatting sqref="B3:D42 F3:M42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41" operator="greaterThanOrEqual" dxfId="3">
      <formula>80</formula>
    </cfRule>
    <cfRule type="containsBlanks" priority="542" dxfId="4" stopIfTrue="1">
      <formula>LEN(TRIM(B3))=0</formula>
    </cfRule>
    <cfRule type="cellIs" priority="543" operator="greaterThanOrEqual" dxfId="3">
      <formula>80</formula>
    </cfRule>
    <cfRule type="cellIs" priority="544" operator="between" dxfId="2">
      <formula>70</formula>
      <formula>79</formula>
    </cfRule>
    <cfRule type="cellIs" priority="545" operator="between" dxfId="1">
      <formula>60</formula>
      <formula>69</formula>
    </cfRule>
    <cfRule type="cellIs" priority="546" operator="between" dxfId="0">
      <formula>0</formula>
      <formula>59</formula>
    </cfRule>
  </conditionalFormatting>
  <dataValidations count="1">
    <dataValidation sqref="B2:M2" showErrorMessage="1" showInputMessage="1" allowBlank="1" type="list">
      <formula1>$Q$6:$Q$13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65"/>
  <sheetViews>
    <sheetView topLeftCell="A28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28515625" bestFit="1" customWidth="1" min="3" max="3"/>
    <col width="15.85546875" bestFit="1" customWidth="1" min="4" max="4"/>
    <col width="17.7109375" bestFit="1" customWidth="1" min="5" max="5"/>
    <col width="14" bestFit="1" customWidth="1" min="6" max="6"/>
    <col width="14.42578125" bestFit="1" customWidth="1" min="7" max="7"/>
    <col width="17.7109375" bestFit="1" customWidth="1" min="8" max="8"/>
    <col width="13.85546875" bestFit="1" customWidth="1" min="9" max="9"/>
    <col width="14.28515625" bestFit="1" customWidth="1" min="10" max="10"/>
    <col width="13.85546875" bestFit="1" customWidth="1" min="11" max="11"/>
    <col width="14.28515625" bestFit="1" customWidth="1" min="12" max="12"/>
    <col width="14.5703125" bestFit="1" customWidth="1" min="13" max="16"/>
    <col width="9.5703125" bestFit="1" customWidth="1" min="17" max="17"/>
    <col width="4.28515625" bestFit="1" customWidth="1" min="19" max="19"/>
  </cols>
  <sheetData>
    <row r="1">
      <c r="A1" s="13" t="inlineStr">
        <is>
          <t>Student Number</t>
        </is>
      </c>
      <c r="B1" s="165" t="inlineStr">
        <is>
          <t>CHEM-1520-4</t>
        </is>
      </c>
      <c r="C1" s="165" t="inlineStr">
        <is>
          <t>CHEM-1520-5</t>
        </is>
      </c>
      <c r="D1" s="164" t="inlineStr">
        <is>
          <t>EPHY-1170-4</t>
        </is>
      </c>
      <c r="E1" s="164" t="inlineStr">
        <is>
          <t>EPHY-1170-8</t>
        </is>
      </c>
      <c r="F1" s="165" t="inlineStr">
        <is>
          <t>EPHY-1270-7</t>
        </is>
      </c>
      <c r="G1" s="167" t="inlineStr">
        <is>
          <t>EPHY-2200-3</t>
        </is>
      </c>
      <c r="H1" s="167" t="inlineStr">
        <is>
          <t>EPHY-2300-3</t>
        </is>
      </c>
      <c r="I1" s="167" t="inlineStr">
        <is>
          <t>SENG-3110-4</t>
        </is>
      </c>
      <c r="J1" s="167" t="inlineStr">
        <is>
          <t>STAT-2230-3</t>
        </is>
      </c>
      <c r="K1" s="168" t="inlineStr">
        <is>
          <t>SENG-4110-3</t>
        </is>
      </c>
      <c r="L1" s="168" t="inlineStr">
        <is>
          <t>SENG-4120-3</t>
        </is>
      </c>
      <c r="M1" s="168" t="inlineStr">
        <is>
          <t>SENG-4620-4</t>
        </is>
      </c>
      <c r="N1" s="168" t="inlineStr">
        <is>
          <t>SENG-4620-5</t>
        </is>
      </c>
      <c r="O1" s="168" t="inlineStr">
        <is>
          <t>SENG-4660-4</t>
        </is>
      </c>
      <c r="P1" s="168" t="inlineStr">
        <is>
          <t>CENG-4320-4</t>
        </is>
      </c>
      <c r="Q1" s="34">
        <f>COUNTA(B1:O1)</f>
        <v/>
      </c>
    </row>
    <row r="2" ht="30" customHeight="1">
      <c r="A2" s="16" t="inlineStr">
        <is>
          <t>Assessment
Tool</t>
        </is>
      </c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34">
        <f>COUNTIF(B2:P2, "&lt;&gt;")</f>
        <v/>
      </c>
    </row>
    <row r="3">
      <c r="A3" s="35" t="n">
        <v>1</v>
      </c>
      <c r="B3" s="169" t="n"/>
      <c r="C3" s="169" t="n"/>
      <c r="D3" s="169" t="n"/>
      <c r="E3" s="169" t="n"/>
      <c r="F3" s="169" t="n"/>
      <c r="G3" s="169" t="n"/>
      <c r="H3" s="169" t="n"/>
      <c r="I3" s="169" t="n"/>
      <c r="J3" s="169" t="n"/>
      <c r="K3" s="169" t="n"/>
      <c r="L3" s="169" t="n"/>
      <c r="M3" s="169" t="n"/>
      <c r="N3" s="169" t="n"/>
      <c r="O3" s="169" t="n"/>
      <c r="P3" s="174" t="n"/>
      <c r="Q3" s="202" t="n"/>
    </row>
    <row r="4">
      <c r="A4" s="35" t="n">
        <v>2</v>
      </c>
      <c r="B4" s="169" t="n"/>
      <c r="C4" s="169" t="n"/>
      <c r="D4" s="169" t="n"/>
      <c r="E4" s="169" t="n"/>
      <c r="F4" s="169" t="n"/>
      <c r="G4" s="169" t="n"/>
      <c r="H4" s="169" t="n"/>
      <c r="I4" s="169" t="n"/>
      <c r="J4" s="169" t="n"/>
      <c r="K4" s="169" t="n"/>
      <c r="L4" s="169" t="n"/>
      <c r="M4" s="169" t="n"/>
      <c r="N4" s="169" t="n"/>
      <c r="O4" s="169" t="n"/>
      <c r="P4" s="175" t="n"/>
      <c r="Q4" s="200" t="n"/>
    </row>
    <row r="5">
      <c r="A5" s="35" t="n">
        <v>3</v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N5" s="169" t="n"/>
      <c r="O5" s="169" t="n"/>
      <c r="P5" s="175" t="n"/>
      <c r="Q5" s="200" t="n"/>
    </row>
    <row r="6">
      <c r="A6" s="35" t="n">
        <v>4</v>
      </c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N6" s="169" t="n"/>
      <c r="O6" s="169" t="n"/>
      <c r="P6" s="175" t="n"/>
      <c r="Q6" s="200" t="n"/>
      <c r="S6" s="120" t="inlineStr">
        <is>
          <t>A</t>
        </is>
      </c>
    </row>
    <row r="7">
      <c r="A7" s="35" t="n">
        <v>5</v>
      </c>
      <c r="B7" s="169" t="n"/>
      <c r="C7" s="169" t="n"/>
      <c r="D7" s="169" t="n"/>
      <c r="E7" s="169" t="n"/>
      <c r="F7" s="169" t="n"/>
      <c r="G7" s="169" t="n"/>
      <c r="H7" s="169" t="n"/>
      <c r="I7" s="169" t="n"/>
      <c r="J7" s="169" t="n"/>
      <c r="K7" s="169" t="n"/>
      <c r="L7" s="169" t="n"/>
      <c r="M7" s="169" t="n"/>
      <c r="N7" s="169" t="n"/>
      <c r="O7" s="169" t="n"/>
      <c r="P7" s="175" t="n"/>
      <c r="Q7" s="200" t="n"/>
      <c r="S7" s="120" t="inlineStr">
        <is>
          <t>Q</t>
        </is>
      </c>
    </row>
    <row r="8">
      <c r="A8" s="35" t="n">
        <v>6</v>
      </c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69" t="n"/>
      <c r="N8" s="169" t="n"/>
      <c r="O8" s="169" t="n"/>
      <c r="P8" s="175" t="n"/>
      <c r="Q8" s="200" t="n"/>
      <c r="S8" s="120" t="inlineStr">
        <is>
          <t>M</t>
        </is>
      </c>
    </row>
    <row r="9">
      <c r="A9" s="35" t="n">
        <v>7</v>
      </c>
      <c r="B9" s="169" t="n"/>
      <c r="C9" s="169" t="n"/>
      <c r="D9" s="169" t="n"/>
      <c r="E9" s="169" t="n"/>
      <c r="F9" s="169" t="n"/>
      <c r="G9" s="169" t="n"/>
      <c r="H9" s="169" t="n"/>
      <c r="I9" s="169" t="n"/>
      <c r="J9" s="169" t="n"/>
      <c r="K9" s="169" t="n"/>
      <c r="L9" s="169" t="n"/>
      <c r="M9" s="169" t="n"/>
      <c r="N9" s="169" t="n"/>
      <c r="O9" s="169" t="n"/>
      <c r="P9" s="175" t="n"/>
      <c r="Q9" s="200" t="n"/>
      <c r="S9" s="120" t="inlineStr">
        <is>
          <t>F</t>
        </is>
      </c>
    </row>
    <row r="10">
      <c r="A10" s="35" t="n">
        <v>8</v>
      </c>
      <c r="B10" s="169" t="n"/>
      <c r="C10" s="169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75" t="n"/>
      <c r="Q10" s="200" t="n"/>
      <c r="S10" s="120" t="inlineStr">
        <is>
          <t>P</t>
        </is>
      </c>
    </row>
    <row r="11">
      <c r="A11" s="35" t="n">
        <v>9</v>
      </c>
      <c r="B11" s="169" t="n"/>
      <c r="C11" s="169" t="n"/>
      <c r="D11" s="169" t="n"/>
      <c r="E11" s="169" t="n"/>
      <c r="F11" s="169" t="n"/>
      <c r="G11" s="169" t="n"/>
      <c r="H11" s="169" t="n"/>
      <c r="I11" s="169" t="n"/>
      <c r="J11" s="169" t="n"/>
      <c r="K11" s="169" t="n"/>
      <c r="L11" s="169" t="n"/>
      <c r="M11" s="169" t="n"/>
      <c r="N11" s="169" t="n"/>
      <c r="O11" s="169" t="n"/>
      <c r="P11" s="175" t="n"/>
      <c r="Q11" s="200" t="n"/>
      <c r="S11" s="120" t="inlineStr">
        <is>
          <t>L</t>
        </is>
      </c>
    </row>
    <row r="12">
      <c r="A12" s="35" t="n">
        <v>10</v>
      </c>
      <c r="B12" s="169" t="n"/>
      <c r="C12" s="169" t="n"/>
      <c r="D12" s="169" t="n"/>
      <c r="E12" s="169" t="n"/>
      <c r="F12" s="169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75" t="n"/>
      <c r="Q12" s="200" t="n"/>
      <c r="S12" s="120" t="inlineStr">
        <is>
          <t>OT</t>
        </is>
      </c>
    </row>
    <row r="13">
      <c r="A13" s="35" t="n">
        <v>11</v>
      </c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69" t="n"/>
      <c r="N13" s="169" t="n"/>
      <c r="O13" s="169" t="n"/>
      <c r="P13" s="175" t="n"/>
      <c r="Q13" s="200" t="n"/>
    </row>
    <row r="14">
      <c r="A14" s="35" t="n">
        <v>12</v>
      </c>
      <c r="B14" s="169" t="n"/>
      <c r="C14" s="169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75" t="n"/>
      <c r="Q14" s="200" t="n"/>
    </row>
    <row r="15">
      <c r="A15" s="35" t="n">
        <v>13</v>
      </c>
      <c r="B15" s="169" t="n"/>
      <c r="C15" s="169" t="n"/>
      <c r="D15" s="169" t="n"/>
      <c r="E15" s="169" t="n"/>
      <c r="F15" s="169" t="n"/>
      <c r="G15" s="169" t="n"/>
      <c r="H15" s="169" t="n"/>
      <c r="I15" s="169" t="n"/>
      <c r="J15" s="169" t="n"/>
      <c r="K15" s="169" t="n"/>
      <c r="L15" s="169" t="n"/>
      <c r="M15" s="169" t="n"/>
      <c r="N15" s="169" t="n"/>
      <c r="O15" s="169" t="n"/>
      <c r="P15" s="175" t="n"/>
      <c r="Q15" s="200" t="n"/>
    </row>
    <row r="16">
      <c r="A16" s="35" t="n">
        <v>14</v>
      </c>
      <c r="B16" s="169" t="n"/>
      <c r="C16" s="169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75" t="n"/>
      <c r="Q16" s="200" t="n"/>
    </row>
    <row r="17">
      <c r="A17" s="35" t="n">
        <v>15</v>
      </c>
      <c r="B17" s="169" t="n"/>
      <c r="C17" s="169" t="n"/>
      <c r="D17" s="169" t="n"/>
      <c r="E17" s="169" t="n"/>
      <c r="F17" s="169" t="n"/>
      <c r="G17" s="169" t="n"/>
      <c r="H17" s="169" t="n"/>
      <c r="I17" s="169" t="n"/>
      <c r="J17" s="169" t="n"/>
      <c r="K17" s="169" t="n"/>
      <c r="L17" s="169" t="n"/>
      <c r="M17" s="169" t="n"/>
      <c r="N17" s="169" t="n"/>
      <c r="O17" s="169" t="n"/>
      <c r="P17" s="175" t="n"/>
      <c r="Q17" s="200" t="n"/>
    </row>
    <row r="18">
      <c r="A18" s="35" t="n">
        <v>16</v>
      </c>
      <c r="B18" s="169" t="n"/>
      <c r="C18" s="169" t="n"/>
      <c r="D18" s="169" t="n"/>
      <c r="E18" s="169" t="n"/>
      <c r="F18" s="169" t="n"/>
      <c r="G18" s="169" t="n"/>
      <c r="H18" s="169" t="n"/>
      <c r="I18" s="169" t="n"/>
      <c r="J18" s="169" t="n"/>
      <c r="K18" s="169" t="n"/>
      <c r="L18" s="169" t="n"/>
      <c r="M18" s="169" t="n"/>
      <c r="N18" s="169" t="n"/>
      <c r="O18" s="169" t="n"/>
      <c r="P18" s="175" t="n"/>
      <c r="Q18" s="200" t="n"/>
    </row>
    <row r="19">
      <c r="A19" s="35" t="n">
        <v>17</v>
      </c>
      <c r="B19" s="169" t="n"/>
      <c r="C19" s="169" t="n"/>
      <c r="D19" s="169" t="n"/>
      <c r="E19" s="169" t="n"/>
      <c r="F19" s="169" t="n"/>
      <c r="G19" s="169" t="n"/>
      <c r="H19" s="169" t="n"/>
      <c r="I19" s="169" t="n"/>
      <c r="J19" s="169" t="n"/>
      <c r="K19" s="169" t="n"/>
      <c r="L19" s="169" t="n"/>
      <c r="M19" s="169" t="n"/>
      <c r="N19" s="169" t="n"/>
      <c r="O19" s="169" t="n"/>
      <c r="P19" s="175" t="n"/>
      <c r="Q19" s="200" t="n"/>
    </row>
    <row r="20">
      <c r="A20" s="35" t="n">
        <v>18</v>
      </c>
      <c r="B20" s="169" t="n"/>
      <c r="C20" s="169" t="n"/>
      <c r="D20" s="169" t="n"/>
      <c r="E20" s="169" t="n"/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75" t="n"/>
      <c r="Q20" s="200" t="n"/>
    </row>
    <row r="21">
      <c r="A21" s="35" t="n">
        <v>19</v>
      </c>
      <c r="B21" s="169" t="n"/>
      <c r="C21" s="169" t="n"/>
      <c r="D21" s="169" t="n"/>
      <c r="E21" s="169" t="n"/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75" t="n"/>
      <c r="Q21" s="200" t="n"/>
    </row>
    <row r="22">
      <c r="A22" s="35" t="n">
        <v>20</v>
      </c>
      <c r="B22" s="169" t="n"/>
      <c r="C22" s="169" t="n"/>
      <c r="D22" s="169" t="n"/>
      <c r="E22" s="169" t="n"/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75" t="n"/>
      <c r="Q22" s="200" t="n"/>
    </row>
    <row r="23">
      <c r="A23" s="35" t="n">
        <v>21</v>
      </c>
      <c r="B23" s="169" t="n"/>
      <c r="C23" s="169" t="n"/>
      <c r="D23" s="169" t="n"/>
      <c r="E23" s="169" t="n"/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75" t="n"/>
      <c r="Q23" s="200" t="n"/>
    </row>
    <row r="24">
      <c r="A24" s="35" t="n">
        <v>22</v>
      </c>
      <c r="B24" s="169" t="n"/>
      <c r="C24" s="169" t="n"/>
      <c r="D24" s="169" t="n"/>
      <c r="E24" s="169" t="n"/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75" t="n"/>
      <c r="Q24" s="200" t="n"/>
    </row>
    <row r="25">
      <c r="A25" s="35" t="n">
        <v>23</v>
      </c>
      <c r="B25" s="169" t="n"/>
      <c r="C25" s="169" t="n"/>
      <c r="D25" s="169" t="n"/>
      <c r="E25" s="169" t="n"/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75" t="n"/>
      <c r="Q25" s="200" t="n"/>
    </row>
    <row r="26">
      <c r="A26" s="35" t="n">
        <v>24</v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75" t="n"/>
      <c r="Q26" s="200" t="n"/>
    </row>
    <row r="27">
      <c r="A27" s="35" t="n">
        <v>25</v>
      </c>
      <c r="B27" s="169" t="n"/>
      <c r="C27" s="169" t="n"/>
      <c r="D27" s="169" t="n"/>
      <c r="E27" s="169" t="n"/>
      <c r="F27" s="169" t="n"/>
      <c r="G27" s="169" t="n"/>
      <c r="H27" s="169" t="n"/>
      <c r="I27" s="169" t="n"/>
      <c r="J27" s="169" t="n"/>
      <c r="K27" s="169" t="n"/>
      <c r="L27" s="169" t="n"/>
      <c r="M27" s="169" t="n"/>
      <c r="N27" s="169" t="n"/>
      <c r="O27" s="169" t="n"/>
      <c r="P27" s="175" t="n"/>
      <c r="Q27" s="200" t="n"/>
    </row>
    <row r="28">
      <c r="A28" s="35" t="n">
        <v>26</v>
      </c>
      <c r="B28" s="170" t="n"/>
      <c r="C28" s="170" t="n"/>
      <c r="D28" s="170" t="n"/>
      <c r="E28" s="170" t="n"/>
      <c r="F28" s="170" t="n"/>
      <c r="G28" s="170" t="n"/>
      <c r="H28" s="170" t="n"/>
      <c r="I28" s="170" t="n"/>
      <c r="J28" s="170" t="n"/>
      <c r="K28" s="170" t="n"/>
      <c r="L28" s="170" t="n"/>
      <c r="M28" s="170" t="n"/>
      <c r="N28" s="170" t="n"/>
      <c r="O28" s="170" t="n"/>
      <c r="P28" s="175" t="n"/>
      <c r="Q28" s="200" t="n"/>
    </row>
    <row r="29">
      <c r="A29" s="35" t="n">
        <v>27</v>
      </c>
      <c r="B29" s="170" t="n"/>
      <c r="C29" s="170" t="n"/>
      <c r="D29" s="170" t="n"/>
      <c r="E29" s="170" t="n"/>
      <c r="F29" s="170" t="n"/>
      <c r="G29" s="170" t="n"/>
      <c r="H29" s="170" t="n"/>
      <c r="I29" s="170" t="n"/>
      <c r="J29" s="170" t="n"/>
      <c r="K29" s="170" t="n"/>
      <c r="L29" s="170" t="n"/>
      <c r="M29" s="170" t="n"/>
      <c r="N29" s="170" t="n"/>
      <c r="O29" s="170" t="n"/>
      <c r="P29" s="175" t="n"/>
      <c r="Q29" s="200" t="n"/>
    </row>
    <row r="30">
      <c r="A30" s="35" t="n">
        <v>28</v>
      </c>
      <c r="B30" s="170" t="n"/>
      <c r="C30" s="170" t="n"/>
      <c r="D30" s="170" t="n"/>
      <c r="E30" s="170" t="n"/>
      <c r="F30" s="170" t="n"/>
      <c r="G30" s="170" t="n"/>
      <c r="H30" s="170" t="n"/>
      <c r="I30" s="170" t="n"/>
      <c r="J30" s="170" t="n"/>
      <c r="K30" s="170" t="n"/>
      <c r="L30" s="170" t="n"/>
      <c r="M30" s="170" t="n"/>
      <c r="N30" s="170" t="n"/>
      <c r="O30" s="170" t="n"/>
      <c r="P30" s="175" t="n"/>
      <c r="Q30" s="200" t="n"/>
    </row>
    <row r="31">
      <c r="A31" s="35" t="n">
        <v>29</v>
      </c>
      <c r="B31" s="170" t="n"/>
      <c r="C31" s="170" t="n"/>
      <c r="D31" s="170" t="n"/>
      <c r="E31" s="170" t="n"/>
      <c r="F31" s="170" t="n"/>
      <c r="G31" s="170" t="n"/>
      <c r="H31" s="170" t="n"/>
      <c r="I31" s="170" t="n"/>
      <c r="J31" s="170" t="n"/>
      <c r="K31" s="170" t="n"/>
      <c r="L31" s="170" t="n"/>
      <c r="M31" s="170" t="n"/>
      <c r="N31" s="170" t="n"/>
      <c r="O31" s="170" t="n"/>
      <c r="P31" s="175" t="n"/>
      <c r="Q31" s="200" t="n"/>
    </row>
    <row r="32">
      <c r="A32" s="35" t="n">
        <v>30</v>
      </c>
      <c r="B32" s="170" t="n"/>
      <c r="C32" s="170" t="n"/>
      <c r="D32" s="170" t="n"/>
      <c r="E32" s="170" t="n"/>
      <c r="F32" s="170" t="n"/>
      <c r="G32" s="170" t="n"/>
      <c r="H32" s="170" t="n"/>
      <c r="I32" s="170" t="n"/>
      <c r="J32" s="170" t="n"/>
      <c r="K32" s="170" t="n"/>
      <c r="L32" s="170" t="n"/>
      <c r="M32" s="170" t="n"/>
      <c r="N32" s="170" t="n"/>
      <c r="O32" s="170" t="n"/>
      <c r="P32" s="175" t="n"/>
      <c r="Q32" s="200" t="n"/>
    </row>
    <row r="33">
      <c r="A33" s="35" t="n">
        <v>31</v>
      </c>
      <c r="B33" s="170" t="n"/>
      <c r="C33" s="170" t="n"/>
      <c r="D33" s="170" t="n"/>
      <c r="E33" s="170" t="n"/>
      <c r="F33" s="170" t="n"/>
      <c r="G33" s="170" t="n"/>
      <c r="H33" s="170" t="n"/>
      <c r="I33" s="170" t="n"/>
      <c r="J33" s="170" t="n"/>
      <c r="K33" s="170" t="n"/>
      <c r="L33" s="170" t="n"/>
      <c r="M33" s="170" t="n"/>
      <c r="N33" s="170" t="n"/>
      <c r="O33" s="170" t="n"/>
      <c r="P33" s="175" t="n"/>
      <c r="Q33" s="200" t="n"/>
    </row>
    <row r="34">
      <c r="A34" s="35" t="n">
        <v>32</v>
      </c>
      <c r="B34" s="170" t="n"/>
      <c r="C34" s="170" t="n"/>
      <c r="D34" s="170" t="n"/>
      <c r="E34" s="170" t="n"/>
      <c r="F34" s="170" t="n"/>
      <c r="G34" s="170" t="n"/>
      <c r="H34" s="170" t="n"/>
      <c r="I34" s="170" t="n"/>
      <c r="J34" s="170" t="n"/>
      <c r="K34" s="170" t="n"/>
      <c r="L34" s="170" t="n"/>
      <c r="M34" s="170" t="n"/>
      <c r="N34" s="170" t="n"/>
      <c r="O34" s="170" t="n"/>
      <c r="P34" s="175" t="n"/>
      <c r="Q34" s="200" t="n"/>
    </row>
    <row r="35">
      <c r="A35" s="35" t="n">
        <v>33</v>
      </c>
      <c r="B35" s="170" t="n"/>
      <c r="C35" s="170" t="n"/>
      <c r="D35" s="170" t="n"/>
      <c r="E35" s="170" t="n"/>
      <c r="F35" s="170" t="n"/>
      <c r="G35" s="170" t="n"/>
      <c r="H35" s="170" t="n"/>
      <c r="I35" s="170" t="n"/>
      <c r="J35" s="170" t="n"/>
      <c r="K35" s="170" t="n"/>
      <c r="L35" s="170" t="n"/>
      <c r="M35" s="170" t="n"/>
      <c r="N35" s="170" t="n"/>
      <c r="O35" s="170" t="n"/>
      <c r="P35" s="175" t="n"/>
      <c r="Q35" s="200" t="n"/>
    </row>
    <row r="36">
      <c r="A36" s="35" t="n">
        <v>34</v>
      </c>
      <c r="B36" s="170" t="n"/>
      <c r="C36" s="170" t="n"/>
      <c r="D36" s="170" t="n"/>
      <c r="E36" s="170" t="n"/>
      <c r="F36" s="170" t="n"/>
      <c r="G36" s="170" t="n"/>
      <c r="H36" s="170" t="n"/>
      <c r="I36" s="170" t="n"/>
      <c r="J36" s="170" t="n"/>
      <c r="K36" s="170" t="n"/>
      <c r="L36" s="170" t="n"/>
      <c r="M36" s="170" t="n"/>
      <c r="N36" s="170" t="n"/>
      <c r="O36" s="170" t="n"/>
      <c r="P36" s="175" t="n"/>
      <c r="Q36" s="200" t="n"/>
    </row>
    <row r="37">
      <c r="A37" s="35" t="n">
        <v>35</v>
      </c>
      <c r="B37" s="170" t="n"/>
      <c r="C37" s="170" t="n"/>
      <c r="D37" s="170" t="n"/>
      <c r="E37" s="170" t="n"/>
      <c r="F37" s="170" t="n"/>
      <c r="G37" s="170" t="n"/>
      <c r="H37" s="170" t="n"/>
      <c r="I37" s="170" t="n"/>
      <c r="J37" s="170" t="n"/>
      <c r="K37" s="170" t="n"/>
      <c r="L37" s="170" t="n"/>
      <c r="M37" s="170" t="n"/>
      <c r="N37" s="170" t="n"/>
      <c r="O37" s="170" t="n"/>
      <c r="P37" s="175" t="n"/>
      <c r="Q37" s="200" t="n"/>
    </row>
    <row r="38">
      <c r="A38" s="35" t="n">
        <v>36</v>
      </c>
      <c r="B38" s="170" t="n"/>
      <c r="C38" s="170" t="n"/>
      <c r="D38" s="170" t="n"/>
      <c r="E38" s="170" t="n"/>
      <c r="F38" s="170" t="n"/>
      <c r="G38" s="170" t="n"/>
      <c r="H38" s="170" t="n"/>
      <c r="I38" s="170" t="n"/>
      <c r="J38" s="170" t="n"/>
      <c r="K38" s="170" t="n"/>
      <c r="L38" s="170" t="n"/>
      <c r="M38" s="170" t="n"/>
      <c r="N38" s="170" t="n"/>
      <c r="O38" s="170" t="n"/>
      <c r="P38" s="175" t="n"/>
      <c r="Q38" s="200" t="n"/>
    </row>
    <row r="39">
      <c r="A39" s="35" t="n">
        <v>37</v>
      </c>
      <c r="B39" s="170" t="n"/>
      <c r="C39" s="170" t="n"/>
      <c r="D39" s="170" t="n"/>
      <c r="E39" s="170" t="n"/>
      <c r="F39" s="170" t="n"/>
      <c r="G39" s="170" t="n"/>
      <c r="H39" s="170" t="n"/>
      <c r="I39" s="170" t="n"/>
      <c r="J39" s="170" t="n"/>
      <c r="K39" s="170" t="n"/>
      <c r="L39" s="170" t="n"/>
      <c r="M39" s="170" t="n"/>
      <c r="N39" s="170" t="n"/>
      <c r="O39" s="170" t="n"/>
      <c r="P39" s="175" t="n"/>
      <c r="Q39" s="200" t="n"/>
    </row>
    <row r="40">
      <c r="A40" s="35" t="n">
        <v>38</v>
      </c>
      <c r="B40" s="170" t="n"/>
      <c r="C40" s="170" t="n"/>
      <c r="D40" s="170" t="n"/>
      <c r="E40" s="170" t="n"/>
      <c r="F40" s="170" t="n"/>
      <c r="G40" s="170" t="n"/>
      <c r="H40" s="170" t="n"/>
      <c r="I40" s="170" t="n"/>
      <c r="J40" s="170" t="n"/>
      <c r="K40" s="170" t="n"/>
      <c r="L40" s="170" t="n"/>
      <c r="M40" s="170" t="n"/>
      <c r="N40" s="170" t="n"/>
      <c r="O40" s="170" t="n"/>
      <c r="P40" s="175" t="n"/>
      <c r="Q40" s="200" t="n"/>
    </row>
    <row r="41">
      <c r="A41" s="35" t="n">
        <v>39</v>
      </c>
      <c r="B41" s="170" t="n"/>
      <c r="C41" s="170" t="n"/>
      <c r="D41" s="170" t="n"/>
      <c r="E41" s="170" t="n"/>
      <c r="F41" s="170" t="n"/>
      <c r="G41" s="170" t="n"/>
      <c r="H41" s="170" t="n"/>
      <c r="I41" s="170" t="n"/>
      <c r="J41" s="170" t="n"/>
      <c r="K41" s="170" t="n"/>
      <c r="L41" s="170" t="n"/>
      <c r="M41" s="170" t="n"/>
      <c r="N41" s="170" t="n"/>
      <c r="O41" s="170" t="n"/>
      <c r="P41" s="175" t="n"/>
      <c r="Q41" s="200" t="n"/>
    </row>
    <row r="42" ht="15.75" customHeight="1" thickBot="1">
      <c r="A42" s="35" t="n">
        <v>40</v>
      </c>
      <c r="B42" s="170" t="n"/>
      <c r="C42" s="170" t="n"/>
      <c r="D42" s="170" t="n"/>
      <c r="E42" s="170" t="n"/>
      <c r="F42" s="170" t="n"/>
      <c r="G42" s="170" t="n"/>
      <c r="H42" s="170" t="n"/>
      <c r="I42" s="170" t="n"/>
      <c r="J42" s="170" t="n"/>
      <c r="K42" s="170" t="n"/>
      <c r="L42" s="170" t="n"/>
      <c r="M42" s="170" t="n"/>
      <c r="N42" s="170" t="n"/>
      <c r="O42" s="170" t="n"/>
      <c r="P42" s="175" t="n"/>
      <c r="Q42" s="201" t="n"/>
    </row>
    <row r="43" ht="15.75" customHeight="1" thickTop="1">
      <c r="A43" s="121" t="inlineStr">
        <is>
          <t>Average</t>
        </is>
      </c>
      <c r="B43" s="171">
        <f>AVERAGE(B3:B42)</f>
        <v/>
      </c>
      <c r="C43" s="171">
        <f>AVERAGE(C3:C42)</f>
        <v/>
      </c>
      <c r="D43" s="171">
        <f>AVERAGE(D3:D42)</f>
        <v/>
      </c>
      <c r="E43" s="171">
        <f>AVERAGE(E3:E42)</f>
        <v/>
      </c>
      <c r="F43" s="171">
        <f>AVERAGE(F3:F42)</f>
        <v/>
      </c>
      <c r="G43" s="171">
        <f>AVERAGE(G3:G42)</f>
        <v/>
      </c>
      <c r="H43" s="171">
        <f>AVERAGE(H3:H42)</f>
        <v/>
      </c>
      <c r="I43" s="171">
        <f>AVERAGE(I3:I42)</f>
        <v/>
      </c>
      <c r="J43" s="171">
        <f>AVERAGE(J3:J42)</f>
        <v/>
      </c>
      <c r="K43" s="171">
        <f>AVERAGE(K3:K42)</f>
        <v/>
      </c>
      <c r="L43" s="171">
        <f>AVERAGE(L3:L42)</f>
        <v/>
      </c>
      <c r="M43" s="171">
        <f>AVERAGE(M3:M42)</f>
        <v/>
      </c>
      <c r="N43" s="171">
        <f>AVERAGE(N3:N42)</f>
        <v/>
      </c>
      <c r="O43" s="171">
        <f>AVERAGE(O3:O42)</f>
        <v/>
      </c>
      <c r="P43" s="171">
        <f>AVERAGE(P3:P42)</f>
        <v/>
      </c>
      <c r="Q43" s="39" t="n"/>
    </row>
    <row r="44">
      <c r="A44" s="40" t="inlineStr">
        <is>
          <t>Overall Average</t>
        </is>
      </c>
      <c r="B44" s="172">
        <f>AVERAGEIF(B43:P43, "&lt;&gt;#DIV/0!")</f>
        <v/>
      </c>
      <c r="C44" s="172" t="n"/>
      <c r="D44" s="172" t="n"/>
      <c r="E44" s="172" t="n"/>
      <c r="F44" s="172" t="n"/>
      <c r="G44" s="172" t="n"/>
      <c r="H44" s="172" t="n"/>
      <c r="I44" s="172" t="n"/>
      <c r="J44" s="172" t="n"/>
      <c r="K44" s="172" t="n"/>
      <c r="L44" s="172" t="n"/>
      <c r="M44" s="172" t="n"/>
      <c r="N44" s="172" t="n"/>
      <c r="O44" s="172" t="n"/>
      <c r="P44" s="172" t="n"/>
      <c r="Q44" s="36" t="n"/>
    </row>
    <row r="45">
      <c r="A45" s="40" t="inlineStr">
        <is>
          <t>Total Students</t>
        </is>
      </c>
      <c r="B45" s="36">
        <f>COUNTIF(B3:B42, "&lt;&gt;")</f>
        <v/>
      </c>
      <c r="C45" s="36">
        <f>COUNTIF(C3:C42, "&lt;&gt;")</f>
        <v/>
      </c>
      <c r="D45" s="36">
        <f>COUNTIF(D3:D42, "&lt;&gt;")</f>
        <v/>
      </c>
      <c r="E45" s="36">
        <f>COUNTIF(E3:E42, "&lt;&gt;")</f>
        <v/>
      </c>
      <c r="F45" s="36">
        <f>COUNTIF(F3:F42, "&lt;&gt;")</f>
        <v/>
      </c>
      <c r="G45" s="36">
        <f>COUNTIF(G3:G42, "&lt;&gt;")</f>
        <v/>
      </c>
      <c r="H45" s="36">
        <f>COUNTIF(H3:H42, "&lt;&gt;")</f>
        <v/>
      </c>
      <c r="I45" s="36">
        <f>COUNTIF(I3:I42, "&lt;&gt;")</f>
        <v/>
      </c>
      <c r="J45" s="36">
        <f>COUNTIF(J3:J42, "&lt;&gt;")</f>
        <v/>
      </c>
      <c r="K45" s="36">
        <f>COUNTIF(K3:K42, "&lt;&gt;")</f>
        <v/>
      </c>
      <c r="L45" s="36">
        <f>COUNTIF(L3:L42, "&lt;&gt;")</f>
        <v/>
      </c>
      <c r="M45" s="36">
        <f>COUNTIF(M3:M42, "&lt;&gt;")</f>
        <v/>
      </c>
      <c r="N45" s="36">
        <f>COUNTIF(N3:N42, "&lt;&gt;")</f>
        <v/>
      </c>
      <c r="O45" s="36">
        <f>COUNTIF(O3:O42, "&lt;&gt;")</f>
        <v/>
      </c>
      <c r="P45" s="36">
        <f>COUNTIF(P3:P42, "&lt;&gt;")</f>
        <v/>
      </c>
    </row>
    <row r="47">
      <c r="A47" s="13" t="n"/>
      <c r="B47" s="23" t="inlineStr">
        <is>
          <t>Assignment (A)</t>
        </is>
      </c>
      <c r="C47" s="23" t="inlineStr">
        <is>
          <t>Quiz (Q)</t>
        </is>
      </c>
      <c r="D47" s="23" t="inlineStr">
        <is>
          <t>Mid Term (M)</t>
        </is>
      </c>
      <c r="E47" s="23" t="inlineStr">
        <is>
          <t>Final Exam (F)</t>
        </is>
      </c>
      <c r="F47" s="23" t="inlineStr">
        <is>
          <t>Project (P)</t>
        </is>
      </c>
      <c r="G47" s="23" t="inlineStr">
        <is>
          <t>Lab (L)</t>
        </is>
      </c>
      <c r="H47" s="24" t="inlineStr">
        <is>
          <t>Anyother (OT)</t>
        </is>
      </c>
      <c r="I47" s="24" t="inlineStr">
        <is>
          <t>Total</t>
        </is>
      </c>
    </row>
    <row r="48">
      <c r="A48" s="113" t="inlineStr">
        <is>
          <t>I (1st, 2nd yr)</t>
        </is>
      </c>
      <c r="B48" s="17">
        <f>COUNTIF($B$2:$F$2, "A")</f>
        <v/>
      </c>
      <c r="C48" s="17">
        <f>COUNTIF($B$2:$F$2, "Q")</f>
        <v/>
      </c>
      <c r="D48" s="17">
        <f>COUNTIF($B$2:$F$2, "M")</f>
        <v/>
      </c>
      <c r="E48" s="17">
        <f>COUNTIF($B$2:$F$2, "F")</f>
        <v/>
      </c>
      <c r="F48" s="17">
        <f>COUNTIF($B$2:$F$2, "P")</f>
        <v/>
      </c>
      <c r="G48" s="17">
        <f>COUNTIF($B$2:$F$2, "L")</f>
        <v/>
      </c>
      <c r="H48" s="17">
        <f>COUNTIF($B$2:$F$2, "OT")</f>
        <v/>
      </c>
      <c r="I48" s="17">
        <f>SUM(B48:H48)</f>
        <v/>
      </c>
    </row>
    <row r="49">
      <c r="A49" s="114" t="inlineStr">
        <is>
          <t>D (2nd &amp; 3rd yr)</t>
        </is>
      </c>
      <c r="B49" s="17">
        <f>COUNTIF($G$2:$J$2, "A")</f>
        <v/>
      </c>
      <c r="C49" s="17">
        <f>COUNTIF($G$2:$J$2, "Q")</f>
        <v/>
      </c>
      <c r="D49" s="17">
        <f>COUNTIF($G$2:$J$2, "M")</f>
        <v/>
      </c>
      <c r="E49" s="17">
        <f>COUNTIF($G$2:$J$2, "F")</f>
        <v/>
      </c>
      <c r="F49" s="17">
        <f>COUNTIF($G$2:$J$2, "P")</f>
        <v/>
      </c>
      <c r="G49" s="17">
        <f>COUNTIF($G$2:$J$2, "L")</f>
        <v/>
      </c>
      <c r="H49" s="17">
        <f>COUNTIF($G$2:$J$2, "OT")</f>
        <v/>
      </c>
      <c r="I49" s="17">
        <f>SUM(B49:H49)</f>
        <v/>
      </c>
    </row>
    <row r="50">
      <c r="A50" s="115" t="inlineStr">
        <is>
          <t>A (3rd, 4yr)</t>
        </is>
      </c>
      <c r="B50" s="17">
        <f>COUNTIF($K$2:$P$2, "A")</f>
        <v/>
      </c>
      <c r="C50" s="17">
        <f>COUNTIF($K$2:$P$2, "Q")</f>
        <v/>
      </c>
      <c r="D50" s="17">
        <f>COUNTIF($K$2:$P$2, "M")</f>
        <v/>
      </c>
      <c r="E50" s="17">
        <f>COUNTIF($K$2:$P$2, "F")</f>
        <v/>
      </c>
      <c r="F50" s="17">
        <f>COUNTIF($K$2:$P$2, "P")</f>
        <v/>
      </c>
      <c r="G50" s="17">
        <f>COUNTIF($K$2:$P$2, "L")</f>
        <v/>
      </c>
      <c r="H50" s="17">
        <f>COUNTIF($K$2:$P$2, "OT")</f>
        <v/>
      </c>
      <c r="I50" s="17">
        <f>SUM(B50:H50)</f>
        <v/>
      </c>
    </row>
    <row r="51">
      <c r="A51" s="23" t="inlineStr">
        <is>
          <t>Total</t>
        </is>
      </c>
      <c r="B51" s="13">
        <f>SUM(B48:B50)</f>
        <v/>
      </c>
      <c r="C51" s="13">
        <f>SUM(C48:C50)</f>
        <v/>
      </c>
      <c r="D51" s="13">
        <f>SUM(D48:D50)</f>
        <v/>
      </c>
      <c r="E51" s="13">
        <f>SUM(E48:E50)</f>
        <v/>
      </c>
      <c r="F51" s="13">
        <f>SUM(F48:F50)</f>
        <v/>
      </c>
      <c r="G51" s="13">
        <f>SUM(G48:G50)</f>
        <v/>
      </c>
      <c r="H51" s="13">
        <f>SUM(H48:H50)</f>
        <v/>
      </c>
      <c r="I51" s="13">
        <f>SUM(I48:I50)</f>
        <v/>
      </c>
    </row>
    <row r="53" ht="18.75" customHeight="1" thickBot="1">
      <c r="A53" s="99" t="inlineStr">
        <is>
          <t>Frequency Distribution Analysis</t>
        </is>
      </c>
      <c r="C53" s="99" t="n"/>
      <c r="D53" s="99" t="n"/>
      <c r="E53" s="99" t="n"/>
      <c r="F53" s="99" t="n"/>
      <c r="G53" s="99" t="n"/>
      <c r="H53" s="97" t="n"/>
      <c r="I53" s="97" t="n"/>
      <c r="J53" s="97" t="n"/>
      <c r="K53" s="97" t="n"/>
      <c r="L53" s="97" t="n"/>
      <c r="M53" s="97" t="n"/>
      <c r="N53" s="97" t="n"/>
      <c r="O53" s="97" t="n"/>
      <c r="P53" s="97" t="n"/>
    </row>
    <row r="54" ht="16.5" customHeight="1" thickBot="1">
      <c r="A54" s="138" t="inlineStr">
        <is>
          <t>Scale</t>
        </is>
      </c>
      <c r="B54" s="165" t="inlineStr">
        <is>
          <t>CHEM-1520-4</t>
        </is>
      </c>
      <c r="C54" s="165" t="inlineStr">
        <is>
          <t>CHEM-1520-5</t>
        </is>
      </c>
      <c r="D54" s="164" t="inlineStr">
        <is>
          <t>EPHY-1170-4</t>
        </is>
      </c>
      <c r="E54" s="164" t="inlineStr">
        <is>
          <t>EPHY-1170-8</t>
        </is>
      </c>
      <c r="F54" s="165" t="inlineStr">
        <is>
          <t>EPHY-1270-7</t>
        </is>
      </c>
      <c r="G54" s="167" t="inlineStr">
        <is>
          <t>EPHY-2200-3</t>
        </is>
      </c>
      <c r="H54" s="167" t="inlineStr">
        <is>
          <t>EPHY-2300-3</t>
        </is>
      </c>
      <c r="I54" s="167" t="inlineStr">
        <is>
          <t>SENG-3110-4</t>
        </is>
      </c>
      <c r="J54" s="167" t="inlineStr">
        <is>
          <t>STAT-2230-3</t>
        </is>
      </c>
      <c r="K54" s="168" t="inlineStr">
        <is>
          <t>SENG-4110-3</t>
        </is>
      </c>
      <c r="L54" s="168" t="inlineStr">
        <is>
          <t>SENG-4120-3</t>
        </is>
      </c>
      <c r="M54" s="168" t="inlineStr">
        <is>
          <t>SENG-4620-4</t>
        </is>
      </c>
      <c r="N54" s="168" t="inlineStr">
        <is>
          <t>SENG-4620-5</t>
        </is>
      </c>
      <c r="O54" s="168" t="inlineStr">
        <is>
          <t>SENG-4660-4</t>
        </is>
      </c>
      <c r="P54" s="168" t="inlineStr">
        <is>
          <t>CENG-4320-4</t>
        </is>
      </c>
      <c r="Q54" s="44" t="inlineStr">
        <is>
          <t>Average</t>
        </is>
      </c>
    </row>
    <row r="55" ht="16.5" customHeight="1" thickBot="1">
      <c r="A55" s="124" t="inlineStr">
        <is>
          <t>Below Expectation (C- and below)  (%)</t>
        </is>
      </c>
      <c r="B55" s="129">
        <f>(COUNTIF(B3:B42, "&lt;=59%"))/B45</f>
        <v/>
      </c>
      <c r="C55" s="129">
        <f>(COUNTIF(C3:C42, "&lt;=59%"))/C45</f>
        <v/>
      </c>
      <c r="D55" s="129">
        <f>(COUNTIF(D3:D42, "&lt;=59%"))/D45</f>
        <v/>
      </c>
      <c r="E55" s="129">
        <f>(COUNTIF(E3:E42, "&lt;=59%"))/E45</f>
        <v/>
      </c>
      <c r="F55" s="129">
        <f>(COUNTIF(F3:F42, "&lt;=59%"))/F45</f>
        <v/>
      </c>
      <c r="G55" s="129">
        <f>(COUNTIF(G3:G42, "&lt;=59%"))/G45</f>
        <v/>
      </c>
      <c r="H55" s="129">
        <f>(COUNTIF(H3:H42, "&lt;=59%"))/H45</f>
        <v/>
      </c>
      <c r="I55" s="129">
        <f>(COUNTIF(I3:I42, "&lt;=59%"))/I45</f>
        <v/>
      </c>
      <c r="J55" s="129">
        <f>(COUNTIF(J3:J42, "&lt;=59%"))/J45</f>
        <v/>
      </c>
      <c r="K55" s="129">
        <f>(COUNTIF(K3:K42, "&lt;=59%"))/K45</f>
        <v/>
      </c>
      <c r="L55" s="129">
        <f>(COUNTIF(L3:L42, "&lt;=59%"))/L45</f>
        <v/>
      </c>
      <c r="M55" s="129">
        <f>(COUNTIF(M3:M42, "&lt;=59%"))/M45</f>
        <v/>
      </c>
      <c r="N55" s="129">
        <f>(COUNTIF(N3:N42, "&lt;=59%"))/N45</f>
        <v/>
      </c>
      <c r="O55" s="129">
        <f>(COUNTIF(O3:O42, "&lt;=59%"))/O45</f>
        <v/>
      </c>
      <c r="P55" s="129">
        <f>(COUNTIF(P3:P42, "&lt;=59%"))/P45</f>
        <v/>
      </c>
      <c r="Q55" s="45">
        <f>AVERAGEIF(B55:O55, "&lt;&gt;#DIV/0!")</f>
        <v/>
      </c>
    </row>
    <row r="56" ht="16.5" customHeight="1" thickBot="1">
      <c r="A56" s="125" t="inlineStr">
        <is>
          <t>Marginal (C+, C)  (%)</t>
        </is>
      </c>
      <c r="B56" s="133">
        <f>(COUNTIFS(B3:B42, "&gt;= 60%", B3:B42, "&lt;=69%" ))/B45</f>
        <v/>
      </c>
      <c r="C56" s="133">
        <f>(COUNTIFS(C3:C42, "&gt;= 60%", C3:C42, "&lt;=69%" ))/C45</f>
        <v/>
      </c>
      <c r="D56" s="133">
        <f>(COUNTIFS(D3:D42, "&gt;= 60%", D3:D42, "&lt;=69%" ))/D45</f>
        <v/>
      </c>
      <c r="E56" s="133">
        <f>(COUNTIFS(E3:E42, "&gt;= 60%", E3:E42, "&lt;=69%" ))/E45</f>
        <v/>
      </c>
      <c r="F56" s="133">
        <f>(COUNTIFS(F3:F42, "&gt;= 60%", F3:F42, "&lt;=69%" ))/F45</f>
        <v/>
      </c>
      <c r="G56" s="133">
        <f>(COUNTIFS(G3:G42, "&gt;= 60%", G3:G42, "&lt;=69%" ))/G45</f>
        <v/>
      </c>
      <c r="H56" s="133">
        <f>(COUNTIFS(H3:H42, "&gt;= 60%", H3:H42, "&lt;=69%" ))/H45</f>
        <v/>
      </c>
      <c r="I56" s="133">
        <f>(COUNTIFS(I3:I42, "&gt;= 60%", I3:I42, "&lt;=69%" ))/I45</f>
        <v/>
      </c>
      <c r="J56" s="133">
        <f>(COUNTIFS(J3:J42, "&gt;= 60%", J3:J42, "&lt;=69%" ))/J45</f>
        <v/>
      </c>
      <c r="K56" s="133">
        <f>(COUNTIFS(K3:K42, "&gt;= 60%", K3:K42, "&lt;=69%" ))/K45</f>
        <v/>
      </c>
      <c r="L56" s="133">
        <f>(COUNTIFS(L3:L42, "&gt;= 60%", L3:L42, "&lt;=69%" ))/L45</f>
        <v/>
      </c>
      <c r="M56" s="133">
        <f>(COUNTIFS(M3:M42, "&gt;= 60%", M3:M42, "&lt;=69%" ))/M45</f>
        <v/>
      </c>
      <c r="N56" s="133">
        <f>(COUNTIFS(N3:N42, "&gt;= 60%", N3:N42, "&lt;=69%" ))/N45</f>
        <v/>
      </c>
      <c r="O56" s="133">
        <f>(COUNTIFS(O3:O42, "&gt;= 60%", O3:O42, "&lt;=69%" ))/O45</f>
        <v/>
      </c>
      <c r="P56" s="133">
        <f>(COUNTIFS(P3:P42, "&gt;= 60%", P3:P42, "&lt;=69%" ))/P45</f>
        <v/>
      </c>
      <c r="Q56" s="45">
        <f>AVERAGEIF(B56:O56, "&lt;&gt;#DIV/0!")</f>
        <v/>
      </c>
    </row>
    <row r="57" ht="16.5" customHeight="1" thickBot="1">
      <c r="A57" s="126" t="inlineStr">
        <is>
          <t>Meets Expectation (B+, B, B-) (%)</t>
        </is>
      </c>
      <c r="B57" s="133">
        <f>(COUNTIFS(B3:B42, "&gt;= 70%", B3:B42, "&lt;=79%" ))/B45</f>
        <v/>
      </c>
      <c r="C57" s="133">
        <f>(COUNTIFS(C3:C42, "&gt;= 70%", C3:C42, "&lt;=79%" ))/C45</f>
        <v/>
      </c>
      <c r="D57" s="133">
        <f>(COUNTIFS(D3:D42, "&gt;= 70%", D3:D42, "&lt;=79%" ))/D45</f>
        <v/>
      </c>
      <c r="E57" s="133">
        <f>(COUNTIFS(E3:E42, "&gt;= 70%", E3:E42, "&lt;=79%" ))/E45</f>
        <v/>
      </c>
      <c r="F57" s="133">
        <f>(COUNTIFS(F3:F42, "&gt;= 70%", F3:F42, "&lt;=79%" ))/F45</f>
        <v/>
      </c>
      <c r="G57" s="133">
        <f>(COUNTIFS(G3:G42, "&gt;= 70%", G3:G42, "&lt;=79%" ))/G45</f>
        <v/>
      </c>
      <c r="H57" s="133">
        <f>(COUNTIFS(H3:H42, "&gt;= 70%", H3:H42, "&lt;=79%" ))/H45</f>
        <v/>
      </c>
      <c r="I57" s="133">
        <f>(COUNTIFS(I3:I42, "&gt;= 70%", I3:I42, "&lt;=79%" ))/I45</f>
        <v/>
      </c>
      <c r="J57" s="133">
        <f>(COUNTIFS(J3:J42, "&gt;= 70%", J3:J42, "&lt;=79%" ))/J45</f>
        <v/>
      </c>
      <c r="K57" s="133">
        <f>(COUNTIFS(K3:K42, "&gt;= 70%", K3:K42, "&lt;=79%" ))/K45</f>
        <v/>
      </c>
      <c r="L57" s="133">
        <f>(COUNTIFS(L3:L42, "&gt;= 70%", L3:L42, "&lt;=79%" ))/L45</f>
        <v/>
      </c>
      <c r="M57" s="133">
        <f>(COUNTIFS(M3:M42, "&gt;= 70%", M3:M42, "&lt;=79%" ))/M45</f>
        <v/>
      </c>
      <c r="N57" s="133">
        <f>(COUNTIFS(N3:N42, "&gt;= 70%", N3:N42, "&lt;=79%" ))/N45</f>
        <v/>
      </c>
      <c r="O57" s="133">
        <f>(COUNTIFS(O3:O42, "&gt;= 70%", O3:O42, "&lt;=79%" ))/O45</f>
        <v/>
      </c>
      <c r="P57" s="133">
        <f>(COUNTIFS(P3:P42, "&gt;= 70%", P3:P42, "&lt;=79%" ))/P45</f>
        <v/>
      </c>
      <c r="Q57" s="45">
        <f>AVERAGEIF(B57:O57, "&lt;&gt;#DIV/0!")</f>
        <v/>
      </c>
    </row>
    <row r="58" ht="16.5" customHeight="1" thickBot="1">
      <c r="A58" s="127" t="inlineStr">
        <is>
          <t>Exceeds Expectation (A+, A, A-) (%)</t>
        </is>
      </c>
      <c r="B58" s="133">
        <f>(COUNTIF(B3:B42,"&gt;= 80%")/B45)</f>
        <v/>
      </c>
      <c r="C58" s="133">
        <f>(COUNTIF(C3:C42,"&gt;= 80%")/C45)</f>
        <v/>
      </c>
      <c r="D58" s="133">
        <f>(COUNTIF(D3:D42,"&gt;= 80%")/D45)</f>
        <v/>
      </c>
      <c r="E58" s="133">
        <f>(COUNTIF(E3:E42,"&gt;= 80%")/E45)</f>
        <v/>
      </c>
      <c r="F58" s="133">
        <f>(COUNTIF(F3:F42,"&gt;= 80%")/F45)</f>
        <v/>
      </c>
      <c r="G58" s="133">
        <f>(COUNTIF(G3:G42,"&gt;= 80%")/G45)</f>
        <v/>
      </c>
      <c r="H58" s="133">
        <f>(COUNTIF(H3:H42,"&gt;= 80%")/H45)</f>
        <v/>
      </c>
      <c r="I58" s="133">
        <f>(COUNTIF(I3:I42,"&gt;= 80%")/I45)</f>
        <v/>
      </c>
      <c r="J58" s="133">
        <f>(COUNTIF(J3:J42,"&gt;= 80%")/J45)</f>
        <v/>
      </c>
      <c r="K58" s="133">
        <f>(COUNTIF(K3:K42,"&gt;= 80%")/K45)</f>
        <v/>
      </c>
      <c r="L58" s="133">
        <f>(COUNTIF(L3:L42,"&gt;= 80%")/L45)</f>
        <v/>
      </c>
      <c r="M58" s="133">
        <f>(COUNTIF(M3:M42,"&gt;= 80%")/M45)</f>
        <v/>
      </c>
      <c r="N58" s="133">
        <f>(COUNTIF(N3:N42,"&gt;= 80%")/N45)</f>
        <v/>
      </c>
      <c r="O58" s="133">
        <f>(COUNTIF(O3:O42,"&gt;= 80%")/O45)</f>
        <v/>
      </c>
      <c r="P58" s="133">
        <f>(COUNTIF(P3:P42,"&gt;= 80%")/P45)</f>
        <v/>
      </c>
      <c r="Q58" s="142">
        <f>AVERAGEIF(B58:O58, "&lt;&gt;#DIV/0!")</f>
        <v/>
      </c>
    </row>
    <row r="59" ht="15.75" customHeight="1" thickBot="1">
      <c r="A59" s="139" t="n"/>
      <c r="B59" s="140">
        <f>SUMIF(B55:B58, "&lt;&gt;#DIV/0!")</f>
        <v/>
      </c>
      <c r="C59" s="141">
        <f>SUMIF(C55:C58, "&lt;&gt;#DIV/0!")</f>
        <v/>
      </c>
      <c r="D59" s="141">
        <f>SUMIF(D55:D58, "&lt;&gt;#DIV/0!")</f>
        <v/>
      </c>
      <c r="E59" s="141">
        <f>SUMIF(E55:E58, "&lt;&gt;#DIV/0!")</f>
        <v/>
      </c>
      <c r="F59" s="141">
        <f>SUMIF(F55:F58, "&lt;&gt;#DIV/0!")</f>
        <v/>
      </c>
      <c r="G59" s="141">
        <f>SUMIF(G55:G58, "&lt;&gt;#DIV/0!")</f>
        <v/>
      </c>
      <c r="H59" s="141">
        <f>SUMIF(H55:H58, "&lt;&gt;#DIV/0!")</f>
        <v/>
      </c>
      <c r="I59" s="141">
        <f>SUMIF(I55:I58, "&lt;&gt;#DIV/0!")</f>
        <v/>
      </c>
      <c r="J59" s="141">
        <f>SUMIF(J55:J58, "&lt;&gt;#DIV/0!")</f>
        <v/>
      </c>
      <c r="K59" s="141">
        <f>SUMIF(K55:K58, "&lt;&gt;#DIV/0!")</f>
        <v/>
      </c>
      <c r="L59" s="141">
        <f>SUMIF(L55:L58, "&lt;&gt;#DIV/0!")</f>
        <v/>
      </c>
      <c r="M59" s="141">
        <f>SUMIF(M55:M58, "&lt;&gt;#DIV/0!")</f>
        <v/>
      </c>
      <c r="N59" s="141">
        <f>SUMIF(N55:N58, "&lt;&gt;#DIV/0!")</f>
        <v/>
      </c>
      <c r="O59" s="141">
        <f>SUMIF(O55:O58, "&lt;&gt;#DIV/0!")</f>
        <v/>
      </c>
      <c r="P59" s="141">
        <f>SUMIF(P55:P58, "&lt;&gt;#DIV/0!")</f>
        <v/>
      </c>
      <c r="Q59" s="141">
        <f>SUMIF(Q55:Q58, "&lt;&gt;#DIV/0!")</f>
        <v/>
      </c>
    </row>
    <row r="60" ht="15.75" customHeight="1" thickBot="1"/>
    <row r="61" ht="15.75" customHeight="1" thickBot="1">
      <c r="A61" s="29" t="n"/>
      <c r="B61" s="46" t="inlineStr">
        <is>
          <t>Class Limit</t>
        </is>
      </c>
      <c r="C61" s="46" t="inlineStr">
        <is>
          <t>Bin</t>
        </is>
      </c>
    </row>
    <row r="62" ht="16.5" customHeight="1" thickBot="1">
      <c r="A62" s="42" t="inlineStr">
        <is>
          <t>Exceeds Expectation (A+, A, A-) (%)</t>
        </is>
      </c>
      <c r="B62" s="48" t="inlineStr">
        <is>
          <t>80-100</t>
        </is>
      </c>
      <c r="C62" s="47" t="n">
        <v>100</v>
      </c>
    </row>
    <row r="63" ht="16.5" customHeight="1" thickBot="1">
      <c r="A63" s="42" t="inlineStr">
        <is>
          <t>Meets Expectation (B+, B, B-) (%)</t>
        </is>
      </c>
      <c r="B63" s="48" t="inlineStr">
        <is>
          <t>70-79</t>
        </is>
      </c>
      <c r="C63" s="47" t="n">
        <v>79</v>
      </c>
    </row>
    <row r="64" ht="16.5" customHeight="1" thickBot="1">
      <c r="A64" s="42" t="inlineStr">
        <is>
          <t>Marginal (C+, C)  (%)</t>
        </is>
      </c>
      <c r="B64" s="48" t="inlineStr">
        <is>
          <t>60-69</t>
        </is>
      </c>
      <c r="C64" s="47" t="n">
        <v>69</v>
      </c>
    </row>
    <row r="65" ht="16.5" customHeight="1" thickBot="1">
      <c r="A65" s="42" t="inlineStr">
        <is>
          <t>Below Expectation (C- and below)  (%)</t>
        </is>
      </c>
      <c r="B65" s="48" t="inlineStr">
        <is>
          <t>0-59</t>
        </is>
      </c>
      <c r="C65" s="47" t="n">
        <v>59</v>
      </c>
    </row>
  </sheetData>
  <mergeCells count="1">
    <mergeCell ref="Q3:Q42"/>
  </mergeCells>
  <conditionalFormatting sqref="J3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greaterThanOrEqual" dxfId="3">
      <formula>80</formula>
    </cfRule>
    <cfRule type="containsBlanks" priority="3" dxfId="4" stopIfTrue="1">
      <formula>LEN(TRIM(J3))=0</formula>
    </cfRule>
    <cfRule type="cellIs" priority="4" operator="greaterThanOrEqual" dxfId="3">
      <formula>80</formula>
    </cfRule>
    <cfRule type="cellIs" priority="5" operator="between" dxfId="2">
      <formula>70</formula>
      <formula>79</formula>
    </cfRule>
    <cfRule type="cellIs" priority="6" operator="between" dxfId="1">
      <formula>60</formula>
      <formula>69</formula>
    </cfRule>
    <cfRule type="cellIs" priority="7" operator="between" dxfId="0">
      <formula>0</formula>
      <formula>59</formula>
    </cfRule>
  </conditionalFormatting>
  <conditionalFormatting sqref="B3:I42 K3:P4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48" operator="greaterThanOrEqual" dxfId="3">
      <formula>80</formula>
    </cfRule>
    <cfRule type="containsBlanks" priority="549" dxfId="4" stopIfTrue="1">
      <formula>LEN(TRIM(B3))=0</formula>
    </cfRule>
    <cfRule type="cellIs" priority="550" operator="greaterThanOrEqual" dxfId="3">
      <formula>80</formula>
    </cfRule>
    <cfRule type="cellIs" priority="551" operator="between" dxfId="2">
      <formula>70</formula>
      <formula>79</formula>
    </cfRule>
    <cfRule type="cellIs" priority="552" operator="between" dxfId="1">
      <formula>60</formula>
      <formula>69</formula>
    </cfRule>
    <cfRule type="cellIs" priority="553" operator="between" dxfId="0">
      <formula>0</formula>
      <formula>59</formula>
    </cfRule>
  </conditionalFormatting>
  <dataValidations count="1">
    <dataValidation sqref="B2:P2" showErrorMessage="1" showInputMessage="1" allowBlank="1" type="list">
      <formula1>$S$6:$S$13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5"/>
  <sheetViews>
    <sheetView tabSelected="1" topLeftCell="A26" zoomScale="70" zoomScaleNormal="70" workbookViewId="0">
      <selection activeCell="B55" sqref="B55:M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85546875" bestFit="1" customWidth="1" min="3" max="3"/>
    <col width="15.85546875" bestFit="1" customWidth="1" min="4" max="4"/>
    <col width="17.7109375" bestFit="1" customWidth="1" min="5" max="5"/>
    <col width="15.28515625" bestFit="1" customWidth="1" min="6" max="6"/>
    <col width="14.85546875" bestFit="1" customWidth="1" min="7" max="7"/>
    <col width="17.7109375" bestFit="1" customWidth="1" min="8" max="8"/>
    <col width="14.85546875" bestFit="1" customWidth="1" min="9" max="9"/>
    <col width="15.28515625" bestFit="1" customWidth="1" min="10" max="13"/>
    <col width="9.28515625" bestFit="1" customWidth="1" min="14" max="14"/>
    <col width="4.28515625" bestFit="1" customWidth="1" min="16" max="16"/>
  </cols>
  <sheetData>
    <row r="1">
      <c r="A1" s="13" t="inlineStr">
        <is>
          <t>Student Number</t>
        </is>
      </c>
      <c r="B1" s="165" t="inlineStr">
        <is>
          <t>CHEM-1520-6</t>
        </is>
      </c>
      <c r="C1" s="167" t="inlineStr">
        <is>
          <t>CENG-3310-5</t>
        </is>
      </c>
      <c r="D1" s="167" t="inlineStr">
        <is>
          <t>EPHY-2200-4</t>
        </is>
      </c>
      <c r="E1" s="167" t="inlineStr">
        <is>
          <t>SENG-3110-2</t>
        </is>
      </c>
      <c r="F1" s="168" t="inlineStr">
        <is>
          <t>COMP-3410-3</t>
        </is>
      </c>
      <c r="G1" s="168" t="inlineStr">
        <is>
          <t>SENG-3210-4</t>
        </is>
      </c>
      <c r="H1" s="168" t="inlineStr">
        <is>
          <t>SENG-4110-7</t>
        </is>
      </c>
      <c r="I1" s="168" t="inlineStr">
        <is>
          <t>SENG-4140-4</t>
        </is>
      </c>
      <c r="J1" s="168" t="inlineStr">
        <is>
          <t>SENG-4220-4</t>
        </is>
      </c>
      <c r="K1" s="168" t="inlineStr">
        <is>
          <t>SENG-4230-5</t>
        </is>
      </c>
      <c r="L1" s="168" t="inlineStr">
        <is>
          <t>SENG-4650-3</t>
        </is>
      </c>
      <c r="M1" s="168" t="inlineStr">
        <is>
          <t>SENG-4650-5</t>
        </is>
      </c>
      <c r="N1" s="34">
        <f>COUNTA(B1:M1)</f>
        <v/>
      </c>
    </row>
    <row r="2" ht="30" customHeight="1">
      <c r="A2" s="16" t="inlineStr">
        <is>
          <t>Assessment
Tool</t>
        </is>
      </c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34">
        <f>COUNTIF(B2:M2, "&lt;&gt;")</f>
        <v/>
      </c>
    </row>
    <row r="3">
      <c r="A3" s="35" t="n">
        <v>1</v>
      </c>
      <c r="B3" s="169" t="n"/>
      <c r="C3" s="169" t="n"/>
      <c r="D3" s="169" t="n"/>
      <c r="E3" s="169" t="n"/>
      <c r="F3" s="169" t="n"/>
      <c r="G3" s="169" t="n"/>
      <c r="H3" s="169" t="n"/>
      <c r="I3" s="169" t="n"/>
      <c r="J3" s="169" t="n"/>
      <c r="K3" s="169" t="n"/>
      <c r="L3" s="169" t="n"/>
      <c r="M3" s="169" t="n"/>
      <c r="N3" s="202" t="n"/>
    </row>
    <row r="4">
      <c r="A4" s="35" t="n">
        <v>2</v>
      </c>
      <c r="B4" s="169" t="n"/>
      <c r="C4" s="169" t="n"/>
      <c r="D4" s="169" t="n"/>
      <c r="E4" s="169" t="n"/>
      <c r="F4" s="169" t="n"/>
      <c r="G4" s="169" t="n"/>
      <c r="H4" s="169" t="n"/>
      <c r="I4" s="169" t="n"/>
      <c r="J4" s="169" t="n"/>
      <c r="K4" s="169" t="n"/>
      <c r="L4" s="169" t="n"/>
      <c r="M4" s="169" t="n"/>
      <c r="N4" s="200" t="n"/>
      <c r="P4" s="120" t="inlineStr">
        <is>
          <t>A</t>
        </is>
      </c>
    </row>
    <row r="5">
      <c r="A5" s="35" t="n">
        <v>3</v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N5" s="200" t="n"/>
      <c r="P5" s="120" t="inlineStr">
        <is>
          <t>Q</t>
        </is>
      </c>
    </row>
    <row r="6">
      <c r="A6" s="35" t="n">
        <v>4</v>
      </c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N6" s="200" t="n"/>
      <c r="P6" s="120" t="inlineStr">
        <is>
          <t>M</t>
        </is>
      </c>
    </row>
    <row r="7">
      <c r="A7" s="35" t="n">
        <v>5</v>
      </c>
      <c r="B7" s="169" t="n"/>
      <c r="C7" s="169" t="n"/>
      <c r="D7" s="169" t="n"/>
      <c r="E7" s="169" t="n"/>
      <c r="F7" s="169" t="n"/>
      <c r="G7" s="169" t="n"/>
      <c r="H7" s="169" t="n"/>
      <c r="I7" s="169" t="n"/>
      <c r="J7" s="169" t="n"/>
      <c r="K7" s="169" t="n"/>
      <c r="L7" s="169" t="n"/>
      <c r="M7" s="169" t="n"/>
      <c r="N7" s="200" t="n"/>
      <c r="P7" s="120" t="inlineStr">
        <is>
          <t>F</t>
        </is>
      </c>
    </row>
    <row r="8">
      <c r="A8" s="35" t="n">
        <v>6</v>
      </c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69" t="n"/>
      <c r="N8" s="200" t="n"/>
      <c r="P8" s="120" t="inlineStr">
        <is>
          <t>P</t>
        </is>
      </c>
    </row>
    <row r="9">
      <c r="A9" s="35" t="n">
        <v>7</v>
      </c>
      <c r="B9" s="169" t="n"/>
      <c r="C9" s="169" t="n"/>
      <c r="D9" s="169" t="n"/>
      <c r="E9" s="169" t="n"/>
      <c r="F9" s="169" t="n"/>
      <c r="G9" s="169" t="n"/>
      <c r="H9" s="169" t="n"/>
      <c r="I9" s="169" t="n"/>
      <c r="J9" s="169" t="n"/>
      <c r="K9" s="169" t="n"/>
      <c r="L9" s="169" t="n"/>
      <c r="M9" s="169" t="n"/>
      <c r="N9" s="200" t="n"/>
      <c r="P9" s="120" t="inlineStr">
        <is>
          <t>L</t>
        </is>
      </c>
    </row>
    <row r="10">
      <c r="A10" s="35" t="n">
        <v>8</v>
      </c>
      <c r="B10" s="169" t="n"/>
      <c r="C10" s="169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200" t="n"/>
      <c r="P10" s="120" t="inlineStr">
        <is>
          <t>OT</t>
        </is>
      </c>
    </row>
    <row r="11">
      <c r="A11" s="35" t="n">
        <v>9</v>
      </c>
      <c r="B11" s="169" t="n"/>
      <c r="C11" s="169" t="n"/>
      <c r="D11" s="169" t="n"/>
      <c r="E11" s="169" t="n"/>
      <c r="F11" s="169" t="n"/>
      <c r="G11" s="169" t="n"/>
      <c r="H11" s="169" t="n"/>
      <c r="I11" s="169" t="n"/>
      <c r="J11" s="169" t="n"/>
      <c r="K11" s="169" t="n"/>
      <c r="L11" s="169" t="n"/>
      <c r="M11" s="169" t="n"/>
      <c r="N11" s="200" t="n"/>
    </row>
    <row r="12">
      <c r="A12" s="35" t="n">
        <v>10</v>
      </c>
      <c r="B12" s="169" t="n"/>
      <c r="C12" s="169" t="n"/>
      <c r="D12" s="169" t="n"/>
      <c r="E12" s="169" t="n"/>
      <c r="F12" s="169" t="n"/>
      <c r="G12" s="169" t="n"/>
      <c r="H12" s="169" t="n"/>
      <c r="I12" s="169" t="n"/>
      <c r="J12" s="169" t="n"/>
      <c r="K12" s="169" t="n"/>
      <c r="L12" s="169" t="n"/>
      <c r="M12" s="169" t="n"/>
      <c r="N12" s="200" t="n"/>
    </row>
    <row r="13">
      <c r="A13" s="35" t="n">
        <v>11</v>
      </c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69" t="n"/>
      <c r="N13" s="200" t="n"/>
    </row>
    <row r="14">
      <c r="A14" s="35" t="n">
        <v>12</v>
      </c>
      <c r="B14" s="169" t="n"/>
      <c r="C14" s="169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200" t="n"/>
    </row>
    <row r="15">
      <c r="A15" s="35" t="n">
        <v>13</v>
      </c>
      <c r="B15" s="169" t="n"/>
      <c r="C15" s="169" t="n"/>
      <c r="D15" s="169" t="n"/>
      <c r="E15" s="169" t="n"/>
      <c r="F15" s="169" t="n"/>
      <c r="G15" s="169" t="n"/>
      <c r="H15" s="169" t="n"/>
      <c r="I15" s="169" t="n"/>
      <c r="J15" s="169" t="n"/>
      <c r="K15" s="169" t="n"/>
      <c r="L15" s="169" t="n"/>
      <c r="M15" s="169" t="n"/>
      <c r="N15" s="200" t="n"/>
    </row>
    <row r="16">
      <c r="A16" s="35" t="n">
        <v>14</v>
      </c>
      <c r="B16" s="169" t="n"/>
      <c r="C16" s="169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200" t="n"/>
    </row>
    <row r="17">
      <c r="A17" s="35" t="n">
        <v>15</v>
      </c>
      <c r="B17" s="169" t="n"/>
      <c r="C17" s="169" t="n"/>
      <c r="D17" s="169" t="n"/>
      <c r="E17" s="169" t="n"/>
      <c r="F17" s="169" t="n"/>
      <c r="G17" s="169" t="n"/>
      <c r="H17" s="169" t="n"/>
      <c r="I17" s="169" t="n"/>
      <c r="J17" s="169" t="n"/>
      <c r="K17" s="169" t="n"/>
      <c r="L17" s="169" t="n"/>
      <c r="M17" s="169" t="n"/>
      <c r="N17" s="200" t="n"/>
    </row>
    <row r="18">
      <c r="A18" s="35" t="n">
        <v>16</v>
      </c>
      <c r="B18" s="169" t="n"/>
      <c r="C18" s="169" t="n"/>
      <c r="D18" s="169" t="n"/>
      <c r="E18" s="169" t="n"/>
      <c r="F18" s="169" t="n"/>
      <c r="G18" s="169" t="n"/>
      <c r="H18" s="169" t="n"/>
      <c r="I18" s="169" t="n"/>
      <c r="J18" s="169" t="n"/>
      <c r="K18" s="169" t="n"/>
      <c r="L18" s="169" t="n"/>
      <c r="M18" s="169" t="n"/>
      <c r="N18" s="200" t="n"/>
    </row>
    <row r="19">
      <c r="A19" s="35" t="n">
        <v>17</v>
      </c>
      <c r="B19" s="169" t="n"/>
      <c r="C19" s="169" t="n"/>
      <c r="D19" s="169" t="n"/>
      <c r="E19" s="169" t="n"/>
      <c r="F19" s="169" t="n"/>
      <c r="G19" s="169" t="n"/>
      <c r="H19" s="169" t="n"/>
      <c r="I19" s="169" t="n"/>
      <c r="J19" s="169" t="n"/>
      <c r="K19" s="169" t="n"/>
      <c r="L19" s="169" t="n"/>
      <c r="M19" s="169" t="n"/>
      <c r="N19" s="200" t="n"/>
    </row>
    <row r="20">
      <c r="A20" s="35" t="n">
        <v>18</v>
      </c>
      <c r="B20" s="169" t="n"/>
      <c r="C20" s="169" t="n"/>
      <c r="D20" s="169" t="n"/>
      <c r="E20" s="169" t="n"/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200" t="n"/>
    </row>
    <row r="21">
      <c r="A21" s="35" t="n">
        <v>19</v>
      </c>
      <c r="B21" s="169" t="n"/>
      <c r="C21" s="169" t="n"/>
      <c r="D21" s="169" t="n"/>
      <c r="E21" s="169" t="n"/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200" t="n"/>
    </row>
    <row r="22" ht="15.75" customHeight="1" thickBot="1">
      <c r="A22" s="35" t="n">
        <v>20</v>
      </c>
      <c r="B22" s="169" t="n"/>
      <c r="C22" s="169" t="n"/>
      <c r="D22" s="169" t="n"/>
      <c r="E22" s="169" t="n"/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201" t="n"/>
    </row>
    <row r="23" ht="15.75" customHeight="1" thickTop="1">
      <c r="A23" s="35" t="n">
        <v>21</v>
      </c>
      <c r="B23" s="170" t="n"/>
      <c r="C23" s="170" t="n"/>
      <c r="D23" s="170" t="n"/>
      <c r="E23" s="170" t="n"/>
      <c r="F23" s="170" t="n"/>
      <c r="G23" s="170" t="n"/>
      <c r="H23" s="170" t="n"/>
      <c r="I23" s="170" t="n"/>
      <c r="J23" s="170" t="n"/>
      <c r="K23" s="170" t="n"/>
      <c r="L23" s="170" t="n"/>
      <c r="M23" s="170" t="n"/>
      <c r="N23" s="191" t="n"/>
    </row>
    <row r="24">
      <c r="A24" s="35" t="n">
        <v>22</v>
      </c>
      <c r="B24" s="170" t="n"/>
      <c r="C24" s="170" t="n"/>
      <c r="D24" s="170" t="n"/>
      <c r="E24" s="170" t="n"/>
      <c r="F24" s="170" t="n"/>
      <c r="G24" s="170" t="n"/>
      <c r="H24" s="170" t="n"/>
      <c r="I24" s="170" t="n"/>
      <c r="J24" s="170" t="n"/>
      <c r="K24" s="170" t="n"/>
      <c r="L24" s="170" t="n"/>
      <c r="M24" s="170" t="n"/>
      <c r="N24" s="191" t="n"/>
    </row>
    <row r="25">
      <c r="A25" s="35" t="n">
        <v>23</v>
      </c>
      <c r="B25" s="170" t="n"/>
      <c r="C25" s="170" t="n"/>
      <c r="D25" s="170" t="n"/>
      <c r="E25" s="170" t="n"/>
      <c r="F25" s="170" t="n"/>
      <c r="G25" s="170" t="n"/>
      <c r="H25" s="170" t="n"/>
      <c r="I25" s="170" t="n"/>
      <c r="J25" s="170" t="n"/>
      <c r="K25" s="170" t="n"/>
      <c r="L25" s="170" t="n"/>
      <c r="M25" s="170" t="n"/>
      <c r="N25" s="191" t="n"/>
    </row>
    <row r="26">
      <c r="A26" s="35" t="n">
        <v>24</v>
      </c>
      <c r="B26" s="170" t="n"/>
      <c r="C26" s="170" t="n"/>
      <c r="D26" s="170" t="n"/>
      <c r="E26" s="170" t="n"/>
      <c r="F26" s="170" t="n"/>
      <c r="G26" s="170" t="n"/>
      <c r="H26" s="170" t="n"/>
      <c r="I26" s="170" t="n"/>
      <c r="J26" s="170" t="n"/>
      <c r="K26" s="170" t="n"/>
      <c r="L26" s="170" t="n"/>
      <c r="M26" s="170" t="n"/>
      <c r="N26" s="191" t="n"/>
    </row>
    <row r="27">
      <c r="A27" s="35" t="n">
        <v>25</v>
      </c>
      <c r="B27" s="170" t="n"/>
      <c r="C27" s="170" t="n"/>
      <c r="D27" s="170" t="n"/>
      <c r="E27" s="170" t="n"/>
      <c r="F27" s="170" t="n"/>
      <c r="G27" s="170" t="n"/>
      <c r="H27" s="170" t="n"/>
      <c r="I27" s="170" t="n"/>
      <c r="J27" s="170" t="n"/>
      <c r="K27" s="170" t="n"/>
      <c r="L27" s="170" t="n"/>
      <c r="M27" s="170" t="n"/>
      <c r="N27" s="191" t="n"/>
    </row>
    <row r="28">
      <c r="A28" s="35" t="n">
        <v>26</v>
      </c>
      <c r="B28" s="170" t="n"/>
      <c r="C28" s="170" t="n"/>
      <c r="D28" s="170" t="n"/>
      <c r="E28" s="170" t="n"/>
      <c r="F28" s="170" t="n"/>
      <c r="G28" s="170" t="n"/>
      <c r="H28" s="170" t="n"/>
      <c r="I28" s="170" t="n"/>
      <c r="J28" s="170" t="n"/>
      <c r="K28" s="170" t="n"/>
      <c r="L28" s="170" t="n"/>
      <c r="M28" s="170" t="n"/>
      <c r="N28" s="191" t="n"/>
    </row>
    <row r="29">
      <c r="A29" s="35" t="n">
        <v>27</v>
      </c>
      <c r="B29" s="170" t="n"/>
      <c r="C29" s="170" t="n"/>
      <c r="D29" s="170" t="n"/>
      <c r="E29" s="170" t="n"/>
      <c r="F29" s="170" t="n"/>
      <c r="G29" s="170" t="n"/>
      <c r="H29" s="170" t="n"/>
      <c r="I29" s="170" t="n"/>
      <c r="J29" s="170" t="n"/>
      <c r="K29" s="170" t="n"/>
      <c r="L29" s="170" t="n"/>
      <c r="M29" s="170" t="n"/>
      <c r="N29" s="191" t="n"/>
    </row>
    <row r="30">
      <c r="A30" s="35" t="n">
        <v>28</v>
      </c>
      <c r="B30" s="170" t="n"/>
      <c r="C30" s="170" t="n"/>
      <c r="D30" s="170" t="n"/>
      <c r="E30" s="170" t="n"/>
      <c r="F30" s="170" t="n"/>
      <c r="G30" s="170" t="n"/>
      <c r="H30" s="170" t="n"/>
      <c r="I30" s="170" t="n"/>
      <c r="J30" s="170" t="n"/>
      <c r="K30" s="170" t="n"/>
      <c r="L30" s="170" t="n"/>
      <c r="M30" s="170" t="n"/>
      <c r="N30" s="191" t="n"/>
    </row>
    <row r="31">
      <c r="A31" s="35" t="n">
        <v>29</v>
      </c>
      <c r="B31" s="170" t="n"/>
      <c r="C31" s="170" t="n"/>
      <c r="D31" s="170" t="n"/>
      <c r="E31" s="170" t="n"/>
      <c r="F31" s="170" t="n"/>
      <c r="G31" s="170" t="n"/>
      <c r="H31" s="170" t="n"/>
      <c r="I31" s="170" t="n"/>
      <c r="J31" s="170" t="n"/>
      <c r="K31" s="170" t="n"/>
      <c r="L31" s="170" t="n"/>
      <c r="M31" s="170" t="n"/>
      <c r="N31" s="191" t="n"/>
    </row>
    <row r="32">
      <c r="A32" s="35" t="n">
        <v>30</v>
      </c>
      <c r="B32" s="170" t="n"/>
      <c r="C32" s="170" t="n"/>
      <c r="D32" s="170" t="n"/>
      <c r="E32" s="170" t="n"/>
      <c r="F32" s="170" t="n"/>
      <c r="G32" s="170" t="n"/>
      <c r="H32" s="170" t="n"/>
      <c r="I32" s="170" t="n"/>
      <c r="J32" s="170" t="n"/>
      <c r="K32" s="170" t="n"/>
      <c r="L32" s="170" t="n"/>
      <c r="M32" s="170" t="n"/>
      <c r="N32" s="191" t="n"/>
    </row>
    <row r="33">
      <c r="A33" s="35" t="n">
        <v>31</v>
      </c>
      <c r="B33" s="170" t="n"/>
      <c r="C33" s="170" t="n"/>
      <c r="D33" s="170" t="n"/>
      <c r="E33" s="170" t="n"/>
      <c r="F33" s="170" t="n"/>
      <c r="G33" s="170" t="n"/>
      <c r="H33" s="170" t="n"/>
      <c r="I33" s="170" t="n"/>
      <c r="J33" s="170" t="n"/>
      <c r="K33" s="170" t="n"/>
      <c r="L33" s="170" t="n"/>
      <c r="M33" s="170" t="n"/>
      <c r="N33" s="191" t="n"/>
    </row>
    <row r="34">
      <c r="A34" s="35" t="n">
        <v>32</v>
      </c>
      <c r="B34" s="170" t="n"/>
      <c r="C34" s="170" t="n"/>
      <c r="D34" s="170" t="n"/>
      <c r="E34" s="170" t="n"/>
      <c r="F34" s="170" t="n"/>
      <c r="G34" s="170" t="n"/>
      <c r="H34" s="170" t="n"/>
      <c r="I34" s="170" t="n"/>
      <c r="J34" s="170" t="n"/>
      <c r="K34" s="170" t="n"/>
      <c r="L34" s="170" t="n"/>
      <c r="M34" s="170" t="n"/>
      <c r="N34" s="191" t="n"/>
    </row>
    <row r="35">
      <c r="A35" s="35" t="n">
        <v>33</v>
      </c>
      <c r="B35" s="170" t="n"/>
      <c r="C35" s="170" t="n"/>
      <c r="D35" s="170" t="n"/>
      <c r="E35" s="170" t="n"/>
      <c r="F35" s="170" t="n"/>
      <c r="G35" s="170" t="n"/>
      <c r="H35" s="170" t="n"/>
      <c r="I35" s="170" t="n"/>
      <c r="J35" s="170" t="n"/>
      <c r="K35" s="170" t="n"/>
      <c r="L35" s="170" t="n"/>
      <c r="M35" s="170" t="n"/>
      <c r="N35" s="191" t="n"/>
    </row>
    <row r="36">
      <c r="A36" s="35" t="n">
        <v>34</v>
      </c>
      <c r="B36" s="170" t="n"/>
      <c r="C36" s="170" t="n"/>
      <c r="D36" s="170" t="n"/>
      <c r="E36" s="170" t="n"/>
      <c r="F36" s="170" t="n"/>
      <c r="G36" s="170" t="n"/>
      <c r="H36" s="170" t="n"/>
      <c r="I36" s="170" t="n"/>
      <c r="J36" s="170" t="n"/>
      <c r="K36" s="170" t="n"/>
      <c r="L36" s="170" t="n"/>
      <c r="M36" s="170" t="n"/>
      <c r="N36" s="191" t="n"/>
    </row>
    <row r="37">
      <c r="A37" s="35" t="n">
        <v>35</v>
      </c>
      <c r="B37" s="170" t="n"/>
      <c r="C37" s="170" t="n"/>
      <c r="D37" s="170" t="n"/>
      <c r="E37" s="170" t="n"/>
      <c r="F37" s="170" t="n"/>
      <c r="G37" s="170" t="n"/>
      <c r="H37" s="170" t="n"/>
      <c r="I37" s="170" t="n"/>
      <c r="J37" s="170" t="n"/>
      <c r="K37" s="170" t="n"/>
      <c r="L37" s="170" t="n"/>
      <c r="M37" s="170" t="n"/>
      <c r="N37" s="191" t="n"/>
    </row>
    <row r="38">
      <c r="A38" s="35" t="n">
        <v>36</v>
      </c>
      <c r="B38" s="170" t="n"/>
      <c r="C38" s="170" t="n"/>
      <c r="D38" s="170" t="n"/>
      <c r="E38" s="170" t="n"/>
      <c r="F38" s="170" t="n"/>
      <c r="G38" s="170" t="n"/>
      <c r="H38" s="170" t="n"/>
      <c r="I38" s="170" t="n"/>
      <c r="J38" s="170" t="n"/>
      <c r="K38" s="170" t="n"/>
      <c r="L38" s="170" t="n"/>
      <c r="M38" s="170" t="n"/>
      <c r="N38" s="191" t="n"/>
    </row>
    <row r="39">
      <c r="A39" s="35" t="n">
        <v>37</v>
      </c>
      <c r="B39" s="170" t="n"/>
      <c r="C39" s="170" t="n"/>
      <c r="D39" s="170" t="n"/>
      <c r="E39" s="170" t="n"/>
      <c r="F39" s="170" t="n"/>
      <c r="G39" s="170" t="n"/>
      <c r="H39" s="170" t="n"/>
      <c r="I39" s="170" t="n"/>
      <c r="J39" s="170" t="n"/>
      <c r="K39" s="170" t="n"/>
      <c r="L39" s="170" t="n"/>
      <c r="M39" s="170" t="n"/>
      <c r="N39" s="191" t="n"/>
    </row>
    <row r="40">
      <c r="A40" s="35" t="n">
        <v>38</v>
      </c>
      <c r="B40" s="170" t="n"/>
      <c r="C40" s="170" t="n"/>
      <c r="D40" s="170" t="n"/>
      <c r="E40" s="170" t="n"/>
      <c r="F40" s="170" t="n"/>
      <c r="G40" s="170" t="n"/>
      <c r="H40" s="170" t="n"/>
      <c r="I40" s="170" t="n"/>
      <c r="J40" s="170" t="n"/>
      <c r="K40" s="170" t="n"/>
      <c r="L40" s="170" t="n"/>
      <c r="M40" s="170" t="n"/>
      <c r="N40" s="191" t="n"/>
    </row>
    <row r="41">
      <c r="A41" s="35" t="n">
        <v>39</v>
      </c>
      <c r="B41" s="170" t="n"/>
      <c r="C41" s="170" t="n"/>
      <c r="D41" s="170" t="n"/>
      <c r="E41" s="170" t="n"/>
      <c r="F41" s="170" t="n"/>
      <c r="G41" s="170" t="n"/>
      <c r="H41" s="170" t="n"/>
      <c r="I41" s="170" t="n"/>
      <c r="J41" s="170" t="n"/>
      <c r="K41" s="170" t="n"/>
      <c r="L41" s="170" t="n"/>
      <c r="M41" s="170" t="n"/>
      <c r="N41" s="191" t="n"/>
    </row>
    <row r="42" ht="15.75" customHeight="1" thickBot="1">
      <c r="A42" s="35" t="n">
        <v>40</v>
      </c>
      <c r="B42" s="170" t="n"/>
      <c r="C42" s="170" t="n"/>
      <c r="D42" s="170" t="n"/>
      <c r="E42" s="170" t="n"/>
      <c r="F42" s="170" t="n"/>
      <c r="G42" s="170" t="n"/>
      <c r="H42" s="170" t="n"/>
      <c r="I42" s="170" t="n"/>
      <c r="J42" s="170" t="n"/>
      <c r="K42" s="170" t="n"/>
      <c r="L42" s="170" t="n"/>
      <c r="M42" s="170" t="n"/>
      <c r="N42" s="191" t="n"/>
    </row>
    <row r="43" ht="15.75" customHeight="1" thickTop="1">
      <c r="A43" s="121" t="inlineStr">
        <is>
          <t>Average</t>
        </is>
      </c>
      <c r="B43" s="171">
        <f>AVERAGE(B3:B42)</f>
        <v/>
      </c>
      <c r="C43" s="171">
        <f>AVERAGE(C3:C42)</f>
        <v/>
      </c>
      <c r="D43" s="171">
        <f>AVERAGE(D3:D42)</f>
        <v/>
      </c>
      <c r="E43" s="171">
        <f>AVERAGE(E3:E42)</f>
        <v/>
      </c>
      <c r="F43" s="171">
        <f>AVERAGE(F3:F42)</f>
        <v/>
      </c>
      <c r="G43" s="171">
        <f>AVERAGE(G3:G42)</f>
        <v/>
      </c>
      <c r="H43" s="171">
        <f>AVERAGE(H3:H42)</f>
        <v/>
      </c>
      <c r="I43" s="171">
        <f>AVERAGE(I3:I42)</f>
        <v/>
      </c>
      <c r="J43" s="171">
        <f>AVERAGE(J3:J42)</f>
        <v/>
      </c>
      <c r="K43" s="171">
        <f>AVERAGE(K3:K42)</f>
        <v/>
      </c>
      <c r="L43" s="171">
        <f>AVERAGE(L3:L42)</f>
        <v/>
      </c>
      <c r="M43" s="171">
        <f>AVERAGE(M3:M42)</f>
        <v/>
      </c>
      <c r="N43" s="39" t="n"/>
    </row>
    <row r="44">
      <c r="A44" s="40" t="inlineStr">
        <is>
          <t>Overall Average</t>
        </is>
      </c>
      <c r="B44" s="172">
        <f>AVERAGEIF(B43:M43, "&lt;&gt;#DIV/0!")</f>
        <v/>
      </c>
      <c r="C44" s="173" t="n"/>
      <c r="D44" s="172" t="n"/>
      <c r="E44" s="172" t="n"/>
      <c r="F44" s="172" t="n"/>
      <c r="G44" s="172" t="n"/>
      <c r="H44" s="172" t="n"/>
      <c r="I44" s="172" t="n"/>
      <c r="J44" s="172" t="n"/>
      <c r="K44" s="172" t="n"/>
      <c r="L44" s="172" t="n"/>
      <c r="M44" s="172" t="n"/>
      <c r="N44" s="36" t="n"/>
    </row>
    <row r="45">
      <c r="A45" s="40" t="inlineStr">
        <is>
          <t>Total Students</t>
        </is>
      </c>
      <c r="B45" s="36">
        <f>COUNTIF(B3:B42, "&lt;&gt;")</f>
        <v/>
      </c>
      <c r="C45" s="36">
        <f>COUNTIF(C3:C42, "&lt;&gt;")</f>
        <v/>
      </c>
      <c r="D45" s="36">
        <f>COUNTIF(D3:D42, "&lt;&gt;")</f>
        <v/>
      </c>
      <c r="E45" s="36">
        <f>COUNTIF(E3:E42, "&lt;&gt;")</f>
        <v/>
      </c>
      <c r="F45" s="36">
        <f>COUNTIF(F3:F42, "&lt;&gt;")</f>
        <v/>
      </c>
      <c r="G45" s="36">
        <f>COUNTIF(G3:G42, "&lt;&gt;")</f>
        <v/>
      </c>
      <c r="H45" s="36">
        <f>COUNTIF(H3:H42, "&lt;&gt;")</f>
        <v/>
      </c>
      <c r="I45" s="36">
        <f>COUNTIF(I3:I42, "&lt;&gt;")</f>
        <v/>
      </c>
      <c r="J45" s="36">
        <f>COUNTIF(J3:J42, "&lt;&gt;")</f>
        <v/>
      </c>
      <c r="K45" s="36">
        <f>COUNTIF(K3:K42, "&lt;&gt;")</f>
        <v/>
      </c>
      <c r="L45" s="36">
        <f>COUNTIF(L3:L42, "&lt;&gt;")</f>
        <v/>
      </c>
      <c r="M45" s="36">
        <f>COUNTIF(M3:M42, "&lt;&gt;")</f>
        <v/>
      </c>
      <c r="N45" s="36" t="n"/>
    </row>
    <row r="46">
      <c r="A46" s="104" t="n"/>
      <c r="B46" s="97" t="n"/>
      <c r="C46" s="97" t="n"/>
      <c r="D46" s="97" t="n"/>
      <c r="E46" s="97" t="n"/>
      <c r="F46" s="97" t="n"/>
      <c r="G46" s="97" t="n"/>
      <c r="H46" s="97" t="n"/>
      <c r="I46" s="97" t="n"/>
      <c r="J46" s="97" t="n"/>
      <c r="K46" s="97" t="n"/>
      <c r="L46" s="97" t="n"/>
      <c r="M46" s="97" t="n"/>
      <c r="N46" s="97" t="n"/>
    </row>
    <row r="47">
      <c r="A47" s="13" t="n"/>
      <c r="B47" s="23" t="inlineStr">
        <is>
          <t>Assignment (A)</t>
        </is>
      </c>
      <c r="C47" s="23" t="inlineStr">
        <is>
          <t>Quiz (Q)</t>
        </is>
      </c>
      <c r="D47" s="23" t="inlineStr">
        <is>
          <t>Mid Term (M)</t>
        </is>
      </c>
      <c r="E47" s="23" t="inlineStr">
        <is>
          <t>Final Exam (F)</t>
        </is>
      </c>
      <c r="F47" s="23" t="inlineStr">
        <is>
          <t>Project (P)</t>
        </is>
      </c>
      <c r="G47" s="23" t="inlineStr">
        <is>
          <t>Lab (L)</t>
        </is>
      </c>
      <c r="H47" s="24" t="inlineStr">
        <is>
          <t>Anyother (OT)</t>
        </is>
      </c>
      <c r="I47" s="24" t="inlineStr">
        <is>
          <t>Total</t>
        </is>
      </c>
      <c r="J47" s="97" t="n"/>
      <c r="K47" s="97" t="n"/>
      <c r="L47" s="97" t="n"/>
      <c r="M47" s="97" t="n"/>
      <c r="N47" s="97" t="n"/>
    </row>
    <row r="48">
      <c r="A48" s="113" t="inlineStr">
        <is>
          <t>I (1st, 2nd yr)</t>
        </is>
      </c>
      <c r="B48" s="17">
        <f>COUNTIF($B$2, "A")</f>
        <v/>
      </c>
      <c r="C48" s="17">
        <f>COUNTIF($B$2, "Q")</f>
        <v/>
      </c>
      <c r="D48" s="17">
        <f>COUNTIF($B$2, "M")</f>
        <v/>
      </c>
      <c r="E48" s="17">
        <f>COUNTIF($B$2, "F")</f>
        <v/>
      </c>
      <c r="F48" s="17">
        <f>COUNTIF($B$2, "P")</f>
        <v/>
      </c>
      <c r="G48" s="17">
        <f>COUNTIF($B$2, "L")</f>
        <v/>
      </c>
      <c r="H48" s="17">
        <f>COUNTIF($B$2, "OT")</f>
        <v/>
      </c>
      <c r="I48" s="13">
        <f>SUM(D48:H48)</f>
        <v/>
      </c>
      <c r="J48" s="97" t="n"/>
      <c r="K48" s="97" t="n"/>
      <c r="L48" s="97" t="n"/>
      <c r="M48" s="97" t="n"/>
      <c r="N48" s="97" t="n"/>
    </row>
    <row r="49">
      <c r="A49" s="114" t="inlineStr">
        <is>
          <t>D (2nd &amp; 3rd yr)</t>
        </is>
      </c>
      <c r="B49" s="17">
        <f>COUNTIF($C$2:$E$2, "A")</f>
        <v/>
      </c>
      <c r="C49" s="17">
        <f>COUNTIF($C$2:$E$2, "Q")</f>
        <v/>
      </c>
      <c r="D49" s="17">
        <f>COUNTIF($C$2:$E$2, "M")</f>
        <v/>
      </c>
      <c r="E49" s="17">
        <f>COUNTIF($C$2:$E$2, "F")</f>
        <v/>
      </c>
      <c r="F49" s="17">
        <f>COUNTIF($C$2:$E$2, "P")</f>
        <v/>
      </c>
      <c r="G49" s="17">
        <f>COUNTIF($C$2:$E$2, "L")</f>
        <v/>
      </c>
      <c r="H49" s="17">
        <f>COUNTIF($C$2:$E$2, "OT")</f>
        <v/>
      </c>
      <c r="I49" s="13">
        <f>SUM(D49:H49)</f>
        <v/>
      </c>
      <c r="J49" s="97" t="n"/>
      <c r="K49" s="97" t="n"/>
      <c r="L49" s="97" t="n"/>
      <c r="M49" s="97" t="n"/>
      <c r="N49" s="97" t="n"/>
    </row>
    <row r="50">
      <c r="A50" s="115" t="inlineStr">
        <is>
          <t>A (3rd, 4yr)</t>
        </is>
      </c>
      <c r="B50" s="17">
        <f>COUNTIF($F$2:$M$2, "A")</f>
        <v/>
      </c>
      <c r="C50" s="17">
        <f>COUNTIF($F$2:$M$2, "Q")</f>
        <v/>
      </c>
      <c r="D50" s="17">
        <f>COUNTIF($F$2:$M$2, "M")</f>
        <v/>
      </c>
      <c r="E50" s="17">
        <f>COUNTIF($F$2:$M$2, "F")</f>
        <v/>
      </c>
      <c r="F50" s="17">
        <f>COUNTIF($F$2:$M$2, "P")</f>
        <v/>
      </c>
      <c r="G50" s="17">
        <f>COUNTIF($F$2:$M$2, "L")</f>
        <v/>
      </c>
      <c r="H50" s="17">
        <f>COUNTIF($F$2:$M$2, "OT")</f>
        <v/>
      </c>
      <c r="I50" s="13">
        <f>SUM(D50:H50)</f>
        <v/>
      </c>
      <c r="J50" s="97" t="n"/>
      <c r="K50" s="97" t="n"/>
      <c r="L50" s="97" t="n"/>
      <c r="M50" s="97" t="n"/>
      <c r="N50" s="97" t="n"/>
    </row>
    <row r="51">
      <c r="A51" s="23" t="inlineStr">
        <is>
          <t>Total</t>
        </is>
      </c>
      <c r="B51" s="13">
        <f>SUM(B48:B50)</f>
        <v/>
      </c>
      <c r="C51" s="13">
        <f>SUM(C48:C50)</f>
        <v/>
      </c>
      <c r="D51" s="13">
        <f>SUM(D48:D50)</f>
        <v/>
      </c>
      <c r="E51" s="13">
        <f>SUM(E48:E50)</f>
        <v/>
      </c>
      <c r="F51" s="13">
        <f>SUM(F48:F50)</f>
        <v/>
      </c>
      <c r="G51" s="13">
        <f>SUM(G48:G50)</f>
        <v/>
      </c>
      <c r="H51" s="13">
        <f>SUM(H48:H50)</f>
        <v/>
      </c>
      <c r="I51" s="13">
        <f>SUM(I48:I50)</f>
        <v/>
      </c>
      <c r="J51" s="97" t="n"/>
      <c r="K51" s="97" t="n"/>
      <c r="L51" s="97" t="n"/>
      <c r="M51" s="97" t="n"/>
      <c r="N51" s="97" t="n"/>
    </row>
    <row r="52">
      <c r="A52" s="104" t="n"/>
      <c r="B52" s="97" t="n"/>
      <c r="C52" s="97" t="n"/>
      <c r="D52" s="97" t="n"/>
      <c r="E52" s="97" t="n"/>
      <c r="F52" s="97" t="n"/>
      <c r="G52" s="97" t="n"/>
      <c r="H52" s="97" t="n"/>
      <c r="I52" s="97" t="n"/>
      <c r="J52" s="97" t="n"/>
      <c r="K52" s="97" t="n"/>
      <c r="L52" s="97" t="n"/>
      <c r="M52" s="97" t="n"/>
      <c r="N52" s="97" t="n"/>
    </row>
    <row r="53" ht="18.75" customHeight="1" thickBot="1">
      <c r="A53" s="99" t="inlineStr">
        <is>
          <t>Frequency Distribution Analysis</t>
        </is>
      </c>
      <c r="B53" s="99" t="n"/>
      <c r="C53" s="99" t="n"/>
      <c r="D53" s="99" t="n"/>
      <c r="E53" s="99" t="n"/>
      <c r="F53" s="99" t="n"/>
      <c r="H53" s="97" t="n"/>
      <c r="I53" s="97" t="n"/>
      <c r="J53" s="97" t="n"/>
      <c r="K53" s="97" t="n"/>
      <c r="L53" s="97" t="n"/>
      <c r="M53" s="97" t="n"/>
    </row>
    <row r="54" ht="16.5" customHeight="1" thickBot="1">
      <c r="A54" s="123" t="inlineStr">
        <is>
          <t>Scale</t>
        </is>
      </c>
      <c r="B54" s="165" t="inlineStr">
        <is>
          <t>CHEM-1520-6</t>
        </is>
      </c>
      <c r="C54" s="167" t="inlineStr">
        <is>
          <t>CENG-3310-5</t>
        </is>
      </c>
      <c r="D54" s="167" t="inlineStr">
        <is>
          <t>EPHY-2200-4</t>
        </is>
      </c>
      <c r="E54" s="167" t="inlineStr">
        <is>
          <t>SENG-3110-2</t>
        </is>
      </c>
      <c r="F54" s="168" t="inlineStr">
        <is>
          <t>COMP-3410-3</t>
        </is>
      </c>
      <c r="G54" s="168" t="inlineStr">
        <is>
          <t>SENG-3210-4</t>
        </is>
      </c>
      <c r="H54" s="168" t="inlineStr">
        <is>
          <t>SENG-4110-7</t>
        </is>
      </c>
      <c r="I54" s="168" t="inlineStr">
        <is>
          <t>SENG-4140-4</t>
        </is>
      </c>
      <c r="J54" s="168" t="inlineStr">
        <is>
          <t>SENG-4220-4</t>
        </is>
      </c>
      <c r="K54" s="168" t="inlineStr">
        <is>
          <t>SENG-4230-5</t>
        </is>
      </c>
      <c r="L54" s="168" t="inlineStr">
        <is>
          <t>SENG-4650-3</t>
        </is>
      </c>
      <c r="M54" s="168" t="inlineStr">
        <is>
          <t>SENG-4650-5</t>
        </is>
      </c>
      <c r="N54" s="44" t="inlineStr">
        <is>
          <t>Average</t>
        </is>
      </c>
    </row>
    <row r="55" ht="16.5" customHeight="1" thickBot="1">
      <c r="A55" s="124" t="inlineStr">
        <is>
          <t>Below Expectation (C- and below)  (%)</t>
        </is>
      </c>
      <c r="B55" s="129">
        <f>(COUNTIF(B3:B42, "&lt;=59%"))/B45</f>
        <v/>
      </c>
      <c r="C55" s="129">
        <f>(COUNTIF(C3:C42, "&lt;=59%"))/C45</f>
        <v/>
      </c>
      <c r="D55" s="129">
        <f>(COUNTIF(D3:D42, "&lt;=59%"))/D45</f>
        <v/>
      </c>
      <c r="E55" s="129">
        <f>(COUNTIF(E3:E42, "&lt;=59%"))/E45</f>
        <v/>
      </c>
      <c r="F55" s="129">
        <f>(COUNTIF(F3:F42, "&lt;=59%"))/F45</f>
        <v/>
      </c>
      <c r="G55" s="129">
        <f>(COUNTIF(G3:G42, "&lt;=59%"))/G45</f>
        <v/>
      </c>
      <c r="H55" s="129">
        <f>(COUNTIF(H3:H42, "&lt;=59%"))/H45</f>
        <v/>
      </c>
      <c r="I55" s="129">
        <f>(COUNTIF(I3:I42, "&lt;=59%"))/I45</f>
        <v/>
      </c>
      <c r="J55" s="129">
        <f>(COUNTIF(J3:J42, "&lt;=59%"))/J45</f>
        <v/>
      </c>
      <c r="K55" s="129">
        <f>(COUNTIF(K3:K42, "&lt;=59%"))/K45</f>
        <v/>
      </c>
      <c r="L55" s="129">
        <f>(COUNTIF(L3:L42, "&lt;=59%"))/L45</f>
        <v/>
      </c>
      <c r="M55" s="129">
        <f>(COUNTIF(M3:M42, "&lt;=59%"))/M45</f>
        <v/>
      </c>
      <c r="N55" s="45">
        <f>AVERAGEIF(B55:M55, "&lt;&gt;#DIV/0!")</f>
        <v/>
      </c>
    </row>
    <row r="56" ht="16.5" customHeight="1" thickBot="1">
      <c r="A56" s="125" t="inlineStr">
        <is>
          <t>Marginal (C+, C)  (%)</t>
        </is>
      </c>
      <c r="B56" s="133">
        <f>(COUNTIFS(B3:B42, "&gt;= 60%", B3:B42, "&lt;=69%" ))/B45</f>
        <v/>
      </c>
      <c r="C56" s="133">
        <f>(COUNTIFS(C3:C42, "&gt;= 60%", C3:C42, "&lt;=69%" ))/C45</f>
        <v/>
      </c>
      <c r="D56" s="133">
        <f>(COUNTIFS(D3:D42, "&gt;= 60%", D3:D42, "&lt;=69%" ))/D45</f>
        <v/>
      </c>
      <c r="E56" s="133">
        <f>(COUNTIFS(E3:E42, "&gt;= 60%", E3:E42, "&lt;=69%" ))/E45</f>
        <v/>
      </c>
      <c r="F56" s="133">
        <f>(COUNTIFS(F3:F42, "&gt;= 60%", F3:F42, "&lt;=69%" ))/F45</f>
        <v/>
      </c>
      <c r="G56" s="133">
        <f>(COUNTIFS(G3:G42, "&gt;= 60%", G3:G42, "&lt;=69%" ))/G45</f>
        <v/>
      </c>
      <c r="H56" s="133">
        <f>(COUNTIFS(H3:H42, "&gt;= 60%", H3:H42, "&lt;=69%" ))/H45</f>
        <v/>
      </c>
      <c r="I56" s="133">
        <f>(COUNTIFS(I3:I42, "&gt;= 60%", I3:I42, "&lt;=69%" ))/I45</f>
        <v/>
      </c>
      <c r="J56" s="133">
        <f>(COUNTIFS(J3:J42, "&gt;= 60%", J3:J42, "&lt;=69%" ))/J45</f>
        <v/>
      </c>
      <c r="K56" s="133">
        <f>(COUNTIFS(K3:K42, "&gt;= 60%", K3:K42, "&lt;=69%" ))/K45</f>
        <v/>
      </c>
      <c r="L56" s="133">
        <f>(COUNTIFS(L3:L42, "&gt;= 60%", L3:L42, "&lt;=69%" ))/L45</f>
        <v/>
      </c>
      <c r="M56" s="133">
        <f>(COUNTIFS(M3:M42, "&gt;= 60%", M3:M42, "&lt;=69%" ))/M45</f>
        <v/>
      </c>
      <c r="N56" s="45">
        <f>AVERAGEIF(B56:M56, "&lt;&gt;#DIV/0!")</f>
        <v/>
      </c>
    </row>
    <row r="57" ht="16.5" customHeight="1" thickBot="1">
      <c r="A57" s="126" t="inlineStr">
        <is>
          <t>Meets Expectation (B+, B, B-) (%)</t>
        </is>
      </c>
      <c r="B57" s="133">
        <f>(COUNTIFS(B3:B42, "&gt;= 70%", B3:B42, "&lt;=79%" ))/B45</f>
        <v/>
      </c>
      <c r="C57" s="133">
        <f>(COUNTIFS(C3:C42, "&gt;= 70%", C3:C42, "&lt;=79%" ))/C45</f>
        <v/>
      </c>
      <c r="D57" s="133">
        <f>(COUNTIFS(D3:D42, "&gt;= 70%", D3:D42, "&lt;=79%" ))/D45</f>
        <v/>
      </c>
      <c r="E57" s="133">
        <f>(COUNTIFS(E3:E42, "&gt;= 70%", E3:E42, "&lt;=79%" ))/E45</f>
        <v/>
      </c>
      <c r="F57" s="133">
        <f>(COUNTIFS(F3:F42, "&gt;= 70%", F3:F42, "&lt;=79%" ))/F45</f>
        <v/>
      </c>
      <c r="G57" s="133">
        <f>(COUNTIFS(G3:G42, "&gt;= 70%", G3:G42, "&lt;=79%" ))/G45</f>
        <v/>
      </c>
      <c r="H57" s="133">
        <f>(COUNTIFS(H3:H42, "&gt;= 70%", H3:H42, "&lt;=79%" ))/H45</f>
        <v/>
      </c>
      <c r="I57" s="133">
        <f>(COUNTIFS(I3:I42, "&gt;= 70%", I3:I42, "&lt;=79%" ))/I45</f>
        <v/>
      </c>
      <c r="J57" s="133">
        <f>(COUNTIFS(J3:J42, "&gt;= 70%", J3:J42, "&lt;=79%" ))/J45</f>
        <v/>
      </c>
      <c r="K57" s="133">
        <f>(COUNTIFS(K3:K42, "&gt;= 70%", K3:K42, "&lt;=79%" ))/K45</f>
        <v/>
      </c>
      <c r="L57" s="133">
        <f>(COUNTIFS(L3:L42, "&gt;= 70%", L3:L42, "&lt;=79%" ))/L45</f>
        <v/>
      </c>
      <c r="M57" s="133">
        <f>(COUNTIFS(M3:M42, "&gt;= 70%", M3:M42, "&lt;=79%" ))/M45</f>
        <v/>
      </c>
      <c r="N57" s="45">
        <f>AVERAGEIF(B57:M57, "&lt;&gt;#DIV/0!")</f>
        <v/>
      </c>
    </row>
    <row r="58" ht="16.5" customHeight="1" thickBot="1">
      <c r="A58" s="127" t="inlineStr">
        <is>
          <t>Exceeds Expectation (A+, A, A-) (%)</t>
        </is>
      </c>
      <c r="B58" s="133">
        <f>(COUNTIF(B3:B42,"&gt;= 80%")/B45)</f>
        <v/>
      </c>
      <c r="C58" s="133">
        <f>(COUNTIF(C3:C42,"&gt;= 80%")/C45)</f>
        <v/>
      </c>
      <c r="D58" s="133">
        <f>(COUNTIF(D3:D42,"&gt;= 80%")/D45)</f>
        <v/>
      </c>
      <c r="E58" s="133">
        <f>(COUNTIF(E3:E42,"&gt;= 80%")/E45)</f>
        <v/>
      </c>
      <c r="F58" s="133">
        <f>(COUNTIF(F3:F42,"&gt;= 80%")/F45)</f>
        <v/>
      </c>
      <c r="G58" s="133">
        <f>(COUNTIF(G3:G42,"&gt;= 80%")/G45)</f>
        <v/>
      </c>
      <c r="H58" s="133">
        <f>(COUNTIF(H3:H42,"&gt;= 80%")/H45)</f>
        <v/>
      </c>
      <c r="I58" s="133">
        <f>(COUNTIF(I3:I42,"&gt;= 80%")/I45)</f>
        <v/>
      </c>
      <c r="J58" s="133">
        <f>(COUNTIF(J3:J42,"&gt;= 80%")/J45)</f>
        <v/>
      </c>
      <c r="K58" s="133">
        <f>(COUNTIF(K3:K42,"&gt;= 80%")/K45)</f>
        <v/>
      </c>
      <c r="L58" s="133">
        <f>(COUNTIF(L3:L42,"&gt;= 80%")/L45)</f>
        <v/>
      </c>
      <c r="M58" s="133">
        <f>(COUNTIF(M3:M42,"&gt;= 80%")/M45)</f>
        <v/>
      </c>
      <c r="N58" s="142">
        <f>AVERAGEIF(B58:M58, "&lt;&gt;#DIV/0!")</f>
        <v/>
      </c>
    </row>
    <row r="59" ht="15.75" customHeight="1" thickBot="1">
      <c r="A59" s="128" t="n"/>
      <c r="B59" s="141">
        <f>SUMIF(B55:B58, "&lt;&gt;#DIV/0!")</f>
        <v/>
      </c>
      <c r="C59" s="140">
        <f>SUMIF(C55:C58, "&lt;&gt;#DIV/0!")</f>
        <v/>
      </c>
      <c r="D59" s="141">
        <f>SUMIF(D55:D58, "&lt;&gt;#DIV/0!")</f>
        <v/>
      </c>
      <c r="E59" s="141">
        <f>SUMIF(E55:E58, "&lt;&gt;#DIV/0!")</f>
        <v/>
      </c>
      <c r="F59" s="141">
        <f>SUMIF(F55:F58, "&lt;&gt;#DIV/0!")</f>
        <v/>
      </c>
      <c r="G59" s="141">
        <f>SUMIF(G55:G58, "&lt;&gt;#DIV/0!")</f>
        <v/>
      </c>
      <c r="H59" s="141">
        <f>SUMIF(H55:H58, "&lt;&gt;#DIV/0!")</f>
        <v/>
      </c>
      <c r="I59" s="141">
        <f>SUMIF(I55:I58, "&lt;&gt;#DIV/0!")</f>
        <v/>
      </c>
      <c r="J59" s="141">
        <f>SUMIF(J55:J58, "&lt;&gt;#DIV/0!")</f>
        <v/>
      </c>
      <c r="K59" s="141">
        <f>SUMIF(K55:K58, "&lt;&gt;#DIV/0!")</f>
        <v/>
      </c>
      <c r="L59" s="141">
        <f>SUMIF(L55:L58, "&lt;&gt;#DIV/0!")</f>
        <v/>
      </c>
      <c r="M59" s="141">
        <f>SUMIF(M55:M58, "&lt;&gt;#DIV/0!")</f>
        <v/>
      </c>
      <c r="N59" s="141">
        <f>SUMIF(N55:N58, "&lt;&gt;#DIV/0!")</f>
        <v/>
      </c>
    </row>
    <row r="60" ht="15.75" customHeight="1" thickBot="1"/>
    <row r="61" ht="15.75" customHeight="1" thickBot="1">
      <c r="A61" s="29" t="n"/>
      <c r="B61" s="46" t="inlineStr">
        <is>
          <t>Bin</t>
        </is>
      </c>
      <c r="C61" s="46" t="inlineStr">
        <is>
          <t>Class Limit</t>
        </is>
      </c>
    </row>
    <row r="62" ht="16.5" customHeight="1" thickBot="1">
      <c r="A62" s="42" t="inlineStr">
        <is>
          <t>Exceeds Expectation (A+, A, A-) (%)</t>
        </is>
      </c>
      <c r="B62" s="47" t="n">
        <v>100</v>
      </c>
      <c r="C62" s="48" t="inlineStr">
        <is>
          <t>80-100</t>
        </is>
      </c>
    </row>
    <row r="63" ht="16.5" customHeight="1" thickBot="1">
      <c r="A63" s="42" t="inlineStr">
        <is>
          <t>Meets Expectation (B+, B, B-) (%)</t>
        </is>
      </c>
      <c r="B63" s="47" t="n">
        <v>79</v>
      </c>
      <c r="C63" s="48" t="inlineStr">
        <is>
          <t>70-79</t>
        </is>
      </c>
    </row>
    <row r="64" ht="16.5" customHeight="1" thickBot="1">
      <c r="A64" s="42" t="inlineStr">
        <is>
          <t>Marginal (C+, C)  (%)</t>
        </is>
      </c>
      <c r="B64" s="47" t="n">
        <v>69</v>
      </c>
      <c r="C64" s="48" t="inlineStr">
        <is>
          <t>60-69</t>
        </is>
      </c>
    </row>
    <row r="65" ht="16.5" customHeight="1" thickBot="1">
      <c r="A65" s="42" t="inlineStr">
        <is>
          <t>Below Expectation (C- and below)  (%)</t>
        </is>
      </c>
      <c r="B65" s="47" t="n">
        <v>59</v>
      </c>
      <c r="C65" s="48" t="inlineStr">
        <is>
          <t>0-59</t>
        </is>
      </c>
    </row>
  </sheetData>
  <mergeCells count="1">
    <mergeCell ref="N3:N22"/>
  </mergeCells>
  <conditionalFormatting sqref="D3:E42 B3:B42 G3:M42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534" operator="greaterThanOrEqual" dxfId="3">
      <formula>80</formula>
    </cfRule>
    <cfRule type="containsBlanks" priority="535" dxfId="4" stopIfTrue="1">
      <formula>LEN(TRIM(B3))=0</formula>
    </cfRule>
    <cfRule type="cellIs" priority="536" operator="greaterThanOrEqual" dxfId="3">
      <formula>80</formula>
    </cfRule>
    <cfRule type="cellIs" priority="537" operator="between" dxfId="2">
      <formula>70</formula>
      <formula>79</formula>
    </cfRule>
    <cfRule type="cellIs" priority="538" operator="between" dxfId="1">
      <formula>60</formula>
      <formula>69</formula>
    </cfRule>
    <cfRule type="cellIs" priority="539" operator="between" dxfId="0">
      <formula>0</formula>
      <formula>59</formula>
    </cfRule>
  </conditionalFormatting>
  <conditionalFormatting sqref="C3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" operator="greaterThanOrEqual" dxfId="3">
      <formula>80</formula>
    </cfRule>
    <cfRule type="containsBlanks" priority="10" dxfId="4" stopIfTrue="1">
      <formula>LEN(TRIM(C3))=0</formula>
    </cfRule>
    <cfRule type="cellIs" priority="11" operator="greaterThanOrEqual" dxfId="3">
      <formula>80</formula>
    </cfRule>
    <cfRule type="cellIs" priority="12" operator="between" dxfId="2">
      <formula>70</formula>
      <formula>79</formula>
    </cfRule>
    <cfRule type="cellIs" priority="13" operator="between" dxfId="1">
      <formula>60</formula>
      <formula>69</formula>
    </cfRule>
    <cfRule type="cellIs" priority="14" operator="between" dxfId="0">
      <formula>0</formula>
      <formula>59</formula>
    </cfRule>
  </conditionalFormatting>
  <conditionalFormatting sqref="F3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greaterThanOrEqual" dxfId="3">
      <formula>80</formula>
    </cfRule>
    <cfRule type="containsBlanks" priority="3" dxfId="4" stopIfTrue="1">
      <formula>LEN(TRIM(F3))=0</formula>
    </cfRule>
    <cfRule type="cellIs" priority="4" operator="greaterThanOrEqual" dxfId="3">
      <formula>80</formula>
    </cfRule>
    <cfRule type="cellIs" priority="5" operator="between" dxfId="2">
      <formula>70</formula>
      <formula>79</formula>
    </cfRule>
    <cfRule type="cellIs" priority="6" operator="between" dxfId="1">
      <formula>60</formula>
      <formula>69</formula>
    </cfRule>
    <cfRule type="cellIs" priority="7" operator="between" dxfId="0">
      <formula>0</formula>
      <formula>59</formula>
    </cfRule>
  </conditionalFormatting>
  <dataValidations count="1">
    <dataValidation sqref="B2:M2" showErrorMessage="1" showInputMessage="1" allowBlank="1" type="list">
      <formula1>$P$4:$P$11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17"/>
  <sheetViews>
    <sheetView zoomScale="80" zoomScaleNormal="80" workbookViewId="0">
      <selection activeCell="O3" sqref="O3"/>
    </sheetView>
  </sheetViews>
  <sheetFormatPr baseColWidth="8" defaultRowHeight="15" outlineLevelCol="0"/>
  <cols>
    <col width="16.140625" bestFit="1" customWidth="1" min="1" max="1"/>
  </cols>
  <sheetData>
    <row r="1" ht="18" customHeight="1">
      <c r="A1" s="193" t="inlineStr">
        <is>
          <t>Investigation (GA-3) Curriculum Map</t>
        </is>
      </c>
      <c r="T1" s="160" t="n"/>
      <c r="U1" s="160" t="n"/>
      <c r="V1" s="160" t="n"/>
      <c r="W1" s="160" t="n"/>
      <c r="X1" s="160" t="n"/>
    </row>
    <row r="2" ht="16.5" customHeight="1" thickBot="1">
      <c r="A2" s="11" t="n"/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</row>
    <row r="3" ht="157.5" customHeight="1" thickBot="1" thickTop="1">
      <c r="A3" s="105" t="inlineStr">
        <is>
          <t>Investigation</t>
        </is>
      </c>
      <c r="B3" s="106" t="inlineStr">
        <is>
          <t>EPHY-1170</t>
        </is>
      </c>
      <c r="C3" s="106" t="inlineStr">
        <is>
          <t>MATH-1130</t>
        </is>
      </c>
      <c r="D3" s="106" t="inlineStr">
        <is>
          <t>EPHY-1270</t>
        </is>
      </c>
      <c r="E3" s="106" t="inlineStr">
        <is>
          <t>EPHY-1700</t>
        </is>
      </c>
      <c r="F3" s="106" t="inlineStr">
        <is>
          <t>EPHY-2200</t>
        </is>
      </c>
      <c r="G3" s="106" t="inlineStr">
        <is>
          <t>STAT-2230</t>
        </is>
      </c>
      <c r="H3" s="106" t="inlineStr">
        <is>
          <t>EPHY-2300</t>
        </is>
      </c>
      <c r="I3" s="106" t="inlineStr">
        <is>
          <t>CHEM-1520</t>
        </is>
      </c>
      <c r="J3" s="106" t="inlineStr">
        <is>
          <t>SENG-3110</t>
        </is>
      </c>
      <c r="K3" s="106" t="inlineStr">
        <is>
          <t>EENG-3010</t>
        </is>
      </c>
      <c r="L3" s="106" t="inlineStr">
        <is>
          <t>CENG-3310</t>
        </is>
      </c>
      <c r="M3" s="106" t="inlineStr">
        <is>
          <t>COMP-3410</t>
        </is>
      </c>
      <c r="N3" s="106" t="inlineStr">
        <is>
          <t>SENG-3210</t>
        </is>
      </c>
      <c r="O3" s="106" t="inlineStr">
        <is>
          <t>SENG-4110</t>
        </is>
      </c>
      <c r="P3" s="106" t="inlineStr">
        <is>
          <t>SENG-4120</t>
        </is>
      </c>
      <c r="Q3" s="106" t="inlineStr">
        <is>
          <t>SENG-4130</t>
        </is>
      </c>
      <c r="R3" s="106" t="inlineStr">
        <is>
          <t>SENG-4230</t>
        </is>
      </c>
      <c r="S3" s="106" t="inlineStr">
        <is>
          <t>SENG-4220</t>
        </is>
      </c>
      <c r="T3" s="106" t="inlineStr">
        <is>
          <t>SENG-4140</t>
        </is>
      </c>
      <c r="U3" s="106" t="inlineStr">
        <is>
          <t>SENG-4620</t>
        </is>
      </c>
      <c r="V3" s="106" t="inlineStr">
        <is>
          <t>SENG-4650</t>
        </is>
      </c>
      <c r="W3" s="106" t="inlineStr">
        <is>
          <t>SENG-4660</t>
        </is>
      </c>
      <c r="X3" s="106" t="inlineStr">
        <is>
          <t>CENG-4320</t>
        </is>
      </c>
    </row>
    <row r="4" ht="17.25" customHeight="1" thickBot="1" thickTop="1">
      <c r="A4" s="5" t="inlineStr">
        <is>
          <t>I</t>
        </is>
      </c>
      <c r="B4" s="6" t="inlineStr">
        <is>
          <t>X</t>
        </is>
      </c>
      <c r="C4" s="6" t="inlineStr">
        <is>
          <t>X</t>
        </is>
      </c>
      <c r="D4" s="6" t="inlineStr">
        <is>
          <t>X</t>
        </is>
      </c>
      <c r="E4" s="6" t="inlineStr">
        <is>
          <t>X</t>
        </is>
      </c>
      <c r="F4" s="2" t="n"/>
      <c r="G4" s="2" t="n"/>
      <c r="H4" s="2" t="n"/>
      <c r="I4" s="6" t="inlineStr">
        <is>
          <t>X</t>
        </is>
      </c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</row>
    <row r="5" ht="17.25" customHeight="1" thickBot="1" thickTop="1">
      <c r="A5" s="5" t="inlineStr">
        <is>
          <t>D</t>
        </is>
      </c>
      <c r="B5" s="2" t="inlineStr">
        <is>
          <t xml:space="preserve"> </t>
        </is>
      </c>
      <c r="C5" s="2" t="n"/>
      <c r="D5" s="11" t="n"/>
      <c r="E5" s="11" t="n"/>
      <c r="F5" s="12" t="inlineStr">
        <is>
          <t>X</t>
        </is>
      </c>
      <c r="G5" s="12" t="inlineStr">
        <is>
          <t>X</t>
        </is>
      </c>
      <c r="H5" s="12" t="inlineStr">
        <is>
          <t>X</t>
        </is>
      </c>
      <c r="I5" s="2" t="n"/>
      <c r="J5" s="12" t="inlineStr">
        <is>
          <t>X</t>
        </is>
      </c>
      <c r="K5" s="12" t="inlineStr">
        <is>
          <t>X</t>
        </is>
      </c>
      <c r="L5" s="12" t="inlineStr">
        <is>
          <t>X</t>
        </is>
      </c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</row>
    <row r="6" ht="17.25" customHeight="1" thickBot="1" thickTop="1">
      <c r="A6" s="5" t="inlineStr">
        <is>
          <t>A</t>
        </is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161" t="inlineStr">
        <is>
          <t>X</t>
        </is>
      </c>
      <c r="N6" s="161" t="inlineStr">
        <is>
          <t>X</t>
        </is>
      </c>
      <c r="O6" s="161" t="inlineStr">
        <is>
          <t>X</t>
        </is>
      </c>
      <c r="P6" s="161" t="inlineStr">
        <is>
          <t>X</t>
        </is>
      </c>
      <c r="Q6" s="161" t="inlineStr">
        <is>
          <t>X</t>
        </is>
      </c>
      <c r="R6" s="161" t="inlineStr">
        <is>
          <t>X</t>
        </is>
      </c>
      <c r="S6" s="161" t="inlineStr">
        <is>
          <t>X</t>
        </is>
      </c>
      <c r="T6" s="161" t="inlineStr">
        <is>
          <t>X</t>
        </is>
      </c>
      <c r="U6" s="161" t="inlineStr">
        <is>
          <t>X</t>
        </is>
      </c>
      <c r="V6" s="161" t="inlineStr">
        <is>
          <t>X</t>
        </is>
      </c>
      <c r="W6" s="161" t="inlineStr">
        <is>
          <t>X</t>
        </is>
      </c>
      <c r="X6" s="161" t="inlineStr">
        <is>
          <t>X</t>
        </is>
      </c>
    </row>
    <row r="7" ht="17.25" customHeight="1" thickBot="1" thickTop="1">
      <c r="A7" s="5" t="inlineStr">
        <is>
          <t>GA Indicators</t>
        </is>
      </c>
      <c r="B7" s="2" t="inlineStr">
        <is>
          <t>bcde</t>
        </is>
      </c>
      <c r="C7" s="2" t="inlineStr">
        <is>
          <t>d</t>
        </is>
      </c>
      <c r="D7" s="2" t="inlineStr">
        <is>
          <t>ace</t>
        </is>
      </c>
      <c r="E7" s="2" t="inlineStr">
        <is>
          <t>a</t>
        </is>
      </c>
      <c r="F7" s="2" t="inlineStr">
        <is>
          <t>cef</t>
        </is>
      </c>
      <c r="G7" s="2" t="inlineStr">
        <is>
          <t>cde</t>
        </is>
      </c>
      <c r="H7" s="2" t="inlineStr">
        <is>
          <t>ce</t>
        </is>
      </c>
      <c r="I7" s="2" t="inlineStr">
        <is>
          <t>acef</t>
        </is>
      </c>
      <c r="J7" s="2" t="inlineStr">
        <is>
          <t>cdef</t>
        </is>
      </c>
      <c r="K7" s="2" t="inlineStr">
        <is>
          <t>abc</t>
        </is>
      </c>
      <c r="L7" s="2" t="inlineStr">
        <is>
          <t>abcf</t>
        </is>
      </c>
      <c r="M7" s="2" t="inlineStr">
        <is>
          <t>f</t>
        </is>
      </c>
      <c r="N7" s="2" t="inlineStr">
        <is>
          <t>acf</t>
        </is>
      </c>
      <c r="O7" s="2" t="inlineStr">
        <is>
          <t>acdef</t>
        </is>
      </c>
      <c r="P7" s="2" t="inlineStr">
        <is>
          <t>ade</t>
        </is>
      </c>
      <c r="Q7" s="2" t="inlineStr">
        <is>
          <t>bcd</t>
        </is>
      </c>
      <c r="R7" s="2" t="inlineStr">
        <is>
          <t>cf</t>
        </is>
      </c>
      <c r="S7" s="2" t="inlineStr">
        <is>
          <t>abf</t>
        </is>
      </c>
      <c r="T7" s="2" t="inlineStr">
        <is>
          <t>acf</t>
        </is>
      </c>
      <c r="U7" s="2" t="inlineStr">
        <is>
          <t>ade</t>
        </is>
      </c>
      <c r="V7" s="2" t="inlineStr">
        <is>
          <t>acdf</t>
        </is>
      </c>
      <c r="W7" s="2" t="inlineStr">
        <is>
          <t>acde</t>
        </is>
      </c>
      <c r="X7" s="2" t="inlineStr">
        <is>
          <t>acde</t>
        </is>
      </c>
    </row>
    <row r="8" ht="15.75" customHeight="1" thickTop="1"/>
    <row r="9" ht="15.75" customHeight="1" thickBot="1"/>
    <row r="10" ht="17.25" customHeight="1" thickBot="1" thickTop="1">
      <c r="A10" s="5" t="inlineStr">
        <is>
          <t>I</t>
        </is>
      </c>
      <c r="B10" s="6" t="inlineStr">
        <is>
          <t>X</t>
        </is>
      </c>
      <c r="C10" s="6" t="inlineStr">
        <is>
          <t>X</t>
        </is>
      </c>
      <c r="D10" s="6" t="inlineStr">
        <is>
          <t>X</t>
        </is>
      </c>
      <c r="E10" s="7" t="inlineStr">
        <is>
          <t>X</t>
        </is>
      </c>
      <c r="F10" s="8" t="inlineStr">
        <is>
          <t>X</t>
        </is>
      </c>
    </row>
    <row r="11" ht="17.25" customHeight="1" thickBot="1" thickTop="1">
      <c r="A11" s="5" t="inlineStr">
        <is>
          <t>GA Indicators</t>
        </is>
      </c>
      <c r="B11" s="2" t="inlineStr">
        <is>
          <t>bcde</t>
        </is>
      </c>
      <c r="C11" s="2" t="inlineStr">
        <is>
          <t>d</t>
        </is>
      </c>
      <c r="D11" s="2" t="inlineStr">
        <is>
          <t>ace</t>
        </is>
      </c>
      <c r="E11" s="9" t="inlineStr">
        <is>
          <t>a</t>
        </is>
      </c>
      <c r="F11" s="10" t="inlineStr">
        <is>
          <t>acef</t>
        </is>
      </c>
    </row>
    <row r="12" ht="17.25" customHeight="1" thickBot="1" thickTop="1">
      <c r="A12" s="11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</row>
    <row r="13" ht="17.25" customHeight="1" thickBot="1" thickTop="1">
      <c r="A13" s="5" t="inlineStr">
        <is>
          <t>D</t>
        </is>
      </c>
      <c r="B13" s="12" t="inlineStr">
        <is>
          <t>X</t>
        </is>
      </c>
      <c r="C13" s="12" t="inlineStr">
        <is>
          <t>X</t>
        </is>
      </c>
      <c r="D13" s="12" t="inlineStr">
        <is>
          <t>X</t>
        </is>
      </c>
      <c r="E13" s="12" t="inlineStr">
        <is>
          <t>X</t>
        </is>
      </c>
      <c r="F13" s="12" t="inlineStr">
        <is>
          <t>X</t>
        </is>
      </c>
      <c r="G13" s="12" t="inlineStr">
        <is>
          <t>X</t>
        </is>
      </c>
      <c r="L13" s="11" t="n"/>
      <c r="M13" s="11" t="n"/>
    </row>
    <row r="14" ht="17.25" customHeight="1" thickBot="1" thickTop="1">
      <c r="A14" s="5" t="inlineStr">
        <is>
          <t>GA Indicators</t>
        </is>
      </c>
      <c r="B14" s="2" t="inlineStr">
        <is>
          <t>cef</t>
        </is>
      </c>
      <c r="C14" s="2" t="inlineStr">
        <is>
          <t>cde</t>
        </is>
      </c>
      <c r="D14" s="2" t="inlineStr">
        <is>
          <t>ce</t>
        </is>
      </c>
      <c r="E14" s="2" t="inlineStr">
        <is>
          <t>cdef</t>
        </is>
      </c>
      <c r="F14" s="2" t="inlineStr">
        <is>
          <t>abc</t>
        </is>
      </c>
      <c r="G14" s="2" t="inlineStr">
        <is>
          <t>abcf</t>
        </is>
      </c>
      <c r="L14" s="11" t="n"/>
      <c r="M14" s="11" t="n"/>
    </row>
    <row r="15" ht="17.25" customHeight="1" thickBot="1" thickTop="1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</row>
    <row r="16" ht="17.25" customHeight="1" thickBot="1" thickTop="1">
      <c r="A16" s="5" t="inlineStr">
        <is>
          <t>A</t>
        </is>
      </c>
      <c r="B16" s="161" t="inlineStr">
        <is>
          <t>X</t>
        </is>
      </c>
      <c r="C16" s="161" t="inlineStr">
        <is>
          <t>X</t>
        </is>
      </c>
      <c r="D16" s="161" t="inlineStr">
        <is>
          <t>X</t>
        </is>
      </c>
      <c r="E16" s="161" t="inlineStr">
        <is>
          <t>X</t>
        </is>
      </c>
      <c r="F16" s="161" t="inlineStr">
        <is>
          <t>X</t>
        </is>
      </c>
      <c r="G16" s="161" t="inlineStr">
        <is>
          <t>X</t>
        </is>
      </c>
      <c r="H16" s="161" t="inlineStr">
        <is>
          <t>X</t>
        </is>
      </c>
      <c r="I16" s="161" t="inlineStr">
        <is>
          <t>X</t>
        </is>
      </c>
      <c r="J16" s="161" t="inlineStr">
        <is>
          <t>X</t>
        </is>
      </c>
      <c r="K16" s="161" t="inlineStr">
        <is>
          <t>X</t>
        </is>
      </c>
      <c r="L16" s="161" t="inlineStr">
        <is>
          <t>X</t>
        </is>
      </c>
      <c r="M16" s="161" t="inlineStr">
        <is>
          <t>X</t>
        </is>
      </c>
    </row>
    <row r="17" ht="17.25" customHeight="1" thickBot="1" thickTop="1">
      <c r="A17" s="5" t="inlineStr">
        <is>
          <t>GA Indicators</t>
        </is>
      </c>
      <c r="B17" s="2" t="inlineStr">
        <is>
          <t>f</t>
        </is>
      </c>
      <c r="C17" s="2" t="inlineStr">
        <is>
          <t>acf</t>
        </is>
      </c>
      <c r="D17" s="2" t="inlineStr">
        <is>
          <t>acdef</t>
        </is>
      </c>
      <c r="E17" s="2" t="inlineStr">
        <is>
          <t>ade</t>
        </is>
      </c>
      <c r="F17" s="2" t="inlineStr">
        <is>
          <t>bcd</t>
        </is>
      </c>
      <c r="G17" s="2" t="inlineStr">
        <is>
          <t>cf</t>
        </is>
      </c>
      <c r="H17" s="2" t="inlineStr">
        <is>
          <t>abf</t>
        </is>
      </c>
      <c r="I17" s="2" t="inlineStr">
        <is>
          <t>acf</t>
        </is>
      </c>
      <c r="J17" s="2" t="inlineStr">
        <is>
          <t>ade</t>
        </is>
      </c>
      <c r="K17" s="2" t="inlineStr">
        <is>
          <t>acdf</t>
        </is>
      </c>
      <c r="L17" s="2" t="inlineStr">
        <is>
          <t>acde</t>
        </is>
      </c>
      <c r="M17" s="2" t="inlineStr">
        <is>
          <t>acde</t>
        </is>
      </c>
    </row>
    <row r="18" ht="15.75" customHeight="1" thickTop="1"/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Fahmed</dc:creator>
  <dcterms:created xsi:type="dcterms:W3CDTF">2021-08-10T23:02:18Z</dcterms:created>
  <dcterms:modified xsi:type="dcterms:W3CDTF">2022-07-21T21:39:24Z</dcterms:modified>
  <cp:lastModifiedBy>varundel</cp:lastModifiedBy>
</cp:coreProperties>
</file>