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O:\Group Share\Engr and Applied Science\Software Engineering\Software Engineering Accreditation Work\Future Visit Data Analysis Work\FALL 2022 - WINTER 2023\Completed Templates 21-22\"/>
    </mc:Choice>
  </mc:AlternateContent>
  <xr:revisionPtr revIDLastSave="0" documentId="13_ncr:1_{46F470B1-4541-47A5-800C-1D08ACF514DB}" xr6:coauthVersionLast="47" xr6:coauthVersionMax="47" xr10:uidLastSave="{00000000-0000-0000-0000-000000000000}"/>
  <bookViews>
    <workbookView xWindow="-25785" yWindow="1380" windowWidth="24390" windowHeight="13335" activeTab="1" xr2:uid="{00000000-000D-0000-FFFF-FFFF00000000}"/>
  </bookViews>
  <sheets>
    <sheet name="Analysis" sheetId="1" r:id="rId1"/>
    <sheet name="4a" sheetId="3" r:id="rId2"/>
    <sheet name="4b" sheetId="4" r:id="rId3"/>
    <sheet name="4c" sheetId="5" r:id="rId4"/>
    <sheet name="4d" sheetId="6" r:id="rId5"/>
    <sheet name="4e" sheetId="7" r:id="rId6"/>
    <sheet name="4f" sheetId="8" r:id="rId7"/>
    <sheet name="4g" sheetId="9" r:id="rId8"/>
    <sheet name="4h" sheetId="10" r:id="rId9"/>
    <sheet name="Indicator Map" sheetId="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3" l="1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B58" i="3"/>
  <c r="B57" i="3"/>
  <c r="B56" i="3"/>
  <c r="B55" i="3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B58" i="4"/>
  <c r="B57" i="4"/>
  <c r="B56" i="4"/>
  <c r="B55" i="4"/>
  <c r="C55" i="5"/>
  <c r="D55" i="5"/>
  <c r="E55" i="5"/>
  <c r="F55" i="5"/>
  <c r="G55" i="5"/>
  <c r="H55" i="5"/>
  <c r="I55" i="5"/>
  <c r="J55" i="5"/>
  <c r="K55" i="5"/>
  <c r="L55" i="5"/>
  <c r="C56" i="5"/>
  <c r="D56" i="5"/>
  <c r="E56" i="5"/>
  <c r="F56" i="5"/>
  <c r="G56" i="5"/>
  <c r="H56" i="5"/>
  <c r="I56" i="5"/>
  <c r="J56" i="5"/>
  <c r="K56" i="5"/>
  <c r="L56" i="5"/>
  <c r="C57" i="5"/>
  <c r="D57" i="5"/>
  <c r="E57" i="5"/>
  <c r="F57" i="5"/>
  <c r="G57" i="5"/>
  <c r="H57" i="5"/>
  <c r="I57" i="5"/>
  <c r="J57" i="5"/>
  <c r="K57" i="5"/>
  <c r="L57" i="5"/>
  <c r="C58" i="5"/>
  <c r="D58" i="5"/>
  <c r="E58" i="5"/>
  <c r="F58" i="5"/>
  <c r="G58" i="5"/>
  <c r="H58" i="5"/>
  <c r="I58" i="5"/>
  <c r="J58" i="5"/>
  <c r="K58" i="5"/>
  <c r="L58" i="5"/>
  <c r="B58" i="5"/>
  <c r="B57" i="5"/>
  <c r="B56" i="5"/>
  <c r="B55" i="5"/>
  <c r="C55" i="6"/>
  <c r="D55" i="6"/>
  <c r="E55" i="6"/>
  <c r="F55" i="6"/>
  <c r="G55" i="6"/>
  <c r="C56" i="6"/>
  <c r="D56" i="6"/>
  <c r="E56" i="6"/>
  <c r="F56" i="6"/>
  <c r="G56" i="6"/>
  <c r="C57" i="6"/>
  <c r="D57" i="6"/>
  <c r="E57" i="6"/>
  <c r="F57" i="6"/>
  <c r="G57" i="6"/>
  <c r="C58" i="6"/>
  <c r="D58" i="6"/>
  <c r="E58" i="6"/>
  <c r="F58" i="6"/>
  <c r="G58" i="6"/>
  <c r="B58" i="6"/>
  <c r="B57" i="6"/>
  <c r="B56" i="6"/>
  <c r="B55" i="6"/>
  <c r="C55" i="7"/>
  <c r="D55" i="7"/>
  <c r="E55" i="7"/>
  <c r="F55" i="7"/>
  <c r="G55" i="7"/>
  <c r="H55" i="7"/>
  <c r="I55" i="7"/>
  <c r="C56" i="7"/>
  <c r="D56" i="7"/>
  <c r="E56" i="7"/>
  <c r="F56" i="7"/>
  <c r="G56" i="7"/>
  <c r="H56" i="7"/>
  <c r="I56" i="7"/>
  <c r="C57" i="7"/>
  <c r="D57" i="7"/>
  <c r="E57" i="7"/>
  <c r="F57" i="7"/>
  <c r="G57" i="7"/>
  <c r="H57" i="7"/>
  <c r="I57" i="7"/>
  <c r="C58" i="7"/>
  <c r="D58" i="7"/>
  <c r="E58" i="7"/>
  <c r="F58" i="7"/>
  <c r="G58" i="7"/>
  <c r="H58" i="7"/>
  <c r="I58" i="7"/>
  <c r="B58" i="7"/>
  <c r="B57" i="7"/>
  <c r="B56" i="7"/>
  <c r="B55" i="7"/>
  <c r="C55" i="8"/>
  <c r="D55" i="8"/>
  <c r="E55" i="8"/>
  <c r="C56" i="8"/>
  <c r="D56" i="8"/>
  <c r="E56" i="8"/>
  <c r="C57" i="8"/>
  <c r="D57" i="8"/>
  <c r="E57" i="8"/>
  <c r="C58" i="8"/>
  <c r="D58" i="8"/>
  <c r="E58" i="8"/>
  <c r="B58" i="8"/>
  <c r="B57" i="8"/>
  <c r="B56" i="8"/>
  <c r="B55" i="8"/>
  <c r="C55" i="9"/>
  <c r="D55" i="9"/>
  <c r="E55" i="9"/>
  <c r="F55" i="9"/>
  <c r="G55" i="9"/>
  <c r="H55" i="9"/>
  <c r="I55" i="9"/>
  <c r="J55" i="9"/>
  <c r="C56" i="9"/>
  <c r="D56" i="9"/>
  <c r="E56" i="9"/>
  <c r="F56" i="9"/>
  <c r="G56" i="9"/>
  <c r="H56" i="9"/>
  <c r="I56" i="9"/>
  <c r="J56" i="9"/>
  <c r="C57" i="9"/>
  <c r="D57" i="9"/>
  <c r="E57" i="9"/>
  <c r="F57" i="9"/>
  <c r="G57" i="9"/>
  <c r="H57" i="9"/>
  <c r="I57" i="9"/>
  <c r="J57" i="9"/>
  <c r="C58" i="9"/>
  <c r="D58" i="9"/>
  <c r="E58" i="9"/>
  <c r="F58" i="9"/>
  <c r="G58" i="9"/>
  <c r="H58" i="9"/>
  <c r="I58" i="9"/>
  <c r="J58" i="9"/>
  <c r="B58" i="9"/>
  <c r="B57" i="9"/>
  <c r="B56" i="9"/>
  <c r="B55" i="9"/>
  <c r="C55" i="10"/>
  <c r="D55" i="10"/>
  <c r="E55" i="10"/>
  <c r="F55" i="10"/>
  <c r="G55" i="10"/>
  <c r="H55" i="10"/>
  <c r="I55" i="10"/>
  <c r="J55" i="10"/>
  <c r="K55" i="10"/>
  <c r="C56" i="10"/>
  <c r="D56" i="10"/>
  <c r="E56" i="10"/>
  <c r="F56" i="10"/>
  <c r="G56" i="10"/>
  <c r="H56" i="10"/>
  <c r="I56" i="10"/>
  <c r="J56" i="10"/>
  <c r="K56" i="10"/>
  <c r="C57" i="10"/>
  <c r="D57" i="10"/>
  <c r="E57" i="10"/>
  <c r="F57" i="10"/>
  <c r="G57" i="10"/>
  <c r="H57" i="10"/>
  <c r="I57" i="10"/>
  <c r="J57" i="10"/>
  <c r="K57" i="10"/>
  <c r="C58" i="10"/>
  <c r="D58" i="10"/>
  <c r="E58" i="10"/>
  <c r="F58" i="10"/>
  <c r="G58" i="10"/>
  <c r="H58" i="10"/>
  <c r="I58" i="10"/>
  <c r="J58" i="10"/>
  <c r="K58" i="10"/>
  <c r="B58" i="10"/>
  <c r="B57" i="10"/>
  <c r="B56" i="10"/>
  <c r="B55" i="10"/>
  <c r="K45" i="10"/>
  <c r="C45" i="10"/>
  <c r="D45" i="10"/>
  <c r="E45" i="10"/>
  <c r="F45" i="10"/>
  <c r="G45" i="10"/>
  <c r="H45" i="10"/>
  <c r="I45" i="10"/>
  <c r="J45" i="10"/>
  <c r="B45" i="10"/>
  <c r="C43" i="10"/>
  <c r="D43" i="10"/>
  <c r="E43" i="10"/>
  <c r="F43" i="10"/>
  <c r="G43" i="10"/>
  <c r="H43" i="10"/>
  <c r="I43" i="10"/>
  <c r="J43" i="10"/>
  <c r="K43" i="10"/>
  <c r="B43" i="10"/>
  <c r="C45" i="9"/>
  <c r="D45" i="9"/>
  <c r="E45" i="9"/>
  <c r="F45" i="9"/>
  <c r="G45" i="9"/>
  <c r="H45" i="9"/>
  <c r="I45" i="9"/>
  <c r="J45" i="9"/>
  <c r="B45" i="9"/>
  <c r="C43" i="9"/>
  <c r="D43" i="9"/>
  <c r="E43" i="9"/>
  <c r="F43" i="9"/>
  <c r="G43" i="9"/>
  <c r="H43" i="9"/>
  <c r="I43" i="9"/>
  <c r="J43" i="9"/>
  <c r="B43" i="9"/>
  <c r="C45" i="8"/>
  <c r="D45" i="8"/>
  <c r="E45" i="8"/>
  <c r="B45" i="8"/>
  <c r="C43" i="8"/>
  <c r="D43" i="8"/>
  <c r="E43" i="8"/>
  <c r="B43" i="8"/>
  <c r="C45" i="7"/>
  <c r="D45" i="7"/>
  <c r="E45" i="7"/>
  <c r="F45" i="7"/>
  <c r="G45" i="7"/>
  <c r="H45" i="7"/>
  <c r="I45" i="7"/>
  <c r="B45" i="7"/>
  <c r="C43" i="7"/>
  <c r="D43" i="7"/>
  <c r="E43" i="7"/>
  <c r="F43" i="7"/>
  <c r="G43" i="7"/>
  <c r="H43" i="7"/>
  <c r="I43" i="7"/>
  <c r="B43" i="7"/>
  <c r="B44" i="6"/>
  <c r="C45" i="6"/>
  <c r="D45" i="6"/>
  <c r="E45" i="6"/>
  <c r="F45" i="6"/>
  <c r="G45" i="6"/>
  <c r="B45" i="6"/>
  <c r="C43" i="6"/>
  <c r="D43" i="6"/>
  <c r="E43" i="6"/>
  <c r="F43" i="6"/>
  <c r="G43" i="6"/>
  <c r="B43" i="6"/>
  <c r="C45" i="5"/>
  <c r="D45" i="5"/>
  <c r="E45" i="5"/>
  <c r="F45" i="5"/>
  <c r="G45" i="5"/>
  <c r="H45" i="5"/>
  <c r="I45" i="5"/>
  <c r="J45" i="5"/>
  <c r="K45" i="5"/>
  <c r="L45" i="5"/>
  <c r="B45" i="5"/>
  <c r="C43" i="5"/>
  <c r="D43" i="5"/>
  <c r="E43" i="5"/>
  <c r="F43" i="5"/>
  <c r="G43" i="5"/>
  <c r="H43" i="5"/>
  <c r="I43" i="5"/>
  <c r="J43" i="5"/>
  <c r="K43" i="5"/>
  <c r="L43" i="5"/>
  <c r="B43" i="5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B45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B43" i="4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B45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B43" i="3"/>
  <c r="B44" i="3" s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K77" i="1"/>
  <c r="K76" i="1"/>
  <c r="K75" i="1"/>
  <c r="K74" i="1"/>
  <c r="K73" i="1"/>
  <c r="K72" i="1"/>
  <c r="K70" i="1"/>
  <c r="K71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M37" i="1"/>
  <c r="L37" i="1"/>
  <c r="K37" i="1"/>
  <c r="J37" i="1"/>
  <c r="M38" i="1"/>
  <c r="L38" i="1"/>
  <c r="K38" i="1"/>
  <c r="J38" i="1"/>
  <c r="I38" i="1"/>
  <c r="I37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H37" i="1"/>
  <c r="G37" i="1"/>
  <c r="F37" i="1"/>
  <c r="M36" i="1"/>
  <c r="L36" i="1"/>
  <c r="K36" i="1"/>
  <c r="J36" i="1"/>
  <c r="I36" i="1"/>
  <c r="H36" i="1"/>
  <c r="G36" i="1"/>
  <c r="F36" i="1"/>
  <c r="M35" i="1"/>
  <c r="L35" i="1"/>
  <c r="K35" i="1"/>
  <c r="J35" i="1"/>
  <c r="I35" i="1"/>
  <c r="H35" i="1"/>
  <c r="G35" i="1"/>
  <c r="F35" i="1"/>
  <c r="M34" i="1"/>
  <c r="L34" i="1"/>
  <c r="K34" i="1"/>
  <c r="J34" i="1"/>
  <c r="I34" i="1"/>
  <c r="H34" i="1"/>
  <c r="G34" i="1"/>
  <c r="F34" i="1"/>
  <c r="M33" i="1"/>
  <c r="L33" i="1"/>
  <c r="K33" i="1"/>
  <c r="J33" i="1"/>
  <c r="I33" i="1"/>
  <c r="H33" i="1"/>
  <c r="G33" i="1"/>
  <c r="F33" i="1"/>
  <c r="M32" i="1"/>
  <c r="L32" i="1"/>
  <c r="K32" i="1"/>
  <c r="J32" i="1"/>
  <c r="I32" i="1"/>
  <c r="H32" i="1"/>
  <c r="G32" i="1"/>
  <c r="F32" i="1"/>
  <c r="M31" i="1"/>
  <c r="L31" i="1"/>
  <c r="K31" i="1"/>
  <c r="J31" i="1"/>
  <c r="I31" i="1"/>
  <c r="H31" i="1"/>
  <c r="G31" i="1"/>
  <c r="F31" i="1"/>
  <c r="M30" i="1"/>
  <c r="L30" i="1"/>
  <c r="K30" i="1"/>
  <c r="J30" i="1"/>
  <c r="I30" i="1"/>
  <c r="H30" i="1"/>
  <c r="G30" i="1"/>
  <c r="F30" i="1"/>
  <c r="M29" i="1"/>
  <c r="L29" i="1"/>
  <c r="K29" i="1"/>
  <c r="J29" i="1"/>
  <c r="I29" i="1"/>
  <c r="H29" i="1"/>
  <c r="G29" i="1"/>
  <c r="F29" i="1"/>
  <c r="H1" i="6"/>
  <c r="M1" i="5"/>
  <c r="L2" i="10"/>
  <c r="K2" i="9"/>
  <c r="F2" i="8"/>
  <c r="J2" i="7"/>
  <c r="H2" i="6"/>
  <c r="M2" i="5"/>
  <c r="R2" i="4"/>
  <c r="Q2" i="3"/>
  <c r="L1" i="10"/>
  <c r="K1" i="9"/>
  <c r="F1" i="8"/>
  <c r="J1" i="7"/>
  <c r="N8" i="1"/>
  <c r="N7" i="1"/>
  <c r="N6" i="1"/>
  <c r="B48" i="4"/>
  <c r="B48" i="3"/>
  <c r="N34" i="1" l="1"/>
  <c r="N33" i="1"/>
  <c r="D78" i="1"/>
  <c r="D74" i="1"/>
  <c r="D70" i="1"/>
  <c r="D64" i="1"/>
  <c r="D62" i="1"/>
  <c r="D61" i="1"/>
  <c r="D47" i="1"/>
  <c r="D46" i="1"/>
  <c r="D45" i="1"/>
  <c r="D44" i="1"/>
  <c r="D43" i="1"/>
  <c r="D42" i="1"/>
  <c r="D41" i="1"/>
  <c r="D40" i="1"/>
  <c r="D36" i="1"/>
  <c r="D32" i="1"/>
  <c r="N74" i="1" l="1"/>
  <c r="N70" i="1"/>
  <c r="N64" i="1"/>
  <c r="N62" i="1"/>
  <c r="N61" i="1"/>
  <c r="N47" i="1"/>
  <c r="N46" i="1"/>
  <c r="N45" i="1"/>
  <c r="N44" i="1"/>
  <c r="N43" i="1"/>
  <c r="N42" i="1"/>
  <c r="N41" i="1"/>
  <c r="N40" i="1"/>
  <c r="N36" i="1"/>
  <c r="N32" i="1"/>
  <c r="D29" i="1" l="1"/>
  <c r="I49" i="10"/>
  <c r="H50" i="10"/>
  <c r="G50" i="10"/>
  <c r="F50" i="10"/>
  <c r="E50" i="10"/>
  <c r="D50" i="10"/>
  <c r="C50" i="10"/>
  <c r="B50" i="10"/>
  <c r="H48" i="10"/>
  <c r="G48" i="10"/>
  <c r="F48" i="10"/>
  <c r="E48" i="10"/>
  <c r="D48" i="10"/>
  <c r="C48" i="10"/>
  <c r="B48" i="10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H48" i="9"/>
  <c r="G48" i="9"/>
  <c r="F48" i="9"/>
  <c r="E48" i="9"/>
  <c r="D48" i="9"/>
  <c r="C48" i="9"/>
  <c r="B48" i="9"/>
  <c r="H50" i="8"/>
  <c r="G50" i="8"/>
  <c r="F50" i="8"/>
  <c r="E50" i="8"/>
  <c r="D50" i="8"/>
  <c r="C50" i="8"/>
  <c r="B50" i="8"/>
  <c r="I50" i="8" s="1"/>
  <c r="H49" i="8"/>
  <c r="G49" i="8"/>
  <c r="F49" i="8"/>
  <c r="E49" i="8"/>
  <c r="D49" i="8"/>
  <c r="C49" i="8"/>
  <c r="B49" i="8"/>
  <c r="H48" i="8"/>
  <c r="G48" i="8"/>
  <c r="F48" i="8"/>
  <c r="E48" i="8"/>
  <c r="D48" i="8"/>
  <c r="I48" i="8" s="1"/>
  <c r="C48" i="8"/>
  <c r="B48" i="8"/>
  <c r="H50" i="7"/>
  <c r="G50" i="7"/>
  <c r="F50" i="7"/>
  <c r="E50" i="7"/>
  <c r="D50" i="7"/>
  <c r="C50" i="7"/>
  <c r="B50" i="7"/>
  <c r="H49" i="7"/>
  <c r="G49" i="7"/>
  <c r="F49" i="7"/>
  <c r="E49" i="7"/>
  <c r="D49" i="7"/>
  <c r="C49" i="7"/>
  <c r="B49" i="7"/>
  <c r="H48" i="7"/>
  <c r="G48" i="7"/>
  <c r="F48" i="7"/>
  <c r="E48" i="7"/>
  <c r="D48" i="7"/>
  <c r="C48" i="7"/>
  <c r="B48" i="7"/>
  <c r="I48" i="10" l="1"/>
  <c r="I50" i="10"/>
  <c r="I48" i="9"/>
  <c r="I50" i="9"/>
  <c r="I49" i="9"/>
  <c r="I49" i="8"/>
  <c r="I48" i="7"/>
  <c r="H50" i="6"/>
  <c r="G50" i="6"/>
  <c r="F50" i="6"/>
  <c r="E50" i="6"/>
  <c r="D50" i="6"/>
  <c r="C50" i="6"/>
  <c r="B50" i="6"/>
  <c r="H49" i="6"/>
  <c r="G49" i="6"/>
  <c r="F49" i="6"/>
  <c r="E49" i="6"/>
  <c r="D49" i="6"/>
  <c r="C49" i="6"/>
  <c r="B49" i="6"/>
  <c r="H48" i="6"/>
  <c r="G48" i="6"/>
  <c r="F48" i="6"/>
  <c r="E48" i="6"/>
  <c r="D48" i="6"/>
  <c r="C48" i="6"/>
  <c r="B48" i="6"/>
  <c r="H50" i="5"/>
  <c r="G50" i="5"/>
  <c r="F50" i="5"/>
  <c r="E50" i="5"/>
  <c r="D50" i="5"/>
  <c r="C50" i="5"/>
  <c r="B50" i="5"/>
  <c r="H49" i="5"/>
  <c r="G49" i="5"/>
  <c r="F49" i="5"/>
  <c r="E49" i="5"/>
  <c r="D49" i="5"/>
  <c r="C49" i="5"/>
  <c r="B49" i="5"/>
  <c r="H48" i="5"/>
  <c r="G48" i="5"/>
  <c r="F48" i="5"/>
  <c r="E48" i="5"/>
  <c r="D48" i="5"/>
  <c r="C48" i="5"/>
  <c r="B48" i="5"/>
  <c r="H50" i="4"/>
  <c r="G50" i="4"/>
  <c r="F50" i="4"/>
  <c r="E50" i="4"/>
  <c r="D50" i="4"/>
  <c r="C50" i="4"/>
  <c r="B50" i="4"/>
  <c r="H49" i="4"/>
  <c r="G49" i="4"/>
  <c r="F49" i="4"/>
  <c r="E49" i="4"/>
  <c r="D49" i="4"/>
  <c r="C49" i="4"/>
  <c r="B49" i="4"/>
  <c r="I49" i="4" s="1"/>
  <c r="H48" i="4"/>
  <c r="G48" i="4"/>
  <c r="F48" i="4"/>
  <c r="E48" i="4"/>
  <c r="D48" i="4"/>
  <c r="C48" i="4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I49" i="3" l="1"/>
  <c r="I48" i="6"/>
  <c r="I48" i="5"/>
  <c r="I48" i="3"/>
  <c r="I50" i="3"/>
  <c r="I48" i="4"/>
  <c r="I50" i="4"/>
  <c r="N9" i="1"/>
  <c r="M78" i="1" l="1"/>
  <c r="M5" i="1"/>
  <c r="L78" i="1"/>
  <c r="L5" i="1"/>
  <c r="I78" i="1"/>
  <c r="I5" i="1"/>
  <c r="G5" i="1"/>
  <c r="G78" i="1"/>
  <c r="N29" i="1"/>
  <c r="O59" i="4"/>
  <c r="P59" i="4"/>
  <c r="Q59" i="4" l="1"/>
  <c r="N59" i="4"/>
  <c r="J59" i="4"/>
  <c r="K59" i="4"/>
  <c r="G51" i="10"/>
  <c r="F51" i="10"/>
  <c r="C51" i="10"/>
  <c r="B51" i="10"/>
  <c r="G51" i="9"/>
  <c r="F51" i="9"/>
  <c r="C51" i="9"/>
  <c r="B51" i="9"/>
  <c r="M9" i="1"/>
  <c r="L9" i="1"/>
  <c r="M8" i="1"/>
  <c r="L8" i="1"/>
  <c r="M7" i="1"/>
  <c r="L7" i="1"/>
  <c r="M6" i="1"/>
  <c r="L6" i="1"/>
  <c r="K6" i="1"/>
  <c r="J6" i="1"/>
  <c r="I6" i="1"/>
  <c r="H6" i="1"/>
  <c r="G6" i="1"/>
  <c r="F6" i="1"/>
  <c r="M59" i="4" l="1"/>
  <c r="L59" i="4"/>
  <c r="B44" i="10"/>
  <c r="M16" i="1" s="1"/>
  <c r="B44" i="9"/>
  <c r="L16" i="1" s="1"/>
  <c r="I59" i="4"/>
  <c r="H59" i="4"/>
  <c r="H51" i="10"/>
  <c r="E51" i="10"/>
  <c r="H51" i="9"/>
  <c r="E51" i="9"/>
  <c r="D51" i="10"/>
  <c r="G59" i="10"/>
  <c r="D51" i="9"/>
  <c r="I59" i="9"/>
  <c r="C59" i="9"/>
  <c r="G59" i="9"/>
  <c r="K58" i="9" l="1"/>
  <c r="L14" i="1" s="1"/>
  <c r="C59" i="10"/>
  <c r="J59" i="10"/>
  <c r="I59" i="10"/>
  <c r="F59" i="10"/>
  <c r="L56" i="10"/>
  <c r="M12" i="1" s="1"/>
  <c r="I51" i="10"/>
  <c r="M21" i="1" s="1"/>
  <c r="L58" i="10"/>
  <c r="M14" i="1" s="1"/>
  <c r="H59" i="10"/>
  <c r="J59" i="9"/>
  <c r="K56" i="9"/>
  <c r="L12" i="1" s="1"/>
  <c r="F59" i="9"/>
  <c r="H59" i="9"/>
  <c r="I51" i="9"/>
  <c r="L24" i="1" s="1"/>
  <c r="B59" i="9"/>
  <c r="E59" i="10"/>
  <c r="D59" i="10"/>
  <c r="L55" i="10"/>
  <c r="K59" i="10"/>
  <c r="L57" i="10"/>
  <c r="M13" i="1" s="1"/>
  <c r="B59" i="10"/>
  <c r="E59" i="9"/>
  <c r="D59" i="9"/>
  <c r="K55" i="9"/>
  <c r="K57" i="9"/>
  <c r="L13" i="1" s="1"/>
  <c r="L15" i="1" s="1"/>
  <c r="M22" i="1" l="1"/>
  <c r="M19" i="1"/>
  <c r="M23" i="1"/>
  <c r="M18" i="1"/>
  <c r="M20" i="1"/>
  <c r="M24" i="1"/>
  <c r="K59" i="9"/>
  <c r="L11" i="1"/>
  <c r="L19" i="1"/>
  <c r="L18" i="1"/>
  <c r="L22" i="1"/>
  <c r="L23" i="1"/>
  <c r="L21" i="1"/>
  <c r="L20" i="1"/>
  <c r="M15" i="1"/>
  <c r="L59" i="10"/>
  <c r="M11" i="1"/>
  <c r="D65" i="1"/>
  <c r="D63" i="1"/>
  <c r="N63" i="1" l="1"/>
  <c r="N65" i="1"/>
  <c r="K7" i="1"/>
  <c r="N76" i="1"/>
  <c r="N72" i="1"/>
  <c r="N71" i="1"/>
  <c r="N67" i="1"/>
  <c r="N66" i="1"/>
  <c r="N59" i="1"/>
  <c r="N58" i="1"/>
  <c r="N55" i="1"/>
  <c r="N54" i="1"/>
  <c r="N51" i="1"/>
  <c r="N50" i="1"/>
  <c r="I59" i="5" l="1"/>
  <c r="N53" i="1"/>
  <c r="N57" i="1"/>
  <c r="N77" i="1"/>
  <c r="N68" i="1"/>
  <c r="N75" i="1"/>
  <c r="J78" i="1"/>
  <c r="J5" i="1"/>
  <c r="N52" i="1"/>
  <c r="N56" i="1"/>
  <c r="N60" i="1"/>
  <c r="N69" i="1"/>
  <c r="N73" i="1"/>
  <c r="H78" i="1"/>
  <c r="H5" i="1"/>
  <c r="F5" i="1"/>
  <c r="F78" i="1"/>
  <c r="B44" i="5"/>
  <c r="H16" i="1" s="1"/>
  <c r="K59" i="5"/>
  <c r="B51" i="8"/>
  <c r="L59" i="5" l="1"/>
  <c r="D59" i="5"/>
  <c r="E59" i="5"/>
  <c r="E59" i="6"/>
  <c r="J59" i="5"/>
  <c r="C59" i="8"/>
  <c r="D34" i="1" l="1"/>
  <c r="N49" i="1"/>
  <c r="N48" i="1"/>
  <c r="N39" i="1"/>
  <c r="N38" i="1"/>
  <c r="N37" i="1"/>
  <c r="N35" i="1"/>
  <c r="C59" i="5" l="1"/>
  <c r="R58" i="4"/>
  <c r="N31" i="1"/>
  <c r="H51" i="8"/>
  <c r="G51" i="8"/>
  <c r="F51" i="8"/>
  <c r="E51" i="8"/>
  <c r="D51" i="8"/>
  <c r="I50" i="7"/>
  <c r="F55" i="8" l="1"/>
  <c r="R55" i="4"/>
  <c r="H56" i="6"/>
  <c r="B44" i="8"/>
  <c r="K16" i="1" s="1"/>
  <c r="J55" i="7"/>
  <c r="H55" i="6"/>
  <c r="H57" i="6"/>
  <c r="I16" i="1"/>
  <c r="H58" i="6"/>
  <c r="R57" i="4"/>
  <c r="R56" i="4"/>
  <c r="R59" i="4" s="1"/>
  <c r="B59" i="5"/>
  <c r="G59" i="5"/>
  <c r="F59" i="5"/>
  <c r="H59" i="5"/>
  <c r="M56" i="5"/>
  <c r="M58" i="5"/>
  <c r="M57" i="5"/>
  <c r="M55" i="5"/>
  <c r="B59" i="3"/>
  <c r="F56" i="8"/>
  <c r="B59" i="8"/>
  <c r="F57" i="8"/>
  <c r="F58" i="8"/>
  <c r="E59" i="8"/>
  <c r="D59" i="8"/>
  <c r="D59" i="7"/>
  <c r="H59" i="7"/>
  <c r="J58" i="7"/>
  <c r="G59" i="7"/>
  <c r="G59" i="4"/>
  <c r="C59" i="6"/>
  <c r="C59" i="4"/>
  <c r="E59" i="4"/>
  <c r="F16" i="1"/>
  <c r="E59" i="7"/>
  <c r="F59" i="6"/>
  <c r="G59" i="6"/>
  <c r="D59" i="4"/>
  <c r="I59" i="7"/>
  <c r="F59" i="7"/>
  <c r="C59" i="7"/>
  <c r="J57" i="7"/>
  <c r="D59" i="6"/>
  <c r="B59" i="6"/>
  <c r="B59" i="4"/>
  <c r="F59" i="4"/>
  <c r="I49" i="6"/>
  <c r="C51" i="7"/>
  <c r="G51" i="7"/>
  <c r="F51" i="7"/>
  <c r="B51" i="7"/>
  <c r="D51" i="7"/>
  <c r="H51" i="7"/>
  <c r="E51" i="7"/>
  <c r="I49" i="7"/>
  <c r="Q58" i="3" l="1"/>
  <c r="Q55" i="3"/>
  <c r="Q56" i="3"/>
  <c r="Q57" i="3"/>
  <c r="F59" i="8"/>
  <c r="H59" i="3"/>
  <c r="P59" i="3"/>
  <c r="O59" i="3"/>
  <c r="L59" i="3"/>
  <c r="C59" i="3"/>
  <c r="M59" i="3"/>
  <c r="K59" i="3"/>
  <c r="G59" i="3"/>
  <c r="E59" i="3"/>
  <c r="J59" i="3"/>
  <c r="D59" i="3"/>
  <c r="F59" i="3"/>
  <c r="I59" i="3"/>
  <c r="N59" i="3"/>
  <c r="I51" i="7"/>
  <c r="J23" i="1" s="1"/>
  <c r="Q59" i="3" l="1"/>
  <c r="J18" i="1"/>
  <c r="J21" i="1"/>
  <c r="J19" i="1"/>
  <c r="J24" i="1"/>
  <c r="J20" i="1"/>
  <c r="J22" i="1"/>
  <c r="K12" i="1" l="1"/>
  <c r="K13" i="1"/>
  <c r="K14" i="1"/>
  <c r="K11" i="1"/>
  <c r="J13" i="1"/>
  <c r="J14" i="1"/>
  <c r="J11" i="1"/>
  <c r="B44" i="7"/>
  <c r="H12" i="1"/>
  <c r="H13" i="1"/>
  <c r="H14" i="1"/>
  <c r="H11" i="1"/>
  <c r="I50" i="5"/>
  <c r="I49" i="5"/>
  <c r="H51" i="5"/>
  <c r="G51" i="5"/>
  <c r="F51" i="5"/>
  <c r="E51" i="5"/>
  <c r="D51" i="5"/>
  <c r="C51" i="5"/>
  <c r="K5" i="1" l="1"/>
  <c r="N5" i="1" s="1"/>
  <c r="K78" i="1"/>
  <c r="N30" i="1"/>
  <c r="N78" i="1" s="1"/>
  <c r="C51" i="8"/>
  <c r="I51" i="8"/>
  <c r="K18" i="1" s="1"/>
  <c r="J56" i="7"/>
  <c r="J16" i="1"/>
  <c r="I51" i="5"/>
  <c r="H20" i="1" s="1"/>
  <c r="B51" i="5"/>
  <c r="K19" i="1" l="1"/>
  <c r="J12" i="1"/>
  <c r="J59" i="7"/>
  <c r="K24" i="1"/>
  <c r="K21" i="1"/>
  <c r="K20" i="1"/>
  <c r="K23" i="1"/>
  <c r="K22" i="1"/>
  <c r="B59" i="7"/>
  <c r="H23" i="1"/>
  <c r="H19" i="1"/>
  <c r="H21" i="1"/>
  <c r="H18" i="1"/>
  <c r="H22" i="1"/>
  <c r="H24" i="1"/>
  <c r="D77" i="1" l="1"/>
  <c r="D76" i="1"/>
  <c r="D75" i="1"/>
  <c r="D73" i="1"/>
  <c r="D72" i="1"/>
  <c r="D71" i="1"/>
  <c r="D68" i="1"/>
  <c r="D69" i="1"/>
  <c r="D67" i="1"/>
  <c r="D66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39" i="1"/>
  <c r="D38" i="1"/>
  <c r="D37" i="1"/>
  <c r="D35" i="1"/>
  <c r="D33" i="1"/>
  <c r="D31" i="1"/>
  <c r="D30" i="1"/>
  <c r="F12" i="1"/>
  <c r="K15" i="1"/>
  <c r="J15" i="1"/>
  <c r="H15" i="1"/>
  <c r="H51" i="4"/>
  <c r="G51" i="4"/>
  <c r="F51" i="4"/>
  <c r="E51" i="4"/>
  <c r="D51" i="4"/>
  <c r="C51" i="4"/>
  <c r="B51" i="4"/>
  <c r="B44" i="4"/>
  <c r="R1" i="4"/>
  <c r="F13" i="1"/>
  <c r="F14" i="1"/>
  <c r="Q1" i="3"/>
  <c r="K9" i="1"/>
  <c r="J9" i="1"/>
  <c r="I9" i="1"/>
  <c r="H9" i="1"/>
  <c r="G9" i="1"/>
  <c r="K8" i="1"/>
  <c r="J8" i="1"/>
  <c r="I8" i="1"/>
  <c r="H8" i="1"/>
  <c r="G8" i="1"/>
  <c r="J7" i="1"/>
  <c r="I7" i="1"/>
  <c r="H7" i="1"/>
  <c r="G7" i="1"/>
  <c r="F9" i="1"/>
  <c r="F8" i="1"/>
  <c r="F7" i="1"/>
  <c r="G16" i="1" l="1"/>
  <c r="N16" i="1" s="1"/>
  <c r="I51" i="4"/>
  <c r="G24" i="1" s="1"/>
  <c r="F15" i="1"/>
  <c r="B51" i="3"/>
  <c r="F51" i="3"/>
  <c r="C51" i="3"/>
  <c r="G51" i="3"/>
  <c r="E51" i="3"/>
  <c r="D51" i="3"/>
  <c r="F11" i="1" s="1"/>
  <c r="H51" i="3"/>
  <c r="G23" i="1" l="1"/>
  <c r="G19" i="1"/>
  <c r="G22" i="1"/>
  <c r="G21" i="1"/>
  <c r="G18" i="1"/>
  <c r="G20" i="1"/>
  <c r="I51" i="3"/>
  <c r="F24" i="1" s="1"/>
  <c r="F19" i="1" l="1"/>
  <c r="F21" i="1"/>
  <c r="F23" i="1"/>
  <c r="F18" i="1"/>
  <c r="F22" i="1"/>
  <c r="F20" i="1"/>
  <c r="G11" i="1" l="1"/>
  <c r="G14" i="1"/>
  <c r="G12" i="1"/>
  <c r="G13" i="1"/>
  <c r="G15" i="1" l="1"/>
  <c r="I11" i="1"/>
  <c r="N11" i="1" s="1"/>
  <c r="I12" i="1"/>
  <c r="N12" i="1" s="1"/>
  <c r="I13" i="1"/>
  <c r="I14" i="1"/>
  <c r="N14" i="1" s="1"/>
  <c r="H59" i="6"/>
  <c r="I15" i="1" l="1"/>
  <c r="N15" i="1" s="1"/>
  <c r="N13" i="1"/>
  <c r="B51" i="6"/>
  <c r="F51" i="6"/>
  <c r="G51" i="6"/>
  <c r="E51" i="6"/>
  <c r="I50" i="6"/>
  <c r="I51" i="6" s="1"/>
  <c r="D51" i="6"/>
  <c r="C51" i="6"/>
  <c r="H51" i="6"/>
  <c r="I18" i="1" l="1"/>
  <c r="N18" i="1" s="1"/>
  <c r="I23" i="1"/>
  <c r="N23" i="1" s="1"/>
  <c r="I20" i="1"/>
  <c r="N20" i="1" s="1"/>
  <c r="I19" i="1"/>
  <c r="N19" i="1" s="1"/>
  <c r="I22" i="1"/>
  <c r="N22" i="1" s="1"/>
  <c r="I21" i="1"/>
  <c r="N21" i="1" s="1"/>
  <c r="I24" i="1"/>
  <c r="N24" i="1" s="1"/>
</calcChain>
</file>

<file path=xl/sharedStrings.xml><?xml version="1.0" encoding="utf-8"?>
<sst xmlns="http://schemas.openxmlformats.org/spreadsheetml/2006/main" count="875" uniqueCount="242">
  <si>
    <t>Design (GA-4) 2021-2022</t>
  </si>
  <si>
    <t>LO#</t>
  </si>
  <si>
    <t>GA-4</t>
  </si>
  <si>
    <t>Design (GA-4)</t>
  </si>
  <si>
    <t>ENGR-1100-4</t>
  </si>
  <si>
    <t>4a</t>
  </si>
  <si>
    <t>4b</t>
  </si>
  <si>
    <t>4c</t>
  </si>
  <si>
    <t>4d</t>
  </si>
  <si>
    <t>4e</t>
  </si>
  <si>
    <t>4f</t>
  </si>
  <si>
    <t>4g</t>
  </si>
  <si>
    <t>4h</t>
  </si>
  <si>
    <t>Average</t>
  </si>
  <si>
    <t>SENG-1110-1</t>
  </si>
  <si>
    <t>Number of Courses</t>
  </si>
  <si>
    <t>CMNS-1290-1</t>
  </si>
  <si>
    <t>Number of CLO</t>
  </si>
  <si>
    <t>CMNS-1290-2</t>
  </si>
  <si>
    <t>Introduced (Number of Courses)</t>
  </si>
  <si>
    <t>SENG-1210-1</t>
  </si>
  <si>
    <t>Developed (Number of Courses)</t>
  </si>
  <si>
    <t>ENGR-1200-1</t>
  </si>
  <si>
    <t>Applied (Number of Courses)</t>
  </si>
  <si>
    <t>ENGR-2000-1</t>
  </si>
  <si>
    <t>Scale</t>
  </si>
  <si>
    <t>SENG-3130-1</t>
  </si>
  <si>
    <t>Below Expectation (C- and below)  (%)</t>
  </si>
  <si>
    <t>SENG-3130-4</t>
  </si>
  <si>
    <t>Marginal (C+, C)  (%)</t>
  </si>
  <si>
    <t>SENG-3120-3</t>
  </si>
  <si>
    <t>Meets Expectation (B+, B, B-) (%)</t>
  </si>
  <si>
    <t>CENG-3020-1</t>
  </si>
  <si>
    <t>Exceeds Expectation (A+, A, A-) (%)</t>
  </si>
  <si>
    <t>SENG-4100-8</t>
  </si>
  <si>
    <t>Frequency Distribution Analysis (70% cutoff)</t>
  </si>
  <si>
    <t>SENG-4220-3</t>
  </si>
  <si>
    <t>Overall indicator simple Average Analysis</t>
  </si>
  <si>
    <t>SENG-4630-1</t>
  </si>
  <si>
    <t>Assessment Tool</t>
  </si>
  <si>
    <t>SENG-4640-1</t>
  </si>
  <si>
    <t>Assignment</t>
  </si>
  <si>
    <t>SENG-1110-6</t>
  </si>
  <si>
    <t>Quiz</t>
  </si>
  <si>
    <t>SENG-1210-2</t>
  </si>
  <si>
    <t>Mid Term</t>
  </si>
  <si>
    <t>ENGR-1200-2</t>
  </si>
  <si>
    <t>Final Exam</t>
  </si>
  <si>
    <t>CENG-2010-4</t>
  </si>
  <si>
    <t>Project</t>
  </si>
  <si>
    <t>ENGR-2000-4</t>
  </si>
  <si>
    <t>Lab</t>
  </si>
  <si>
    <t>SENG-3110-4</t>
  </si>
  <si>
    <t>Anyother</t>
  </si>
  <si>
    <t>CENG-3010-1</t>
  </si>
  <si>
    <t>CENG-3010-2</t>
  </si>
  <si>
    <t>SENG-3130-2</t>
  </si>
  <si>
    <t>COMP-3610-1</t>
  </si>
  <si>
    <t>Total LO</t>
  </si>
  <si>
    <t>Course</t>
  </si>
  <si>
    <t>Total</t>
  </si>
  <si>
    <t>SENG-3120-2</t>
  </si>
  <si>
    <t>CENG 2010</t>
  </si>
  <si>
    <t>CENG-3020-4</t>
  </si>
  <si>
    <t>CENG 2030</t>
  </si>
  <si>
    <t>SENG-4100-5</t>
  </si>
  <si>
    <t>CENG 3010</t>
  </si>
  <si>
    <t>SENG-4130-2</t>
  </si>
  <si>
    <t>CENG 3020</t>
  </si>
  <si>
    <t>SENG-4630-2</t>
  </si>
  <si>
    <t xml:space="preserve">CENG 3310 </t>
  </si>
  <si>
    <t>SENG-4640-2</t>
  </si>
  <si>
    <t>CENG 4320</t>
  </si>
  <si>
    <t>SENG-1110-4</t>
  </si>
  <si>
    <t>CHEM 1520</t>
  </si>
  <si>
    <t>ENGR-2000-7</t>
  </si>
  <si>
    <t>CMNS 1290</t>
  </si>
  <si>
    <t>EPHY-2300-5</t>
  </si>
  <si>
    <t>COMP 3410</t>
  </si>
  <si>
    <t>SENG-3110-5</t>
  </si>
  <si>
    <t>COMP 3610</t>
  </si>
  <si>
    <t>CENG-3010-5</t>
  </si>
  <si>
    <t>EENG 3010</t>
  </si>
  <si>
    <t>SENG-3130-3</t>
  </si>
  <si>
    <t>ENGL 1100</t>
  </si>
  <si>
    <t>COMP-3610-3</t>
  </si>
  <si>
    <t>ENGR 1100</t>
  </si>
  <si>
    <t>COMP-3610-6</t>
  </si>
  <si>
    <t>ENGR 1200</t>
  </si>
  <si>
    <t>SENG-4130-3</t>
  </si>
  <si>
    <t>ENGR 2000</t>
  </si>
  <si>
    <t>SENG-4220-5</t>
  </si>
  <si>
    <t>ENGR 2200</t>
  </si>
  <si>
    <t>SENG-4640-3</t>
  </si>
  <si>
    <t>ENGR 2300</t>
  </si>
  <si>
    <t>ENGR-1100-5</t>
  </si>
  <si>
    <t>ENGR 2400</t>
  </si>
  <si>
    <t>SENG-3110-3</t>
  </si>
  <si>
    <t>ENGR 3300</t>
  </si>
  <si>
    <t>COMP-3610-10</t>
  </si>
  <si>
    <t xml:space="preserve">EPHY 1170 </t>
  </si>
  <si>
    <t>COMP-3610-11</t>
  </si>
  <si>
    <t>EPHY 1270</t>
  </si>
  <si>
    <t>CENG-3020-3</t>
  </si>
  <si>
    <t>EPHY 1700</t>
  </si>
  <si>
    <t>SENG-4100-1</t>
  </si>
  <si>
    <t>EPHY 2200</t>
  </si>
  <si>
    <t>ENGR-1100-6</t>
  </si>
  <si>
    <t>EPHY 2300</t>
  </si>
  <si>
    <t>EPHY-2300-3</t>
  </si>
  <si>
    <t xml:space="preserve">MATH 1130 </t>
  </si>
  <si>
    <t>CENG-3010-4</t>
  </si>
  <si>
    <t>MATH 1230</t>
  </si>
  <si>
    <t>SENG-3130-5</t>
  </si>
  <si>
    <t xml:space="preserve">MATH 1300 </t>
  </si>
  <si>
    <t>SENG-3120-4</t>
  </si>
  <si>
    <t>MATH 1700</t>
  </si>
  <si>
    <t>SENG-4100-2</t>
  </si>
  <si>
    <t>PHYS 2150</t>
  </si>
  <si>
    <t>SENG-4130-4</t>
  </si>
  <si>
    <t>SENG 1110</t>
  </si>
  <si>
    <t>SENG-4220-1</t>
  </si>
  <si>
    <t>SENG 1210</t>
  </si>
  <si>
    <t>SENG-1110-2</t>
  </si>
  <si>
    <t>SENG 3110</t>
  </si>
  <si>
    <t>ENGR-1200-4</t>
  </si>
  <si>
    <t>SENG 3120</t>
  </si>
  <si>
    <t>ENGR-2000-2</t>
  </si>
  <si>
    <t>SENG 3130</t>
  </si>
  <si>
    <t>ENGR-3300-3</t>
  </si>
  <si>
    <t>SENG 3210</t>
  </si>
  <si>
    <t>ENGR-1100-3</t>
  </si>
  <si>
    <t>SENG 4100</t>
  </si>
  <si>
    <t>ENGR-1200-3</t>
  </si>
  <si>
    <t>SENG 4110</t>
  </si>
  <si>
    <t>ENGR-1200-7</t>
  </si>
  <si>
    <t>SENG 4120</t>
  </si>
  <si>
    <t>ENGR-2200-3</t>
  </si>
  <si>
    <t>SENG 4130</t>
  </si>
  <si>
    <t>ENGR-2200-4</t>
  </si>
  <si>
    <t>SENG 4140</t>
  </si>
  <si>
    <t>ENGR-2000-6</t>
  </si>
  <si>
    <t>SENG 4220</t>
  </si>
  <si>
    <t>ENGR-3300-4</t>
  </si>
  <si>
    <t>SENG 4230</t>
  </si>
  <si>
    <t>SENG-3120-1</t>
  </si>
  <si>
    <t>SENG 4610</t>
  </si>
  <si>
    <t>SENG-4220-2</t>
  </si>
  <si>
    <t>SENG 4620</t>
  </si>
  <si>
    <t>ENGR-1100-8</t>
  </si>
  <si>
    <t>SENG 4630</t>
  </si>
  <si>
    <t>CENG-2010-5</t>
  </si>
  <si>
    <t>SENG 4640</t>
  </si>
  <si>
    <t>SENG-3120-5</t>
  </si>
  <si>
    <t>SENG 4650</t>
  </si>
  <si>
    <t>CENG-3020-5</t>
  </si>
  <si>
    <t>SENG 4660</t>
  </si>
  <si>
    <t>SENG-4130-5</t>
  </si>
  <si>
    <t xml:space="preserve">STAT 2230 </t>
  </si>
  <si>
    <t>SENG-4130-6</t>
  </si>
  <si>
    <t>TOTAL</t>
  </si>
  <si>
    <t>SENG-4630-4</t>
  </si>
  <si>
    <t>SENG-4630-5</t>
  </si>
  <si>
    <t>SENG-4640-4</t>
  </si>
  <si>
    <t>SENG-4640-5</t>
  </si>
  <si>
    <t>Student Number</t>
  </si>
  <si>
    <t>Assessment
Tool</t>
  </si>
  <si>
    <t>A</t>
  </si>
  <si>
    <t>Q</t>
  </si>
  <si>
    <t>M</t>
  </si>
  <si>
    <t>F</t>
  </si>
  <si>
    <t>P</t>
  </si>
  <si>
    <t>L</t>
  </si>
  <si>
    <t>OT</t>
  </si>
  <si>
    <t>Overall Average</t>
  </si>
  <si>
    <t>Total Students</t>
  </si>
  <si>
    <t>Assignment (A)</t>
  </si>
  <si>
    <t>Quiz (Q)</t>
  </si>
  <si>
    <t>Mid Term (M)</t>
  </si>
  <si>
    <t>Final Exam (F)</t>
  </si>
  <si>
    <t>Project (P)</t>
  </si>
  <si>
    <t>Lab (L)</t>
  </si>
  <si>
    <t>Anyother (OT)</t>
  </si>
  <si>
    <t>I (1st, 2nd yr)</t>
  </si>
  <si>
    <t>D (2nd &amp; 3rd yr)</t>
  </si>
  <si>
    <t>A (3rd, 4yr)</t>
  </si>
  <si>
    <t>Frequency Distribution Analysis</t>
  </si>
  <si>
    <t>Class Limit</t>
  </si>
  <si>
    <t>Bin</t>
  </si>
  <si>
    <t>80-100</t>
  </si>
  <si>
    <t>70-79</t>
  </si>
  <si>
    <t>60-69</t>
  </si>
  <si>
    <t>0-59</t>
  </si>
  <si>
    <t>SENG-03120-2</t>
  </si>
  <si>
    <t>Design (GA-4) Curriculum Map</t>
  </si>
  <si>
    <t>Design</t>
  </si>
  <si>
    <t>ENGR-1100</t>
  </si>
  <si>
    <t>SENG-1110</t>
  </si>
  <si>
    <t>CMNS-1290</t>
  </si>
  <si>
    <t>ENGR-1200</t>
  </si>
  <si>
    <t>SENG-1210</t>
  </si>
  <si>
    <t>CENG-2010</t>
  </si>
  <si>
    <t>ENGR-2000</t>
  </si>
  <si>
    <t>ENGR-2200</t>
  </si>
  <si>
    <t>EPHY-2300</t>
  </si>
  <si>
    <t>CENG-3010</t>
  </si>
  <si>
    <t>SENG-3130</t>
  </si>
  <si>
    <t>SENG-3110</t>
  </si>
  <si>
    <t>SENG-4220</t>
  </si>
  <si>
    <t>ENGR-3300</t>
  </si>
  <si>
    <t>SENG-3120</t>
  </si>
  <si>
    <t>COMP-3610</t>
  </si>
  <si>
    <t>CENG-3020</t>
  </si>
  <si>
    <t>SENG-4100</t>
  </si>
  <si>
    <t>SENG-4130</t>
  </si>
  <si>
    <t>SENG-4630</t>
  </si>
  <si>
    <t>SENG-4640</t>
  </si>
  <si>
    <t>I</t>
  </si>
  <si>
    <t>X</t>
  </si>
  <si>
    <t>D</t>
  </si>
  <si>
    <t xml:space="preserve"> </t>
  </si>
  <si>
    <t>GA Indicators</t>
  </si>
  <si>
    <t>adehg</t>
  </si>
  <si>
    <t>abcf</t>
  </si>
  <si>
    <t>a</t>
  </si>
  <si>
    <t>abgf</t>
  </si>
  <si>
    <t>ab</t>
  </si>
  <si>
    <t>bh</t>
  </si>
  <si>
    <t>abcfg</t>
  </si>
  <si>
    <t>g</t>
  </si>
  <si>
    <t>ce</t>
  </si>
  <si>
    <t>bce</t>
  </si>
  <si>
    <t>abce</t>
  </si>
  <si>
    <t>bcd</t>
  </si>
  <si>
    <t>aceg</t>
  </si>
  <si>
    <t>gf</t>
  </si>
  <si>
    <t>abegh</t>
  </si>
  <si>
    <t>abdh</t>
  </si>
  <si>
    <t>abde</t>
  </si>
  <si>
    <t>bceh</t>
  </si>
  <si>
    <t>abh</t>
  </si>
  <si>
    <t>abch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</si>
</sst>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A6C50"/>
        <bgColor indexed="64"/>
      </patternFill>
    </fill>
    <fill>
      <patternFill patternType="solid">
        <fgColor rgb="FFFBA5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9" fontId="15" fillId="0" borderId="0" applyFont="0" applyFill="0" applyBorder="0" applyAlignment="0" applyProtection="0"/>
  </cellStyleXfs>
  <cellXfs count="185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5" fillId="3" borderId="1" xfId="0" applyFont="1" applyFill="1" applyBorder="1"/>
    <xf numFmtId="0" fontId="5" fillId="0" borderId="1" xfId="0" applyFont="1" applyBorder="1"/>
    <xf numFmtId="0" fontId="2" fillId="0" borderId="1" xfId="0" applyFont="1" applyBorder="1"/>
    <xf numFmtId="0" fontId="3" fillId="4" borderId="1" xfId="0" applyFont="1" applyFill="1" applyBorder="1"/>
    <xf numFmtId="0" fontId="3" fillId="0" borderId="0" xfId="0" applyFont="1"/>
    <xf numFmtId="0" fontId="3" fillId="5" borderId="1" xfId="0" applyFont="1" applyFill="1" applyBorder="1"/>
    <xf numFmtId="0" fontId="0" fillId="8" borderId="6" xfId="0" applyFill="1" applyBorder="1" applyAlignment="1">
      <alignment horizontal="center" vertical="center"/>
    </xf>
    <xf numFmtId="2" fontId="0" fillId="8" borderId="6" xfId="0" applyNumberFormat="1" applyFill="1" applyBorder="1" applyAlignment="1">
      <alignment horizontal="center" vertical="center" wrapText="1"/>
    </xf>
    <xf numFmtId="1" fontId="0" fillId="9" borderId="6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2" fontId="1" fillId="8" borderId="6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64" fontId="10" fillId="0" borderId="17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3" borderId="5" xfId="0" applyFont="1" applyFill="1" applyBorder="1"/>
    <xf numFmtId="10" fontId="0" fillId="0" borderId="16" xfId="0" applyNumberFormat="1" applyBorder="1" applyAlignment="1">
      <alignment horizontal="center"/>
    </xf>
    <xf numFmtId="0" fontId="0" fillId="11" borderId="12" xfId="0" applyFill="1" applyBorder="1" applyAlignment="1">
      <alignment horizontal="center" vertical="center"/>
    </xf>
    <xf numFmtId="10" fontId="0" fillId="11" borderId="1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8" fillId="0" borderId="6" xfId="0" applyFont="1" applyBorder="1"/>
    <xf numFmtId="0" fontId="9" fillId="0" borderId="6" xfId="0" applyFont="1" applyBorder="1"/>
    <xf numFmtId="0" fontId="8" fillId="0" borderId="6" xfId="0" applyFont="1" applyBorder="1" applyAlignment="1">
      <alignment horizontal="center"/>
    </xf>
    <xf numFmtId="0" fontId="8" fillId="0" borderId="19" xfId="0" applyFont="1" applyBorder="1"/>
    <xf numFmtId="0" fontId="9" fillId="11" borderId="19" xfId="0" applyFont="1" applyFill="1" applyBorder="1" applyAlignment="1">
      <alignment horizontal="center"/>
    </xf>
    <xf numFmtId="0" fontId="9" fillId="3" borderId="19" xfId="0" applyFont="1" applyFill="1" applyBorder="1"/>
    <xf numFmtId="0" fontId="9" fillId="3" borderId="6" xfId="0" applyFont="1" applyFill="1" applyBorder="1"/>
    <xf numFmtId="10" fontId="8" fillId="0" borderId="6" xfId="0" applyNumberFormat="1" applyFont="1" applyBorder="1"/>
    <xf numFmtId="10" fontId="9" fillId="11" borderId="6" xfId="0" applyNumberFormat="1" applyFont="1" applyFill="1" applyBorder="1"/>
    <xf numFmtId="9" fontId="8" fillId="0" borderId="6" xfId="0" applyNumberFormat="1" applyFont="1" applyBorder="1"/>
    <xf numFmtId="0" fontId="12" fillId="7" borderId="6" xfId="0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2" fillId="7" borderId="25" xfId="0" applyFont="1" applyFill="1" applyBorder="1" applyAlignment="1">
      <alignment horizontal="center"/>
    </xf>
    <xf numFmtId="0" fontId="12" fillId="7" borderId="22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8" fillId="0" borderId="7" xfId="0" applyFont="1" applyBorder="1"/>
    <xf numFmtId="0" fontId="8" fillId="12" borderId="7" xfId="0" applyFont="1" applyFill="1" applyBorder="1"/>
    <xf numFmtId="0" fontId="8" fillId="0" borderId="9" xfId="0" applyFont="1" applyBorder="1"/>
    <xf numFmtId="0" fontId="8" fillId="13" borderId="19" xfId="0" applyFont="1" applyFill="1" applyBorder="1"/>
    <xf numFmtId="0" fontId="8" fillId="13" borderId="6" xfId="0" applyFont="1" applyFill="1" applyBorder="1"/>
    <xf numFmtId="0" fontId="5" fillId="3" borderId="0" xfId="0" applyFont="1" applyFill="1"/>
    <xf numFmtId="0" fontId="14" fillId="11" borderId="6" xfId="0" applyFont="1" applyFill="1" applyBorder="1" applyAlignment="1">
      <alignment horizontal="center"/>
    </xf>
    <xf numFmtId="0" fontId="9" fillId="0" borderId="19" xfId="0" applyFont="1" applyBorder="1"/>
    <xf numFmtId="0" fontId="8" fillId="14" borderId="19" xfId="0" applyFont="1" applyFill="1" applyBorder="1" applyAlignment="1">
      <alignment horizontal="center"/>
    </xf>
    <xf numFmtId="2" fontId="9" fillId="11" borderId="19" xfId="0" applyNumberFormat="1" applyFont="1" applyFill="1" applyBorder="1" applyAlignment="1">
      <alignment horizontal="center"/>
    </xf>
    <xf numFmtId="0" fontId="8" fillId="0" borderId="26" xfId="0" applyFont="1" applyBorder="1"/>
    <xf numFmtId="0" fontId="9" fillId="0" borderId="23" xfId="0" applyFont="1" applyBorder="1" applyAlignment="1">
      <alignment horizontal="center"/>
    </xf>
    <xf numFmtId="0" fontId="9" fillId="11" borderId="24" xfId="0" applyFont="1" applyFill="1" applyBorder="1" applyAlignment="1">
      <alignment horizontal="center"/>
    </xf>
    <xf numFmtId="0" fontId="9" fillId="0" borderId="7" xfId="0" applyFont="1" applyBorder="1"/>
    <xf numFmtId="0" fontId="8" fillId="0" borderId="7" xfId="0" applyFont="1" applyBorder="1" applyAlignment="1">
      <alignment horizontal="center"/>
    </xf>
    <xf numFmtId="10" fontId="8" fillId="0" borderId="19" xfId="0" applyNumberFormat="1" applyFont="1" applyBorder="1"/>
    <xf numFmtId="9" fontId="8" fillId="0" borderId="19" xfId="0" applyNumberFormat="1" applyFont="1" applyBorder="1"/>
    <xf numFmtId="9" fontId="9" fillId="11" borderId="19" xfId="0" applyNumberFormat="1" applyFont="1" applyFill="1" applyBorder="1"/>
    <xf numFmtId="164" fontId="9" fillId="0" borderId="26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8" fillId="15" borderId="6" xfId="0" applyFont="1" applyFill="1" applyBorder="1"/>
    <xf numFmtId="0" fontId="8" fillId="15" borderId="7" xfId="0" applyFont="1" applyFill="1" applyBorder="1"/>
    <xf numFmtId="0" fontId="8" fillId="9" borderId="6" xfId="0" applyFont="1" applyFill="1" applyBorder="1"/>
    <xf numFmtId="0" fontId="8" fillId="9" borderId="7" xfId="0" applyFont="1" applyFill="1" applyBorder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64" fontId="10" fillId="0" borderId="0" xfId="0" applyNumberFormat="1" applyFont="1"/>
    <xf numFmtId="10" fontId="0" fillId="11" borderId="14" xfId="0" applyNumberFormat="1" applyFill="1" applyBorder="1" applyAlignment="1">
      <alignment horizontal="center" vertical="center"/>
    </xf>
    <xf numFmtId="10" fontId="0" fillId="0" borderId="15" xfId="0" applyNumberFormat="1" applyBorder="1" applyAlignment="1">
      <alignment horizontal="center"/>
    </xf>
    <xf numFmtId="10" fontId="9" fillId="11" borderId="19" xfId="0" applyNumberFormat="1" applyFont="1" applyFill="1" applyBorder="1"/>
    <xf numFmtId="0" fontId="1" fillId="8" borderId="25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textRotation="255"/>
    </xf>
    <xf numFmtId="0" fontId="8" fillId="15" borderId="6" xfId="0" applyFont="1" applyFill="1" applyBorder="1" applyAlignment="1">
      <alignment horizontal="center"/>
    </xf>
    <xf numFmtId="0" fontId="13" fillId="15" borderId="6" xfId="0" applyFont="1" applyFill="1" applyBorder="1" applyAlignment="1">
      <alignment horizontal="center"/>
    </xf>
    <xf numFmtId="10" fontId="0" fillId="0" borderId="27" xfId="0" applyNumberFormat="1" applyBorder="1" applyAlignment="1">
      <alignment horizontal="center" vertical="center"/>
    </xf>
    <xf numFmtId="0" fontId="0" fillId="0" borderId="6" xfId="0" applyBorder="1"/>
    <xf numFmtId="164" fontId="0" fillId="8" borderId="9" xfId="0" applyNumberFormat="1" applyFill="1" applyBorder="1" applyAlignment="1">
      <alignment horizontal="center"/>
    </xf>
    <xf numFmtId="0" fontId="2" fillId="11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7" fillId="16" borderId="5" xfId="0" applyFont="1" applyFill="1" applyBorder="1" applyAlignment="1">
      <alignment vertical="center"/>
    </xf>
    <xf numFmtId="0" fontId="2" fillId="17" borderId="5" xfId="0" applyFont="1" applyFill="1" applyBorder="1" applyAlignment="1">
      <alignment vertical="center"/>
    </xf>
    <xf numFmtId="0" fontId="2" fillId="18" borderId="5" xfId="0" applyFont="1" applyFill="1" applyBorder="1" applyAlignment="1">
      <alignment vertical="center"/>
    </xf>
    <xf numFmtId="0" fontId="1" fillId="19" borderId="6" xfId="0" applyFont="1" applyFill="1" applyBorder="1" applyAlignment="1">
      <alignment horizontal="center" vertical="center"/>
    </xf>
    <xf numFmtId="0" fontId="16" fillId="0" borderId="0" xfId="0" applyFont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/>
    </xf>
    <xf numFmtId="0" fontId="17" fillId="16" borderId="2" xfId="0" applyFont="1" applyFill="1" applyBorder="1" applyAlignment="1">
      <alignment vertical="center"/>
    </xf>
    <xf numFmtId="0" fontId="2" fillId="17" borderId="2" xfId="0" applyFont="1" applyFill="1" applyBorder="1" applyAlignment="1">
      <alignment vertical="center"/>
    </xf>
    <xf numFmtId="0" fontId="2" fillId="11" borderId="2" xfId="0" applyFont="1" applyFill="1" applyBorder="1" applyAlignment="1">
      <alignment vertical="center"/>
    </xf>
    <xf numFmtId="0" fontId="2" fillId="18" borderId="2" xfId="0" applyFont="1" applyFill="1" applyBorder="1" applyAlignment="1">
      <alignment vertical="center"/>
    </xf>
    <xf numFmtId="164" fontId="0" fillId="0" borderId="29" xfId="0" applyNumberFormat="1" applyBorder="1" applyAlignment="1">
      <alignment horizontal="center"/>
    </xf>
    <xf numFmtId="10" fontId="0" fillId="0" borderId="13" xfId="2" applyNumberFormat="1" applyFont="1" applyBorder="1" applyAlignment="1">
      <alignment horizontal="center" vertical="center"/>
    </xf>
    <xf numFmtId="2" fontId="0" fillId="11" borderId="30" xfId="0" applyNumberFormat="1" applyFill="1" applyBorder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0" fontId="0" fillId="0" borderId="13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10" fontId="0" fillId="0" borderId="31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10" fontId="0" fillId="0" borderId="32" xfId="0" applyNumberFormat="1" applyBorder="1" applyAlignment="1">
      <alignment horizontal="center"/>
    </xf>
    <xf numFmtId="10" fontId="0" fillId="11" borderId="33" xfId="0" applyNumberFormat="1" applyFill="1" applyBorder="1" applyAlignment="1">
      <alignment horizontal="center"/>
    </xf>
    <xf numFmtId="10" fontId="0" fillId="0" borderId="32" xfId="0" applyNumberFormat="1" applyBorder="1" applyAlignment="1">
      <alignment horizontal="center" vertical="center"/>
    </xf>
    <xf numFmtId="0" fontId="3" fillId="3" borderId="0" xfId="0" applyFont="1" applyFill="1" applyAlignment="1">
      <alignment horizontal="center" wrapText="1"/>
    </xf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horizontal="center"/>
    </xf>
    <xf numFmtId="0" fontId="14" fillId="3" borderId="6" xfId="0" applyFont="1" applyFill="1" applyBorder="1" applyAlignment="1">
      <alignment horizontal="center"/>
    </xf>
    <xf numFmtId="164" fontId="2" fillId="3" borderId="0" xfId="0" applyNumberFormat="1" applyFont="1" applyFill="1" applyAlignment="1">
      <alignment vertical="center"/>
    </xf>
    <xf numFmtId="0" fontId="2" fillId="3" borderId="0" xfId="0" applyFont="1" applyFill="1"/>
    <xf numFmtId="10" fontId="3" fillId="3" borderId="0" xfId="0" applyNumberFormat="1" applyFont="1" applyFill="1"/>
    <xf numFmtId="0" fontId="3" fillId="3" borderId="0" xfId="0" applyFont="1" applyFill="1"/>
    <xf numFmtId="164" fontId="2" fillId="3" borderId="0" xfId="0" applyNumberFormat="1" applyFont="1" applyFill="1" applyAlignment="1">
      <alignment horizontal="center"/>
    </xf>
    <xf numFmtId="9" fontId="3" fillId="3" borderId="0" xfId="0" applyNumberFormat="1" applyFont="1" applyFill="1"/>
    <xf numFmtId="0" fontId="8" fillId="3" borderId="0" xfId="0" applyFont="1" applyFill="1"/>
    <xf numFmtId="9" fontId="1" fillId="3" borderId="0" xfId="0" applyNumberFormat="1" applyFont="1" applyFill="1"/>
    <xf numFmtId="2" fontId="8" fillId="0" borderId="6" xfId="0" applyNumberFormat="1" applyFont="1" applyBorder="1"/>
    <xf numFmtId="164" fontId="8" fillId="0" borderId="6" xfId="0" applyNumberFormat="1" applyFont="1" applyBorder="1"/>
    <xf numFmtId="0" fontId="10" fillId="0" borderId="0" xfId="0" applyFont="1"/>
    <xf numFmtId="0" fontId="3" fillId="9" borderId="1" xfId="0" applyFont="1" applyFill="1" applyBorder="1"/>
    <xf numFmtId="2" fontId="1" fillId="0" borderId="0" xfId="0" applyNumberFormat="1" applyFont="1" applyAlignment="1">
      <alignment horizontal="center" vertical="center"/>
    </xf>
    <xf numFmtId="0" fontId="0" fillId="4" borderId="6" xfId="0" applyFill="1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4" fillId="12" borderId="1" xfId="0" applyFont="1" applyFill="1" applyBorder="1"/>
    <xf numFmtId="0" fontId="9" fillId="0" borderId="34" xfId="0" applyFont="1" applyBorder="1" applyAlignment="1">
      <alignment horizontal="center"/>
    </xf>
    <xf numFmtId="0" fontId="8" fillId="9" borderId="19" xfId="0" applyFont="1" applyFill="1" applyBorder="1"/>
    <xf numFmtId="0" fontId="13" fillId="3" borderId="26" xfId="0" applyFont="1" applyFill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164" fontId="9" fillId="11" borderId="6" xfId="0" applyNumberFormat="1" applyFont="1" applyFill="1" applyBorder="1"/>
    <xf numFmtId="1" fontId="0" fillId="0" borderId="6" xfId="0" applyNumberFormat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19" xfId="0" applyNumberFormat="1" applyBorder="1" applyAlignment="1">
      <alignment horizontal="center" vertical="center"/>
    </xf>
    <xf numFmtId="10" fontId="0" fillId="0" borderId="0" xfId="0" applyNumberFormat="1"/>
    <xf numFmtId="0" fontId="7" fillId="10" borderId="26" xfId="0" applyFont="1" applyFill="1" applyBorder="1" applyAlignment="1">
      <alignment horizontal="center" wrapText="1"/>
    </xf>
    <xf numFmtId="0" fontId="7" fillId="10" borderId="23" xfId="0" applyFont="1" applyFill="1" applyBorder="1" applyAlignment="1">
      <alignment horizontal="center" wrapText="1"/>
    </xf>
    <xf numFmtId="0" fontId="7" fillId="10" borderId="34" xfId="0" applyFont="1" applyFill="1" applyBorder="1" applyAlignment="1">
      <alignment horizontal="center" wrapText="1"/>
    </xf>
    <xf numFmtId="0" fontId="7" fillId="10" borderId="24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 vertical="center"/>
    </xf>
    <xf numFmtId="164" fontId="0" fillId="8" borderId="9" xfId="0" applyNumberFormat="1" applyFill="1" applyBorder="1" applyAlignment="1">
      <alignment horizontal="center" vertical="center"/>
    </xf>
    <xf numFmtId="164" fontId="0" fillId="8" borderId="10" xfId="0" applyNumberFormat="1" applyFill="1" applyBorder="1" applyAlignment="1">
      <alignment horizontal="center" vertical="center"/>
    </xf>
    <xf numFmtId="164" fontId="0" fillId="8" borderId="7" xfId="0" applyNumberFormat="1" applyFill="1" applyBorder="1" applyAlignment="1">
      <alignment horizontal="center"/>
    </xf>
    <xf numFmtId="164" fontId="0" fillId="8" borderId="9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Normal" xfId="0" builtinId="0"/>
    <cellStyle name="Normal 7" xfId="1" xr:uid="{F1FC4F3D-C62D-48D4-BA8C-F896B2A219D4}"/>
    <cellStyle name="Percent" xfId="2" builtinId="5"/>
  </cellStyles>
  <dxfs count="297"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BA547"/>
      <color rgb="FFFA6C50"/>
      <color rgb="FFAB67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 (GA-4)</a:t>
            </a:r>
            <a:br>
              <a:rPr lang="en-US"/>
            </a:br>
            <a:r>
              <a:rPr lang="en-US"/>
              <a:t>Number of Courses per Indicator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Analysis!$E$5</c:f>
              <c:strCache>
                <c:ptCount val="1"/>
                <c:pt idx="0">
                  <c:v>Number of Courses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4A9-4A53-B9FA-8ABBC5D73B4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24-4129-9F99-0FFC190F750B}"/>
              </c:ext>
            </c:extLst>
          </c:dPt>
          <c:dLbls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24-4129-9F99-0FFC190F75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Analysis!$F$4:$N$4</c:f>
              <c:strCache>
                <c:ptCount val="9"/>
                <c:pt idx="0">
                  <c:v>4a</c:v>
                </c:pt>
                <c:pt idx="1">
                  <c:v>4b</c:v>
                </c:pt>
                <c:pt idx="2">
                  <c:v>4c</c:v>
                </c:pt>
                <c:pt idx="3">
                  <c:v>4d</c:v>
                </c:pt>
                <c:pt idx="4">
                  <c:v>4e</c:v>
                </c:pt>
                <c:pt idx="5">
                  <c:v>4f</c:v>
                </c:pt>
                <c:pt idx="6">
                  <c:v>4g</c:v>
                </c:pt>
                <c:pt idx="7">
                  <c:v>4h</c:v>
                </c:pt>
                <c:pt idx="8">
                  <c:v>Average</c:v>
                </c:pt>
              </c:strCache>
            </c:strRef>
          </c:cat>
          <c:val>
            <c:numRef>
              <c:f>Analysis!$F$5:$N$5</c:f>
              <c:numCache>
                <c:formatCode>General</c:formatCode>
                <c:ptCount val="9"/>
                <c:pt idx="0">
                  <c:v>13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 formatCode="0.00">
                  <c:v>8.625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9-4A53-B9FA-8ABBC5D73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76431"/>
        <c:axId val="191088799"/>
      </c:barChart>
      <c:catAx>
        <c:axId val="18067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8799"/>
        <c:crosses val="autoZero"/>
        <c:auto val="1"/>
        <c:lblAlgn val="ctr"/>
        <c:lblOffset val="100"/>
        <c:noMultiLvlLbl val="0"/>
      </c:catAx>
      <c:valAx>
        <c:axId val="1910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 (GA-4)</a:t>
            </a:r>
          </a:p>
          <a:p>
            <a:pPr>
              <a:defRPr/>
            </a:pPr>
            <a:r>
              <a:rPr lang="en-US"/>
              <a:t>Number of Course Learning Outcome (CLO) per Indicator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Analysis!$E$6</c:f>
              <c:strCache>
                <c:ptCount val="1"/>
                <c:pt idx="0">
                  <c:v>Number of CLO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AA6-42B3-8E12-D8EB81069CE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1B-4AFD-9998-8D9D470EF9C4}"/>
              </c:ext>
            </c:extLst>
          </c:dPt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A6-42B3-8E12-D8EB81069CEC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1B-4AFD-9998-8D9D470EF9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Analysis!$F$4:$N$4</c:f>
              <c:strCache>
                <c:ptCount val="9"/>
                <c:pt idx="0">
                  <c:v>4a</c:v>
                </c:pt>
                <c:pt idx="1">
                  <c:v>4b</c:v>
                </c:pt>
                <c:pt idx="2">
                  <c:v>4c</c:v>
                </c:pt>
                <c:pt idx="3">
                  <c:v>4d</c:v>
                </c:pt>
                <c:pt idx="4">
                  <c:v>4e</c:v>
                </c:pt>
                <c:pt idx="5">
                  <c:v>4f</c:v>
                </c:pt>
                <c:pt idx="6">
                  <c:v>4g</c:v>
                </c:pt>
                <c:pt idx="7">
                  <c:v>4h</c:v>
                </c:pt>
                <c:pt idx="8">
                  <c:v>Average</c:v>
                </c:pt>
              </c:strCache>
            </c:strRef>
          </c:cat>
          <c:val>
            <c:numRef>
              <c:f>Analysis!$F$6:$N$6</c:f>
              <c:numCache>
                <c:formatCode>General</c:formatCode>
                <c:ptCount val="9"/>
                <c:pt idx="0">
                  <c:v>15</c:v>
                </c:pt>
                <c:pt idx="1">
                  <c:v>16</c:v>
                </c:pt>
                <c:pt idx="2">
                  <c:v>11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9</c:v>
                </c:pt>
                <c:pt idx="7">
                  <c:v>10</c:v>
                </c:pt>
                <c:pt idx="8" formatCode="0.00">
                  <c:v>9.875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6-42B3-8E12-D8EB81069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63295"/>
        <c:axId val="86564543"/>
      </c:barChart>
      <c:catAx>
        <c:axId val="8656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4543"/>
        <c:crosses val="autoZero"/>
        <c:auto val="1"/>
        <c:lblAlgn val="ctr"/>
        <c:lblOffset val="100"/>
        <c:noMultiLvlLbl val="0"/>
      </c:catAx>
      <c:valAx>
        <c:axId val="865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 (GA-4)</a:t>
            </a:r>
          </a:p>
          <a:p>
            <a:pPr>
              <a:defRPr/>
            </a:pPr>
            <a:r>
              <a:rPr lang="en-US" baseline="0"/>
              <a:t>Number of Courses per Indicator Analysis at I, D &amp; A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Introduced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876-4F33-8628-0E523C29D5D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876-4F33-8628-0E523C29D5D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876-4F33-8628-0E523C29D5D6}"/>
              </c:ext>
            </c:extLst>
          </c:dPt>
          <c:dLbls>
            <c:dLbl>
              <c:idx val="8"/>
              <c:layout>
                <c:manualLayout>
                  <c:x val="-2.5000000000000001E-2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D9-4C73-865F-7930603098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Analysis!$F$4:$N$4</c:f>
              <c:strCache>
                <c:ptCount val="9"/>
                <c:pt idx="0">
                  <c:v>4a</c:v>
                </c:pt>
                <c:pt idx="1">
                  <c:v>4b</c:v>
                </c:pt>
                <c:pt idx="2">
                  <c:v>4c</c:v>
                </c:pt>
                <c:pt idx="3">
                  <c:v>4d</c:v>
                </c:pt>
                <c:pt idx="4">
                  <c:v>4e</c:v>
                </c:pt>
                <c:pt idx="5">
                  <c:v>4f</c:v>
                </c:pt>
                <c:pt idx="6">
                  <c:v>4g</c:v>
                </c:pt>
                <c:pt idx="7">
                  <c:v>4h</c:v>
                </c:pt>
                <c:pt idx="8">
                  <c:v>Average</c:v>
                </c:pt>
              </c:strCache>
            </c:strRef>
          </c:cat>
          <c:val>
            <c:numRef>
              <c:f>Analysis!$F$7:$N$7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 formatCode="0.0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6-4F33-8628-0E523C29D5D6}"/>
            </c:ext>
          </c:extLst>
        </c:ser>
        <c:ser>
          <c:idx val="1"/>
          <c:order val="1"/>
          <c:tx>
            <c:v>Developed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876-4F33-8628-0E523C29D5D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876-4F33-8628-0E523C29D5D6}"/>
              </c:ext>
            </c:extLst>
          </c:dPt>
          <c:dLbls>
            <c:dLbl>
              <c:idx val="8"/>
              <c:layout>
                <c:manualLayout>
                  <c:x val="-2.0370135052831988E-16"/>
                  <c:y val="-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3D9-4C73-865F-7930603098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Analysis!$F$4:$N$4</c:f>
              <c:strCache>
                <c:ptCount val="9"/>
                <c:pt idx="0">
                  <c:v>4a</c:v>
                </c:pt>
                <c:pt idx="1">
                  <c:v>4b</c:v>
                </c:pt>
                <c:pt idx="2">
                  <c:v>4c</c:v>
                </c:pt>
                <c:pt idx="3">
                  <c:v>4d</c:v>
                </c:pt>
                <c:pt idx="4">
                  <c:v>4e</c:v>
                </c:pt>
                <c:pt idx="5">
                  <c:v>4f</c:v>
                </c:pt>
                <c:pt idx="6">
                  <c:v>4g</c:v>
                </c:pt>
                <c:pt idx="7">
                  <c:v>4h</c:v>
                </c:pt>
                <c:pt idx="8">
                  <c:v>Average</c:v>
                </c:pt>
              </c:strCache>
            </c:strRef>
          </c:cat>
          <c:val>
            <c:numRef>
              <c:f>Analysis!$F$8:$N$8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 formatCode="0.00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6-4F33-8628-0E523C29D5D6}"/>
            </c:ext>
          </c:extLst>
        </c:ser>
        <c:ser>
          <c:idx val="2"/>
          <c:order val="2"/>
          <c:tx>
            <c:v>Applied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3.0555555555555555E-2"/>
                  <c:y val="-6.01851851851851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3D9-4C73-865F-7930603098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Analysis!$F$4:$N$4</c:f>
              <c:strCache>
                <c:ptCount val="9"/>
                <c:pt idx="0">
                  <c:v>4a</c:v>
                </c:pt>
                <c:pt idx="1">
                  <c:v>4b</c:v>
                </c:pt>
                <c:pt idx="2">
                  <c:v>4c</c:v>
                </c:pt>
                <c:pt idx="3">
                  <c:v>4d</c:v>
                </c:pt>
                <c:pt idx="4">
                  <c:v>4e</c:v>
                </c:pt>
                <c:pt idx="5">
                  <c:v>4f</c:v>
                </c:pt>
                <c:pt idx="6">
                  <c:v>4g</c:v>
                </c:pt>
                <c:pt idx="7">
                  <c:v>4h</c:v>
                </c:pt>
                <c:pt idx="8">
                  <c:v>Average</c:v>
                </c:pt>
              </c:strCache>
            </c:strRef>
          </c:cat>
          <c:val>
            <c:numRef>
              <c:f>Analysis!$F$9:$N$9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 formatCode="0.00">
                  <c:v>3.625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76-4F33-8628-0E523C29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363120"/>
        <c:axId val="188702735"/>
      </c:barChart>
      <c:catAx>
        <c:axId val="19863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2735"/>
        <c:crosses val="autoZero"/>
        <c:auto val="1"/>
        <c:lblAlgn val="ctr"/>
        <c:lblOffset val="100"/>
        <c:noMultiLvlLbl val="0"/>
      </c:catAx>
      <c:valAx>
        <c:axId val="1887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6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349250</xdr:colOff>
      <xdr:row>1</xdr:row>
      <xdr:rowOff>84667</xdr:rowOff>
    </xdr:from>
    <xdr:to>
      <xdr:col>23</xdr:col>
      <xdr:colOff>349250</xdr:colOff>
      <xdr:row>41</xdr:row>
      <xdr:rowOff>95250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7FE111B-4A9B-447C-AF73-12B0193E67F1}"/>
            </a:ext>
          </a:extLst>
        </xdr:cNvPr>
        <xdr:cNvSpPr/>
      </xdr:nvSpPr>
      <xdr:spPr>
        <a:xfrm>
          <a:off x="9937750" y="391584"/>
          <a:ext cx="5873750" cy="89111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109536</xdr:colOff>
      <xdr:row>28</xdr:row>
      <xdr:rowOff>76200</xdr:rowOff>
    </xdr:from>
    <xdr:to>
      <xdr:col>22</xdr:col>
      <xdr:colOff>587902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CEE49-87C8-4FDF-9CB5-70AD9C707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128587</xdr:colOff>
      <xdr:row>2</xdr:row>
      <xdr:rowOff>19050</xdr:rowOff>
    </xdr:from>
    <xdr:to>
      <xdr:col>22</xdr:col>
      <xdr:colOff>606953</xdr:colOff>
      <xdr:row>14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91F333-E9CC-45C0-B78F-53C0D8449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119061</xdr:colOff>
      <xdr:row>15</xdr:row>
      <xdr:rowOff>47625</xdr:rowOff>
    </xdr:from>
    <xdr:to>
      <xdr:col>22</xdr:col>
      <xdr:colOff>597427</xdr:colOff>
      <xdr:row>27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830918-2E8C-4801-80BF-2B7D9570F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3"/>
  <sheetViews>
    <sheetView zoomScale="90" zoomScaleNormal="90" workbookViewId="0">
      <selection activeCell="E1" sqref="E1:P1"/>
    </sheetView>
  </sheetViews>
  <sheetFormatPr defaultRowHeight="15.75" x14ac:dyDescent="0.25"/>
  <cols>
    <col min="1" max="1" width="17.5703125" style="131" bestFit="1" customWidth="1"/>
    <col min="2" max="2" width="5.85546875" style="132" bestFit="1" customWidth="1"/>
    <col min="3" max="3" width="5.85546875" style="132" customWidth="1"/>
    <col min="4" max="4" width="9.140625" style="133" bestFit="1" customWidth="1"/>
    <col min="5" max="5" width="45.42578125" style="133" bestFit="1" customWidth="1"/>
    <col min="6" max="13" width="8.28515625" style="133" bestFit="1" customWidth="1"/>
    <col min="14" max="14" width="9" style="133" bestFit="1" customWidth="1"/>
    <col min="15" max="15" width="9.140625" style="133"/>
    <col min="16" max="16" width="13" style="133" customWidth="1"/>
    <col min="17" max="22" width="9.140625" style="133"/>
    <col min="23" max="23" width="10.5703125" style="133" customWidth="1"/>
    <col min="24" max="24" width="9.140625" style="133"/>
    <col min="25" max="25" width="12.140625" style="133" customWidth="1"/>
    <col min="26" max="31" width="9.140625" style="133"/>
    <col min="32" max="32" width="12.5703125" style="133" customWidth="1"/>
    <col min="33" max="16384" width="9.140625" style="133"/>
  </cols>
  <sheetData>
    <row r="1" spans="1:23" ht="24" thickBot="1" x14ac:dyDescent="0.4">
      <c r="D1" s="132"/>
      <c r="E1" s="175" t="s">
        <v>0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7"/>
    </row>
    <row r="2" spans="1:23" thickBot="1" x14ac:dyDescent="0.3">
      <c r="A2" s="133"/>
      <c r="B2" s="133"/>
      <c r="C2" s="133"/>
    </row>
    <row r="3" spans="1:23" ht="20.25" thickTop="1" thickBot="1" x14ac:dyDescent="0.35">
      <c r="A3" s="1" t="s">
        <v>1</v>
      </c>
      <c r="B3" s="153" t="s">
        <v>2</v>
      </c>
      <c r="C3" s="134"/>
      <c r="E3" s="170" t="s">
        <v>3</v>
      </c>
      <c r="F3" s="171"/>
      <c r="G3" s="171"/>
      <c r="H3" s="171"/>
      <c r="I3" s="171"/>
      <c r="J3" s="171"/>
      <c r="K3" s="171"/>
      <c r="L3" s="172"/>
      <c r="M3" s="172"/>
      <c r="N3" s="173"/>
      <c r="P3" s="136"/>
      <c r="Q3" s="174"/>
      <c r="R3" s="174"/>
      <c r="S3" s="174"/>
      <c r="T3" s="174"/>
      <c r="U3" s="174"/>
      <c r="V3" s="174"/>
      <c r="W3" s="174"/>
    </row>
    <row r="4" spans="1:23" ht="17.25" thickTop="1" thickBot="1" x14ac:dyDescent="0.3">
      <c r="A4" s="2" t="s">
        <v>4</v>
      </c>
      <c r="B4" s="3" t="s">
        <v>5</v>
      </c>
      <c r="C4" s="66"/>
      <c r="E4" s="71"/>
      <c r="F4" s="72" t="s">
        <v>5</v>
      </c>
      <c r="G4" s="72" t="s">
        <v>6</v>
      </c>
      <c r="H4" s="72" t="s">
        <v>7</v>
      </c>
      <c r="I4" s="72" t="s">
        <v>8</v>
      </c>
      <c r="J4" s="72" t="s">
        <v>9</v>
      </c>
      <c r="K4" s="72" t="s">
        <v>10</v>
      </c>
      <c r="L4" s="154" t="s">
        <v>11</v>
      </c>
      <c r="M4" s="154" t="s">
        <v>12</v>
      </c>
      <c r="N4" s="73" t="s">
        <v>13</v>
      </c>
      <c r="P4" s="136"/>
      <c r="Q4" s="137"/>
      <c r="R4" s="137"/>
      <c r="S4" s="137"/>
      <c r="T4" s="137"/>
      <c r="U4" s="137"/>
      <c r="V4" s="137"/>
      <c r="W4" s="137"/>
    </row>
    <row r="5" spans="1:23" ht="17.25" thickTop="1" thickBot="1" x14ac:dyDescent="0.3">
      <c r="A5" s="2" t="s">
        <v>14</v>
      </c>
      <c r="B5" s="3" t="s">
        <v>5</v>
      </c>
      <c r="C5" s="66"/>
      <c r="E5" s="68" t="s">
        <v>15</v>
      </c>
      <c r="F5" s="69">
        <f t="shared" ref="F5:M5" si="0">COUNTIF(F29:F77, "&gt;0")</f>
        <v>13</v>
      </c>
      <c r="G5" s="69">
        <f t="shared" si="0"/>
        <v>15</v>
      </c>
      <c r="H5" s="69">
        <f t="shared" si="0"/>
        <v>10</v>
      </c>
      <c r="I5" s="69">
        <f t="shared" si="0"/>
        <v>5</v>
      </c>
      <c r="J5" s="69">
        <f t="shared" si="0"/>
        <v>8</v>
      </c>
      <c r="K5" s="69">
        <f t="shared" si="0"/>
        <v>4</v>
      </c>
      <c r="L5" s="69">
        <f t="shared" si="0"/>
        <v>7</v>
      </c>
      <c r="M5" s="69">
        <f t="shared" si="0"/>
        <v>7</v>
      </c>
      <c r="N5" s="70">
        <f>AVERAGE(F5:M5)</f>
        <v>8.625</v>
      </c>
      <c r="P5" s="137"/>
      <c r="Q5" s="138"/>
      <c r="R5" s="138"/>
      <c r="S5" s="138"/>
      <c r="T5" s="138"/>
      <c r="U5" s="138"/>
      <c r="V5" s="138"/>
      <c r="W5" s="139"/>
    </row>
    <row r="6" spans="1:23" ht="17.25" thickTop="1" thickBot="1" x14ac:dyDescent="0.3">
      <c r="A6" s="2" t="s">
        <v>16</v>
      </c>
      <c r="B6" s="4" t="s">
        <v>5</v>
      </c>
      <c r="C6" s="66"/>
      <c r="E6" s="46" t="s">
        <v>17</v>
      </c>
      <c r="F6" s="95">
        <f>COUNTIF(B:B, "4a")</f>
        <v>15</v>
      </c>
      <c r="G6" s="95">
        <f>COUNTIF(B:B, "4b")</f>
        <v>16</v>
      </c>
      <c r="H6" s="95">
        <f>COUNTIF(B:B, "4c")</f>
        <v>11</v>
      </c>
      <c r="I6" s="95">
        <f>COUNTIF(B:B, "4d")</f>
        <v>6</v>
      </c>
      <c r="J6" s="95">
        <f>COUNTIF(B:B, "4e")</f>
        <v>8</v>
      </c>
      <c r="K6" s="95">
        <f>COUNTIF($B:$B, "4f")</f>
        <v>4</v>
      </c>
      <c r="L6" s="95">
        <f>COUNTIF($B:$B, "4g")</f>
        <v>9</v>
      </c>
      <c r="M6" s="95">
        <f>COUNTIF($B:$B, "4h")</f>
        <v>10</v>
      </c>
      <c r="N6" s="70">
        <f>AVERAGE(F6:M6)</f>
        <v>9.875</v>
      </c>
      <c r="P6" s="137"/>
      <c r="Q6" s="174"/>
      <c r="R6" s="174"/>
      <c r="S6" s="174"/>
      <c r="T6" s="174"/>
      <c r="U6" s="174"/>
      <c r="V6" s="174"/>
      <c r="W6" s="174"/>
    </row>
    <row r="7" spans="1:23" ht="17.25" thickTop="1" thickBot="1" x14ac:dyDescent="0.3">
      <c r="A7" s="2" t="s">
        <v>18</v>
      </c>
      <c r="B7" s="4" t="s">
        <v>5</v>
      </c>
      <c r="C7" s="66"/>
      <c r="E7" s="46" t="s">
        <v>19</v>
      </c>
      <c r="F7" s="47">
        <f>COUNTIF('Indicator Map'!$B$11:$M$11, "*a*")</f>
        <v>5</v>
      </c>
      <c r="G7" s="47">
        <f>COUNTIF('Indicator Map'!$B$11:$M$11, "*b*")</f>
        <v>4</v>
      </c>
      <c r="H7" s="47">
        <f>COUNTIF('Indicator Map'!$B$11:$M$11, "*c*")</f>
        <v>1</v>
      </c>
      <c r="I7" s="47">
        <f>COUNTIF('Indicator Map'!$B$11:$M$11, "*d*")</f>
        <v>1</v>
      </c>
      <c r="J7" s="47">
        <f>COUNTIF('Indicator Map'!$B$11:$M$11, "*e*")</f>
        <v>1</v>
      </c>
      <c r="K7" s="47">
        <f>COUNTIF('Indicator Map'!$B$11:$M$11, "*f*")</f>
        <v>2</v>
      </c>
      <c r="L7" s="47">
        <f>COUNTIF('Indicator Map'!$B$11:$M$11, "*g*")</f>
        <v>2</v>
      </c>
      <c r="M7" s="47">
        <f>COUNTIF('Indicator Map'!$B$11:$M$11, "*h*")</f>
        <v>2</v>
      </c>
      <c r="N7" s="70">
        <f>AVERAGE(F7:M7)</f>
        <v>2.25</v>
      </c>
      <c r="P7" s="140"/>
      <c r="Q7" s="137"/>
      <c r="R7" s="137"/>
      <c r="S7" s="137"/>
      <c r="T7" s="137"/>
      <c r="U7" s="137"/>
      <c r="V7" s="137"/>
      <c r="W7" s="137"/>
    </row>
    <row r="8" spans="1:23" ht="17.25" thickTop="1" thickBot="1" x14ac:dyDescent="0.3">
      <c r="A8" s="2" t="s">
        <v>20</v>
      </c>
      <c r="B8" s="4" t="s">
        <v>5</v>
      </c>
      <c r="C8" s="66"/>
      <c r="E8" s="46" t="s">
        <v>21</v>
      </c>
      <c r="F8" s="47">
        <f>COUNTIF('Indicator Map'!$B$14:$K$14, "*a*")</f>
        <v>3</v>
      </c>
      <c r="G8" s="47">
        <f>COUNTIF('Indicator Map'!$B$14:$K$14, "*b*")</f>
        <v>4</v>
      </c>
      <c r="H8" s="47">
        <f>COUNTIF('Indicator Map'!$B$14:$K$14, "*c*")</f>
        <v>6</v>
      </c>
      <c r="I8" s="47">
        <f>COUNTIF('Indicator Map'!$B$14:$K$14, "*d*")</f>
        <v>1</v>
      </c>
      <c r="J8" s="47">
        <f>COUNTIF('Indicator Map'!$B$14:$K$14, "*e*")</f>
        <v>4</v>
      </c>
      <c r="K8" s="47">
        <f>COUNTIF('Indicator Map'!$B$14:$K$14, "*f*")</f>
        <v>1</v>
      </c>
      <c r="L8" s="47">
        <f>COUNTIF('Indicator Map'!$B$14:$K$14, "*g*")</f>
        <v>3</v>
      </c>
      <c r="M8" s="47">
        <f>COUNTIF('Indicator Map'!$B$14:$K$14, "*h*")</f>
        <v>0</v>
      </c>
      <c r="N8" s="70">
        <f>AVERAGE(F8:M8)</f>
        <v>2.75</v>
      </c>
      <c r="P8" s="137"/>
      <c r="Q8" s="141"/>
      <c r="R8" s="141"/>
      <c r="S8" s="141"/>
      <c r="T8" s="141"/>
      <c r="U8" s="141"/>
      <c r="V8" s="141"/>
      <c r="W8" s="141"/>
    </row>
    <row r="9" spans="1:23" ht="17.25" thickTop="1" thickBot="1" x14ac:dyDescent="0.3">
      <c r="A9" s="2" t="s">
        <v>22</v>
      </c>
      <c r="B9" s="3" t="s">
        <v>5</v>
      </c>
      <c r="C9" s="66"/>
      <c r="E9" s="74" t="s">
        <v>23</v>
      </c>
      <c r="F9" s="75">
        <f>COUNTIF('Indicator Map'!$B$17:$K$17, "*a*")</f>
        <v>5</v>
      </c>
      <c r="G9" s="75">
        <f>COUNTIF('Indicator Map'!$B$17:$K$17, "*b*")</f>
        <v>7</v>
      </c>
      <c r="H9" s="75">
        <f>COUNTIF('Indicator Map'!$B$17:$K$17, "*c*")</f>
        <v>3</v>
      </c>
      <c r="I9" s="75">
        <f>COUNTIF('Indicator Map'!$B$17:$K$17, "*d*")</f>
        <v>3</v>
      </c>
      <c r="J9" s="75">
        <f>COUNTIF('Indicator Map'!$B$17:$K$17, "*e*")</f>
        <v>3</v>
      </c>
      <c r="K9" s="75">
        <f>COUNTIF('Indicator Map'!$B$17:$K$17, "*f*")</f>
        <v>1</v>
      </c>
      <c r="L9" s="75">
        <f>COUNTIF('Indicator Map'!$B$17:$K$17, "*g*")</f>
        <v>2</v>
      </c>
      <c r="M9" s="75">
        <f>COUNTIF('Indicator Map'!$B$17:$K$17, "*h*")</f>
        <v>5</v>
      </c>
      <c r="N9" s="70">
        <f t="shared" ref="N9" si="1">AVERAGE(F9:M9)</f>
        <v>3.625</v>
      </c>
      <c r="P9" s="137"/>
      <c r="Q9" s="141"/>
      <c r="R9" s="141"/>
      <c r="S9" s="141"/>
      <c r="T9" s="141"/>
      <c r="U9" s="141"/>
      <c r="V9" s="141"/>
      <c r="W9" s="141"/>
    </row>
    <row r="10" spans="1:23" ht="17.25" thickTop="1" thickBot="1" x14ac:dyDescent="0.3">
      <c r="A10" s="2" t="s">
        <v>24</v>
      </c>
      <c r="B10" s="3" t="s">
        <v>5</v>
      </c>
      <c r="C10" s="66"/>
      <c r="E10" s="80" t="s">
        <v>25</v>
      </c>
      <c r="F10" s="72" t="s">
        <v>5</v>
      </c>
      <c r="G10" s="72" t="s">
        <v>6</v>
      </c>
      <c r="H10" s="72" t="s">
        <v>7</v>
      </c>
      <c r="I10" s="72" t="s">
        <v>8</v>
      </c>
      <c r="J10" s="72" t="s">
        <v>9</v>
      </c>
      <c r="K10" s="72" t="s">
        <v>10</v>
      </c>
      <c r="L10" s="154" t="s">
        <v>11</v>
      </c>
      <c r="M10" s="154" t="s">
        <v>12</v>
      </c>
      <c r="N10" s="73" t="s">
        <v>13</v>
      </c>
      <c r="P10" s="137"/>
      <c r="Q10" s="141"/>
      <c r="R10" s="141"/>
      <c r="S10" s="141"/>
      <c r="T10" s="141"/>
      <c r="U10" s="141"/>
      <c r="V10" s="141"/>
      <c r="W10" s="141"/>
    </row>
    <row r="11" spans="1:23" ht="17.25" thickTop="1" thickBot="1" x14ac:dyDescent="0.3">
      <c r="A11" s="2" t="s">
        <v>26</v>
      </c>
      <c r="B11" s="4" t="s">
        <v>5</v>
      </c>
      <c r="C11" s="66"/>
      <c r="E11" s="50" t="s">
        <v>27</v>
      </c>
      <c r="F11" s="76" t="e">
        <f>'4a'!Q55</f>
        <v>#DIV/0!</v>
      </c>
      <c r="G11" s="76" t="e">
        <f>'4b'!R55</f>
        <v>#DIV/0!</v>
      </c>
      <c r="H11" s="76" t="e">
        <f>'4c'!M55</f>
        <v>#DIV/0!</v>
      </c>
      <c r="I11" s="76" t="e">
        <f>'4d'!H55</f>
        <v>#DIV/0!</v>
      </c>
      <c r="J11" s="76" t="e">
        <f>'4e'!J55</f>
        <v>#DIV/0!</v>
      </c>
      <c r="K11" s="76" t="e">
        <f>'4f'!F55</f>
        <v>#DIV/0!</v>
      </c>
      <c r="L11" s="76" t="e">
        <f>'4g'!K55</f>
        <v>#DIV/0!</v>
      </c>
      <c r="M11" s="76" t="e">
        <f>'4h'!L55</f>
        <v>#DIV/0!</v>
      </c>
      <c r="N11" s="90" t="e">
        <f t="shared" ref="N11:N16" si="2">AVERAGE(F11:M11)</f>
        <v>#DIV/0!</v>
      </c>
      <c r="P11" s="137"/>
      <c r="Q11" s="141"/>
      <c r="R11" s="141"/>
      <c r="S11" s="141"/>
      <c r="T11" s="141"/>
      <c r="U11" s="141"/>
      <c r="V11" s="141"/>
      <c r="W11" s="141"/>
    </row>
    <row r="12" spans="1:23" ht="17.25" thickTop="1" thickBot="1" x14ac:dyDescent="0.3">
      <c r="A12" s="2" t="s">
        <v>28</v>
      </c>
      <c r="B12" s="4" t="s">
        <v>5</v>
      </c>
      <c r="C12" s="66"/>
      <c r="E12" s="51" t="s">
        <v>29</v>
      </c>
      <c r="F12" s="52" t="e">
        <f>'4a'!Q56</f>
        <v>#DIV/0!</v>
      </c>
      <c r="G12" s="52" t="e">
        <f>'4b'!R56</f>
        <v>#DIV/0!</v>
      </c>
      <c r="H12" s="52" t="e">
        <f>'4c'!M56</f>
        <v>#DIV/0!</v>
      </c>
      <c r="I12" s="52" t="e">
        <f>'4d'!H56</f>
        <v>#DIV/0!</v>
      </c>
      <c r="J12" s="76" t="e">
        <f>'4e'!J56</f>
        <v>#DIV/0!</v>
      </c>
      <c r="K12" s="76" t="e">
        <f>'4f'!F56</f>
        <v>#DIV/0!</v>
      </c>
      <c r="L12" s="76" t="e">
        <f>'4g'!K56</f>
        <v>#DIV/0!</v>
      </c>
      <c r="M12" s="76" t="e">
        <f>'4h'!L56</f>
        <v>#DIV/0!</v>
      </c>
      <c r="N12" s="90" t="e">
        <f t="shared" si="2"/>
        <v>#DIV/0!</v>
      </c>
      <c r="P12" s="137"/>
      <c r="Q12" s="141"/>
      <c r="R12" s="141"/>
      <c r="S12" s="141"/>
      <c r="T12" s="141"/>
      <c r="U12" s="141"/>
      <c r="V12" s="141"/>
      <c r="W12" s="141"/>
    </row>
    <row r="13" spans="1:23" ht="17.25" thickTop="1" thickBot="1" x14ac:dyDescent="0.3">
      <c r="A13" s="2" t="s">
        <v>30</v>
      </c>
      <c r="B13" s="3" t="s">
        <v>5</v>
      </c>
      <c r="C13" s="66"/>
      <c r="E13" s="51" t="s">
        <v>31</v>
      </c>
      <c r="F13" s="52" t="e">
        <f>'4a'!Q57</f>
        <v>#DIV/0!</v>
      </c>
      <c r="G13" s="52" t="e">
        <f>'4b'!R57</f>
        <v>#DIV/0!</v>
      </c>
      <c r="H13" s="52" t="e">
        <f>'4c'!M57</f>
        <v>#DIV/0!</v>
      </c>
      <c r="I13" s="52" t="e">
        <f>'4d'!H57</f>
        <v>#DIV/0!</v>
      </c>
      <c r="J13" s="76" t="e">
        <f>'4e'!J57</f>
        <v>#DIV/0!</v>
      </c>
      <c r="K13" s="76" t="e">
        <f>'4f'!F57</f>
        <v>#DIV/0!</v>
      </c>
      <c r="L13" s="76" t="e">
        <f>'4g'!K57</f>
        <v>#DIV/0!</v>
      </c>
      <c r="M13" s="76" t="e">
        <f>'4h'!L57</f>
        <v>#DIV/0!</v>
      </c>
      <c r="N13" s="90" t="e">
        <f t="shared" si="2"/>
        <v>#DIV/0!</v>
      </c>
      <c r="P13" s="137"/>
      <c r="Q13" s="141"/>
      <c r="R13" s="141"/>
      <c r="S13" s="141"/>
      <c r="T13" s="141"/>
      <c r="U13" s="141"/>
      <c r="V13" s="141"/>
      <c r="W13" s="141"/>
    </row>
    <row r="14" spans="1:23" ht="17.25" thickTop="1" thickBot="1" x14ac:dyDescent="0.3">
      <c r="A14" s="2" t="s">
        <v>32</v>
      </c>
      <c r="B14" s="3" t="s">
        <v>5</v>
      </c>
      <c r="C14" s="66"/>
      <c r="E14" s="51" t="s">
        <v>33</v>
      </c>
      <c r="F14" s="52" t="e">
        <f>'4a'!Q58</f>
        <v>#DIV/0!</v>
      </c>
      <c r="G14" s="52" t="e">
        <f>'4b'!R58</f>
        <v>#DIV/0!</v>
      </c>
      <c r="H14" s="52" t="e">
        <f>'4c'!M58</f>
        <v>#DIV/0!</v>
      </c>
      <c r="I14" s="52" t="e">
        <f>'4d'!H58</f>
        <v>#DIV/0!</v>
      </c>
      <c r="J14" s="76" t="e">
        <f>'4e'!J58</f>
        <v>#DIV/0!</v>
      </c>
      <c r="K14" s="76" t="e">
        <f>'4f'!F58</f>
        <v>#DIV/0!</v>
      </c>
      <c r="L14" s="76" t="e">
        <f>'4g'!K58</f>
        <v>#DIV/0!</v>
      </c>
      <c r="M14" s="76" t="e">
        <f>'4h'!L58</f>
        <v>#DIV/0!</v>
      </c>
      <c r="N14" s="90" t="e">
        <f t="shared" si="2"/>
        <v>#DIV/0!</v>
      </c>
      <c r="P14" s="137"/>
      <c r="Q14" s="141"/>
      <c r="R14" s="141"/>
      <c r="S14" s="141"/>
      <c r="T14" s="141"/>
      <c r="U14" s="141"/>
      <c r="V14" s="141"/>
      <c r="W14" s="141"/>
    </row>
    <row r="15" spans="1:23" ht="17.25" thickTop="1" thickBot="1" x14ac:dyDescent="0.3">
      <c r="A15" s="2" t="s">
        <v>34</v>
      </c>
      <c r="B15" s="3" t="s">
        <v>5</v>
      </c>
      <c r="C15" s="66"/>
      <c r="E15" s="46" t="s">
        <v>35</v>
      </c>
      <c r="F15" s="52" t="e">
        <f t="shared" ref="F15:M15" si="3">SUM(F13:F14)</f>
        <v>#DIV/0!</v>
      </c>
      <c r="G15" s="52" t="e">
        <f t="shared" si="3"/>
        <v>#DIV/0!</v>
      </c>
      <c r="H15" s="52" t="e">
        <f t="shared" si="3"/>
        <v>#DIV/0!</v>
      </c>
      <c r="I15" s="52" t="e">
        <f t="shared" si="3"/>
        <v>#DIV/0!</v>
      </c>
      <c r="J15" s="52" t="e">
        <f t="shared" si="3"/>
        <v>#DIV/0!</v>
      </c>
      <c r="K15" s="52" t="e">
        <f t="shared" si="3"/>
        <v>#DIV/0!</v>
      </c>
      <c r="L15" s="52" t="e">
        <f t="shared" si="3"/>
        <v>#DIV/0!</v>
      </c>
      <c r="M15" s="52" t="e">
        <f t="shared" si="3"/>
        <v>#DIV/0!</v>
      </c>
      <c r="N15" s="53" t="e">
        <f t="shared" si="2"/>
        <v>#DIV/0!</v>
      </c>
    </row>
    <row r="16" spans="1:23" ht="17.25" thickTop="1" thickBot="1" x14ac:dyDescent="0.3">
      <c r="A16" s="2" t="s">
        <v>36</v>
      </c>
      <c r="B16" s="3" t="s">
        <v>5</v>
      </c>
      <c r="C16" s="66"/>
      <c r="E16" s="51" t="s">
        <v>37</v>
      </c>
      <c r="F16" s="145" t="e">
        <f>'4a'!B44</f>
        <v>#DIV/0!</v>
      </c>
      <c r="G16" s="145" t="e">
        <f>'4b'!B44</f>
        <v>#DIV/0!</v>
      </c>
      <c r="H16" s="145" t="e">
        <f>'4c'!B44</f>
        <v>#DIV/0!</v>
      </c>
      <c r="I16" s="145" t="e">
        <f>'4d'!B44</f>
        <v>#DIV/0!</v>
      </c>
      <c r="J16" s="144" t="e">
        <f>'4e'!B44</f>
        <v>#DIV/0!</v>
      </c>
      <c r="K16" s="145" t="e">
        <f>'4f'!B44</f>
        <v>#DIV/0!</v>
      </c>
      <c r="L16" s="145" t="e">
        <f>'4g'!B44</f>
        <v>#DIV/0!</v>
      </c>
      <c r="M16" s="145" t="e">
        <f>'4h'!B44</f>
        <v>#DIV/0!</v>
      </c>
      <c r="N16" s="159" t="e">
        <f t="shared" si="2"/>
        <v>#DIV/0!</v>
      </c>
    </row>
    <row r="17" spans="1:15" ht="17.25" thickTop="1" thickBot="1" x14ac:dyDescent="0.3">
      <c r="A17" s="2" t="s">
        <v>38</v>
      </c>
      <c r="B17" s="3" t="s">
        <v>5</v>
      </c>
      <c r="C17" s="66"/>
      <c r="E17" s="79" t="s">
        <v>39</v>
      </c>
      <c r="F17" s="72" t="s">
        <v>5</v>
      </c>
      <c r="G17" s="72" t="s">
        <v>6</v>
      </c>
      <c r="H17" s="72" t="s">
        <v>7</v>
      </c>
      <c r="I17" s="72" t="s">
        <v>8</v>
      </c>
      <c r="J17" s="72" t="s">
        <v>9</v>
      </c>
      <c r="K17" s="72" t="s">
        <v>10</v>
      </c>
      <c r="L17" s="154" t="s">
        <v>11</v>
      </c>
      <c r="M17" s="154" t="s">
        <v>12</v>
      </c>
      <c r="N17" s="73" t="s">
        <v>13</v>
      </c>
    </row>
    <row r="18" spans="1:15" ht="17.25" thickTop="1" thickBot="1" x14ac:dyDescent="0.3">
      <c r="A18" s="2" t="s">
        <v>40</v>
      </c>
      <c r="B18" s="3" t="s">
        <v>5</v>
      </c>
      <c r="C18" s="66"/>
      <c r="E18" s="50" t="s">
        <v>41</v>
      </c>
      <c r="F18" s="77" t="e">
        <f>'4a'!B51/'4a'!I51</f>
        <v>#DIV/0!</v>
      </c>
      <c r="G18" s="77" t="e">
        <f>'4b'!B51/'4b'!I51</f>
        <v>#DIV/0!</v>
      </c>
      <c r="H18" s="77" t="e">
        <f>'4c'!B51/'4c'!I51</f>
        <v>#DIV/0!</v>
      </c>
      <c r="I18" s="77" t="e">
        <f>'4d'!B51/'4d'!I51</f>
        <v>#DIV/0!</v>
      </c>
      <c r="J18" s="77" t="e">
        <f>'4e'!B51/'4e'!I51</f>
        <v>#DIV/0!</v>
      </c>
      <c r="K18" s="77" t="e">
        <f>'4f'!B51/'4f'!I51</f>
        <v>#DIV/0!</v>
      </c>
      <c r="L18" s="77" t="e">
        <f>'4g'!B51/'4g'!I51</f>
        <v>#DIV/0!</v>
      </c>
      <c r="M18" s="77" t="e">
        <f>'4h'!B51/'4h'!I51</f>
        <v>#DIV/0!</v>
      </c>
      <c r="N18" s="78" t="e">
        <f>AVERAGE(F18:M18)</f>
        <v>#DIV/0!</v>
      </c>
      <c r="O18" s="142"/>
    </row>
    <row r="19" spans="1:15" ht="17.25" thickTop="1" thickBot="1" x14ac:dyDescent="0.3">
      <c r="A19" s="2" t="s">
        <v>42</v>
      </c>
      <c r="B19" s="3" t="s">
        <v>6</v>
      </c>
      <c r="C19" s="66"/>
      <c r="E19" s="51" t="s">
        <v>43</v>
      </c>
      <c r="F19" s="54" t="e">
        <f>'4a'!C51/'4a'!I51</f>
        <v>#DIV/0!</v>
      </c>
      <c r="G19" s="77" t="e">
        <f>'4b'!C51/'4b'!I51</f>
        <v>#DIV/0!</v>
      </c>
      <c r="H19" s="54" t="e">
        <f>'4c'!C51/'4c'!I51</f>
        <v>#DIV/0!</v>
      </c>
      <c r="I19" s="54" t="e">
        <f>'4d'!C51/'4d'!I51</f>
        <v>#DIV/0!</v>
      </c>
      <c r="J19" s="54" t="e">
        <f>'4e'!C51/'4e'!I51</f>
        <v>#DIV/0!</v>
      </c>
      <c r="K19" s="54" t="e">
        <f>'4f'!C51/'4f'!I51</f>
        <v>#DIV/0!</v>
      </c>
      <c r="L19" s="77" t="e">
        <f>'4g'!C51/'4g'!I51</f>
        <v>#DIV/0!</v>
      </c>
      <c r="M19" s="54" t="e">
        <f>'4h'!C51/'4h'!I51</f>
        <v>#DIV/0!</v>
      </c>
      <c r="N19" s="78" t="e">
        <f t="shared" ref="N19:N24" si="4">AVERAGE(F19:M19)</f>
        <v>#DIV/0!</v>
      </c>
      <c r="O19" s="142"/>
    </row>
    <row r="20" spans="1:15" ht="17.25" thickTop="1" thickBot="1" x14ac:dyDescent="0.3">
      <c r="A20" s="2" t="s">
        <v>44</v>
      </c>
      <c r="B20" s="4" t="s">
        <v>6</v>
      </c>
      <c r="C20" s="66"/>
      <c r="E20" s="51" t="s">
        <v>45</v>
      </c>
      <c r="F20" s="54" t="e">
        <f>'4a'!D51/'4a'!I51</f>
        <v>#DIV/0!</v>
      </c>
      <c r="G20" s="77" t="e">
        <f>'4b'!D51/'4b'!I51</f>
        <v>#DIV/0!</v>
      </c>
      <c r="H20" s="54" t="e">
        <f>'4c'!D51/'4c'!I51</f>
        <v>#DIV/0!</v>
      </c>
      <c r="I20" s="54" t="e">
        <f>'4d'!D51/'4d'!I51</f>
        <v>#DIV/0!</v>
      </c>
      <c r="J20" s="54" t="e">
        <f>'4e'!D51/'4e'!I51</f>
        <v>#DIV/0!</v>
      </c>
      <c r="K20" s="54" t="e">
        <f>'4f'!D51/'4f'!I51</f>
        <v>#DIV/0!</v>
      </c>
      <c r="L20" s="77" t="e">
        <f>'4g'!D51/'4g'!I51</f>
        <v>#DIV/0!</v>
      </c>
      <c r="M20" s="54" t="e">
        <f>'4h'!D51/'4h'!I51</f>
        <v>#DIV/0!</v>
      </c>
      <c r="N20" s="78" t="e">
        <f t="shared" si="4"/>
        <v>#DIV/0!</v>
      </c>
      <c r="O20" s="142"/>
    </row>
    <row r="21" spans="1:15" ht="17.25" thickTop="1" thickBot="1" x14ac:dyDescent="0.3">
      <c r="A21" s="2" t="s">
        <v>46</v>
      </c>
      <c r="B21" s="3" t="s">
        <v>6</v>
      </c>
      <c r="C21" s="66"/>
      <c r="E21" s="51" t="s">
        <v>47</v>
      </c>
      <c r="F21" s="54" t="e">
        <f>'4a'!E51/'4a'!I51</f>
        <v>#DIV/0!</v>
      </c>
      <c r="G21" s="77" t="e">
        <f>'4b'!E51/'4b'!I51</f>
        <v>#DIV/0!</v>
      </c>
      <c r="H21" s="54" t="e">
        <f>'4c'!E51/'4c'!I51</f>
        <v>#DIV/0!</v>
      </c>
      <c r="I21" s="54" t="e">
        <f>'4d'!E51/'4d'!I51</f>
        <v>#DIV/0!</v>
      </c>
      <c r="J21" s="54" t="e">
        <f>'4e'!E51/'4e'!I51</f>
        <v>#DIV/0!</v>
      </c>
      <c r="K21" s="54" t="e">
        <f>'4f'!E51/'4f'!I51</f>
        <v>#DIV/0!</v>
      </c>
      <c r="L21" s="77" t="e">
        <f>'4g'!E51/'4g'!I51</f>
        <v>#DIV/0!</v>
      </c>
      <c r="M21" s="54" t="e">
        <f>'4h'!E51/'4h'!I51</f>
        <v>#DIV/0!</v>
      </c>
      <c r="N21" s="78" t="e">
        <f t="shared" si="4"/>
        <v>#DIV/0!</v>
      </c>
      <c r="O21" s="142"/>
    </row>
    <row r="22" spans="1:15" ht="17.25" thickTop="1" thickBot="1" x14ac:dyDescent="0.3">
      <c r="A22" s="2" t="s">
        <v>48</v>
      </c>
      <c r="B22" s="3" t="s">
        <v>6</v>
      </c>
      <c r="C22" s="66"/>
      <c r="E22" s="46" t="s">
        <v>49</v>
      </c>
      <c r="F22" s="54" t="e">
        <f>'4a'!F51/'4a'!I51</f>
        <v>#DIV/0!</v>
      </c>
      <c r="G22" s="77" t="e">
        <f>'4b'!F51/'4b'!I51</f>
        <v>#DIV/0!</v>
      </c>
      <c r="H22" s="54" t="e">
        <f>'4c'!F51/'4c'!I51</f>
        <v>#DIV/0!</v>
      </c>
      <c r="I22" s="54" t="e">
        <f>'4d'!F51/'4d'!I51</f>
        <v>#DIV/0!</v>
      </c>
      <c r="J22" s="54" t="e">
        <f>'4e'!F51/'4e'!I51</f>
        <v>#DIV/0!</v>
      </c>
      <c r="K22" s="54" t="e">
        <f>'4f'!F51/'4f'!I51</f>
        <v>#DIV/0!</v>
      </c>
      <c r="L22" s="77" t="e">
        <f>'4g'!F51/'4g'!I51</f>
        <v>#DIV/0!</v>
      </c>
      <c r="M22" s="54" t="e">
        <f>'4h'!F51/'4h'!I51</f>
        <v>#DIV/0!</v>
      </c>
      <c r="N22" s="78" t="e">
        <f t="shared" si="4"/>
        <v>#DIV/0!</v>
      </c>
      <c r="O22" s="142"/>
    </row>
    <row r="23" spans="1:15" ht="17.25" thickTop="1" thickBot="1" x14ac:dyDescent="0.3">
      <c r="A23" s="2" t="s">
        <v>50</v>
      </c>
      <c r="B23" s="3" t="s">
        <v>6</v>
      </c>
      <c r="C23" s="66"/>
      <c r="E23" s="46" t="s">
        <v>51</v>
      </c>
      <c r="F23" s="54" t="e">
        <f>'4a'!G51/'4a'!I51</f>
        <v>#DIV/0!</v>
      </c>
      <c r="G23" s="77" t="e">
        <f>'4b'!G51/'4b'!I51</f>
        <v>#DIV/0!</v>
      </c>
      <c r="H23" s="54" t="e">
        <f>'4c'!G51/'4c'!I51</f>
        <v>#DIV/0!</v>
      </c>
      <c r="I23" s="54" t="e">
        <f>'4d'!G51/'4d'!I51</f>
        <v>#DIV/0!</v>
      </c>
      <c r="J23" s="54" t="e">
        <f>'4e'!G51/'4e'!I51</f>
        <v>#DIV/0!</v>
      </c>
      <c r="K23" s="54" t="e">
        <f>'4f'!G51/'4f'!I51</f>
        <v>#DIV/0!</v>
      </c>
      <c r="L23" s="77" t="e">
        <f>'4g'!G51/'4g'!I51</f>
        <v>#DIV/0!</v>
      </c>
      <c r="M23" s="54" t="e">
        <f>'4h'!G51/'4h'!I51</f>
        <v>#DIV/0!</v>
      </c>
      <c r="N23" s="78" t="e">
        <f t="shared" si="4"/>
        <v>#DIV/0!</v>
      </c>
      <c r="O23" s="142"/>
    </row>
    <row r="24" spans="1:15" ht="17.25" thickTop="1" thickBot="1" x14ac:dyDescent="0.3">
      <c r="A24" s="2" t="s">
        <v>52</v>
      </c>
      <c r="B24" s="4" t="s">
        <v>6</v>
      </c>
      <c r="C24" s="66"/>
      <c r="E24" s="51" t="s">
        <v>53</v>
      </c>
      <c r="F24" s="54" t="e">
        <f>'4a'!H51/'4a'!I51</f>
        <v>#DIV/0!</v>
      </c>
      <c r="G24" s="77" t="e">
        <f>'4b'!H51/'4b'!I51</f>
        <v>#DIV/0!</v>
      </c>
      <c r="H24" s="54" t="e">
        <f>'4c'!H51/'4c'!I51</f>
        <v>#DIV/0!</v>
      </c>
      <c r="I24" s="54" t="e">
        <f>'4d'!H51/'4d'!I51</f>
        <v>#DIV/0!</v>
      </c>
      <c r="J24" s="54" t="e">
        <f>'4e'!H51/'4e'!I51</f>
        <v>#DIV/0!</v>
      </c>
      <c r="K24" s="54" t="e">
        <f>'4f'!H51/'4f'!I51</f>
        <v>#DIV/0!</v>
      </c>
      <c r="L24" s="77" t="e">
        <f>'4g'!H51/'4g'!I51</f>
        <v>#DIV/0!</v>
      </c>
      <c r="M24" s="54" t="e">
        <f>'4h'!H51/'4h'!I51</f>
        <v>#DIV/0!</v>
      </c>
      <c r="N24" s="78" t="e">
        <f t="shared" si="4"/>
        <v>#DIV/0!</v>
      </c>
      <c r="O24" s="142"/>
    </row>
    <row r="25" spans="1:15" ht="17.25" thickTop="1" thickBot="1" x14ac:dyDescent="0.3">
      <c r="A25" s="2" t="s">
        <v>54</v>
      </c>
      <c r="B25" s="4" t="s">
        <v>6</v>
      </c>
      <c r="C25" s="66"/>
      <c r="N25" s="143"/>
      <c r="O25" s="142"/>
    </row>
    <row r="26" spans="1:15" ht="17.25" thickTop="1" thickBot="1" x14ac:dyDescent="0.3">
      <c r="A26" s="2" t="s">
        <v>55</v>
      </c>
      <c r="B26" s="4" t="s">
        <v>6</v>
      </c>
      <c r="C26" s="66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</row>
    <row r="27" spans="1:15" ht="17.25" thickTop="1" thickBot="1" x14ac:dyDescent="0.3">
      <c r="A27" s="2" t="s">
        <v>56</v>
      </c>
      <c r="B27" s="4" t="s">
        <v>6</v>
      </c>
      <c r="C27" s="66"/>
      <c r="F27" s="142"/>
      <c r="H27" s="142"/>
      <c r="I27" s="142"/>
      <c r="J27" s="142"/>
      <c r="K27" s="142"/>
      <c r="L27" s="142"/>
      <c r="M27" s="142"/>
      <c r="N27" s="142"/>
      <c r="O27" s="142"/>
    </row>
    <row r="28" spans="1:15" ht="17.25" thickTop="1" thickBot="1" x14ac:dyDescent="0.3">
      <c r="A28" s="2" t="s">
        <v>57</v>
      </c>
      <c r="B28" s="4" t="s">
        <v>6</v>
      </c>
      <c r="D28" s="156" t="s">
        <v>58</v>
      </c>
      <c r="E28" s="157" t="s">
        <v>59</v>
      </c>
      <c r="F28" s="72" t="s">
        <v>5</v>
      </c>
      <c r="G28" s="72" t="s">
        <v>6</v>
      </c>
      <c r="H28" s="72" t="s">
        <v>7</v>
      </c>
      <c r="I28" s="72" t="s">
        <v>8</v>
      </c>
      <c r="J28" s="72" t="s">
        <v>9</v>
      </c>
      <c r="K28" s="72" t="s">
        <v>10</v>
      </c>
      <c r="L28" s="154" t="s">
        <v>11</v>
      </c>
      <c r="M28" s="154" t="s">
        <v>12</v>
      </c>
      <c r="N28" s="158" t="s">
        <v>60</v>
      </c>
    </row>
    <row r="29" spans="1:15" ht="17.25" thickTop="1" thickBot="1" x14ac:dyDescent="0.3">
      <c r="A29" s="2" t="s">
        <v>61</v>
      </c>
      <c r="B29" s="3" t="s">
        <v>6</v>
      </c>
      <c r="D29" s="60">
        <f>COUNTIF(A:A, "CENG-2010*")</f>
        <v>2</v>
      </c>
      <c r="E29" s="60" t="s">
        <v>62</v>
      </c>
      <c r="F29" s="48">
        <f>COUNTIF('4a'!$B$1:$P$1, "CENG-2010*")</f>
        <v>0</v>
      </c>
      <c r="G29" s="48">
        <f>COUNTIF('4b'!$B$1:$Q$1, "CENG-2010*")</f>
        <v>1</v>
      </c>
      <c r="H29" s="48">
        <f>COUNTIF('4c'!$B$1:$L$1, "CENG-2010*")</f>
        <v>0</v>
      </c>
      <c r="I29" s="48">
        <f>COUNTIF('4d'!$B$1:$G$1, "CENG-2010*")</f>
        <v>0</v>
      </c>
      <c r="J29" s="155">
        <f>COUNTIFS('4e'!$B$1:$I$1, "CENG-2010*")</f>
        <v>0</v>
      </c>
      <c r="K29" s="48">
        <f>COUNTIF('4f'!$B$1:$E$1, "CENG-2010*")</f>
        <v>0</v>
      </c>
      <c r="L29" s="48">
        <f>COUNTIF('4g'!$B$1:$J$1, "CENG-2010*")</f>
        <v>0</v>
      </c>
      <c r="M29" s="48">
        <f>COUNTIF('4h'!$B$1:$K$1, "CENG-2010*")</f>
        <v>1</v>
      </c>
      <c r="N29" s="49">
        <f>SUM(F29:M29)</f>
        <v>2</v>
      </c>
    </row>
    <row r="30" spans="1:15" ht="17.25" thickTop="1" thickBot="1" x14ac:dyDescent="0.3">
      <c r="A30" s="2" t="s">
        <v>63</v>
      </c>
      <c r="B30" s="3" t="s">
        <v>6</v>
      </c>
      <c r="D30" s="55">
        <f>COUNTIF(A:A, "CENG-2030*")</f>
        <v>0</v>
      </c>
      <c r="E30" s="55" t="s">
        <v>64</v>
      </c>
      <c r="F30" s="45">
        <f>COUNTIF('4a'!$B$1:$P$1, "CENG-2030*")</f>
        <v>0</v>
      </c>
      <c r="G30" s="45">
        <f>COUNTIF('4b'!$B$1:$Q$1, "CENG-2030*")</f>
        <v>0</v>
      </c>
      <c r="H30" s="45">
        <f>COUNTIF('4c'!$B$1:$L$1, "CENG-2030*")</f>
        <v>0</v>
      </c>
      <c r="I30" s="45">
        <f>COUNTIF('4d'!$B$1:$G$1, "CENG-2030*")</f>
        <v>0</v>
      </c>
      <c r="J30" s="83">
        <f>COUNTIFS('4e'!$B$1:$I$1, "CENG-2030*")</f>
        <v>0</v>
      </c>
      <c r="K30" s="45">
        <f>COUNTIF('4f'!$B$1:$E$1, "CENG-2030*")</f>
        <v>0</v>
      </c>
      <c r="L30" s="48">
        <f>COUNTIF('4g'!$B$1:$J$1, "CENG-2030*")</f>
        <v>0</v>
      </c>
      <c r="M30" s="48">
        <f>COUNTIF('4h'!$B$1:$K$1, "CENG-2030*")</f>
        <v>0</v>
      </c>
      <c r="N30" s="49">
        <f t="shared" ref="N30:N31" si="5">SUM(F30:M30)</f>
        <v>0</v>
      </c>
    </row>
    <row r="31" spans="1:15" ht="17.25" thickTop="1" thickBot="1" x14ac:dyDescent="0.3">
      <c r="A31" s="2" t="s">
        <v>65</v>
      </c>
      <c r="B31" s="3" t="s">
        <v>6</v>
      </c>
      <c r="D31" s="55">
        <f>COUNTIF(A:A, "CENG-3010*")</f>
        <v>4</v>
      </c>
      <c r="E31" s="55" t="s">
        <v>66</v>
      </c>
      <c r="F31" s="45">
        <f>COUNTIF('4a'!$B$1:$P$1, "CENG-3010*")</f>
        <v>0</v>
      </c>
      <c r="G31" s="45">
        <f>COUNTIF('4b'!$B$1:$Q$1, "CENG-3010*")</f>
        <v>2</v>
      </c>
      <c r="H31" s="45">
        <f>COUNTIF('4c'!$B$1:$L$1, "CENG-3010*")</f>
        <v>1</v>
      </c>
      <c r="I31" s="45">
        <f>COUNTIF('4d'!$B$1:$G$1, "CENG-3010*")</f>
        <v>0</v>
      </c>
      <c r="J31" s="83">
        <f>COUNTIFS('4e'!$B$1:$I$1, "CENG-3010*")</f>
        <v>1</v>
      </c>
      <c r="K31" s="45">
        <f>COUNTIF('4f'!$B$1:$E$1, "CENG-3010*")</f>
        <v>0</v>
      </c>
      <c r="L31" s="48">
        <f>COUNTIF('4g'!$B$1:$J$1, "CENG-3010*")</f>
        <v>0</v>
      </c>
      <c r="M31" s="48">
        <f>COUNTIF('4h'!$B$1:$K$1, "CENG-3010*")</f>
        <v>0</v>
      </c>
      <c r="N31" s="49">
        <f t="shared" si="5"/>
        <v>4</v>
      </c>
    </row>
    <row r="32" spans="1:15" ht="17.25" thickTop="1" thickBot="1" x14ac:dyDescent="0.3">
      <c r="A32" s="2" t="s">
        <v>67</v>
      </c>
      <c r="B32" s="4" t="s">
        <v>6</v>
      </c>
      <c r="D32" s="55">
        <f>COUNTIF(A:A, "CENG-3020*")</f>
        <v>4</v>
      </c>
      <c r="E32" s="55" t="s">
        <v>68</v>
      </c>
      <c r="F32" s="45">
        <f>COUNTIF('4a'!$B$1:$P$1, "CENG-3020*")</f>
        <v>1</v>
      </c>
      <c r="G32" s="45">
        <f>COUNTIF('4b'!$B$1:$Q$1, "CENG-3020*")</f>
        <v>1</v>
      </c>
      <c r="H32" s="45">
        <f>COUNTIF('4c'!$B$1:$L$1, "CENG-3020*")</f>
        <v>0</v>
      </c>
      <c r="I32" s="45">
        <f>COUNTIF('4d'!$B$1:$G$1, "CENG-3020*")</f>
        <v>1</v>
      </c>
      <c r="J32" s="83">
        <f>COUNTIFS('4e'!$B$1:$I$1, "CENG-3020*")</f>
        <v>0</v>
      </c>
      <c r="K32" s="45">
        <f>COUNTIF('4f'!$B$1:$E$1, "CENG-3020*")</f>
        <v>0</v>
      </c>
      <c r="L32" s="48">
        <f>COUNTIF('4g'!$B$1:$J$1, "CENG-3020*")</f>
        <v>0</v>
      </c>
      <c r="M32" s="48">
        <f>COUNTIF('4h'!$B$1:$K$1, "CENG-3020*")</f>
        <v>1</v>
      </c>
      <c r="N32" s="49">
        <f t="shared" ref="N32" si="6">SUM(F32:M32)</f>
        <v>4</v>
      </c>
    </row>
    <row r="33" spans="1:14" ht="17.25" thickTop="1" thickBot="1" x14ac:dyDescent="0.3">
      <c r="A33" s="2" t="s">
        <v>69</v>
      </c>
      <c r="B33" s="3" t="s">
        <v>6</v>
      </c>
      <c r="D33" s="55">
        <f>COUNTIF(A:A, "CENG-3310*")</f>
        <v>0</v>
      </c>
      <c r="E33" s="55" t="s">
        <v>70</v>
      </c>
      <c r="F33" s="61">
        <f>COUNTIF('4a'!$B$1:$P$1, "CENG-3310*")</f>
        <v>0</v>
      </c>
      <c r="G33" s="45">
        <f>COUNTIF('4b'!$B$1:$Q$1, "CENG-3310*")</f>
        <v>0</v>
      </c>
      <c r="H33" s="45">
        <f>COUNTIF('4c'!$B$1:$L$1, "CENG-3310*")</f>
        <v>0</v>
      </c>
      <c r="I33" s="45">
        <f>COUNTIF('4d'!$B$1:$G$1, "CENG-3310*")</f>
        <v>0</v>
      </c>
      <c r="J33" s="84">
        <f>COUNTIFS('4e'!$B$1:$I$1, "CENG-3310*")</f>
        <v>0</v>
      </c>
      <c r="K33" s="45">
        <f>COUNTIF('4f'!$B$1:$E$1, "CENG-3310*")</f>
        <v>0</v>
      </c>
      <c r="L33" s="48">
        <f>COUNTIF('4g'!$B$1:$J$1, "CENG-3310*")</f>
        <v>0</v>
      </c>
      <c r="M33" s="48">
        <f>COUNTIF('4h'!$B$1:$K$1, "CENG-3310*")</f>
        <v>0</v>
      </c>
      <c r="N33" s="49">
        <f>SUM(F33:M33)</f>
        <v>0</v>
      </c>
    </row>
    <row r="34" spans="1:14" ht="17.25" thickTop="1" thickBot="1" x14ac:dyDescent="0.3">
      <c r="A34" s="2" t="s">
        <v>71</v>
      </c>
      <c r="B34" s="3" t="s">
        <v>6</v>
      </c>
      <c r="D34" s="55">
        <f>COUNTIF(A:A, "CENG-4320*")</f>
        <v>0</v>
      </c>
      <c r="E34" s="55" t="s">
        <v>72</v>
      </c>
      <c r="F34" s="61">
        <f>COUNTIF('4a'!$B$1:$P$1, "CENG-4320*")</f>
        <v>0</v>
      </c>
      <c r="G34" s="45">
        <f>COUNTIF('4b'!$B$1:$Q$1, "CENG-4320*")</f>
        <v>0</v>
      </c>
      <c r="H34" s="45">
        <f>COUNTIF('4c'!$B$1:$L$1, "CENG-4320*")</f>
        <v>0</v>
      </c>
      <c r="I34" s="45">
        <f>COUNTIF('4d'!$B$1:$G$1, "CENG-4320*")</f>
        <v>0</v>
      </c>
      <c r="J34" s="84">
        <f>COUNTIFS('4e'!$B$1:$I$1, "CENG-4320*")</f>
        <v>0</v>
      </c>
      <c r="K34" s="45">
        <f>COUNTIF('4f'!$B$1:$E$1, "CENG-4320*")</f>
        <v>0</v>
      </c>
      <c r="L34" s="48">
        <f>COUNTIF('4g'!$B$1:$J$1, "CENG-4320*")</f>
        <v>0</v>
      </c>
      <c r="M34" s="48">
        <f>COUNTIF('4h'!$B$1:$K$1, "CENG-4320*")</f>
        <v>0</v>
      </c>
      <c r="N34" s="49">
        <f>SUM(F34:M34)</f>
        <v>0</v>
      </c>
    </row>
    <row r="35" spans="1:14" ht="17.25" thickTop="1" thickBot="1" x14ac:dyDescent="0.3">
      <c r="A35" s="2" t="s">
        <v>73</v>
      </c>
      <c r="B35" s="3" t="s">
        <v>7</v>
      </c>
      <c r="D35" s="55">
        <f>COUNTIF(A:A, "CHEM-1520*")</f>
        <v>0</v>
      </c>
      <c r="E35" s="55" t="s">
        <v>74</v>
      </c>
      <c r="F35" s="82">
        <f>COUNTIF('4a'!$B$1:$P$1, "CHEM-1520*")</f>
        <v>0</v>
      </c>
      <c r="G35" s="45">
        <f>COUNTIF('4b'!$B$1:$Q$1, "CHEM-1520*")</f>
        <v>0</v>
      </c>
      <c r="H35" s="45">
        <f>COUNTIF('4c'!$B$1:$L$1, "CHEM-1520*")</f>
        <v>0</v>
      </c>
      <c r="I35" s="45">
        <f>COUNTIF('4d'!$B$1:$G$1, "CHEM-1520*")</f>
        <v>0</v>
      </c>
      <c r="J35" s="84">
        <f>COUNTIFS('4e'!$B$1:$I$1, "CHEM-1520*")</f>
        <v>0</v>
      </c>
      <c r="K35" s="45">
        <f>COUNTIF('4f'!$B$1:$E$1, "CHEM-1520*")</f>
        <v>0</v>
      </c>
      <c r="L35" s="48">
        <f>COUNTIF('4g'!$B$1:$J$1, "CHEM-1520*")</f>
        <v>0</v>
      </c>
      <c r="M35" s="48">
        <f>COUNTIF('4h'!$B$1:$K$1, "CHEM-1520*")</f>
        <v>0</v>
      </c>
      <c r="N35" s="49">
        <f t="shared" ref="N35:N77" si="7">SUM(F35:M35)</f>
        <v>0</v>
      </c>
    </row>
    <row r="36" spans="1:14" ht="17.25" thickTop="1" thickBot="1" x14ac:dyDescent="0.3">
      <c r="A36" s="2" t="s">
        <v>75</v>
      </c>
      <c r="B36" s="3" t="s">
        <v>7</v>
      </c>
      <c r="D36" s="55">
        <f>COUNTIF(A:A, "CMNS-1290*")</f>
        <v>2</v>
      </c>
      <c r="E36" s="55" t="s">
        <v>76</v>
      </c>
      <c r="F36" s="82">
        <f>COUNTIF('4a'!$B$1:$P$1, "CMNS-1290*")</f>
        <v>2</v>
      </c>
      <c r="G36" s="45">
        <f>COUNTIF('4b'!$B$1:$Q$1, "CMNS-1290*")</f>
        <v>0</v>
      </c>
      <c r="H36" s="45">
        <f>COUNTIF('4c'!$B$1:$L$1, "CMNS-1290*")</f>
        <v>0</v>
      </c>
      <c r="I36" s="45">
        <f>COUNTIF('4d'!$B$1:$G$1, "CMNS-1290*")</f>
        <v>0</v>
      </c>
      <c r="J36" s="84">
        <f>COUNTIFS('4e'!$B$1:$I$1, "CMNS-1290*")</f>
        <v>0</v>
      </c>
      <c r="K36" s="45">
        <f>COUNTIF('4f'!$B$1:$E$1, "CMNS-1290*")</f>
        <v>0</v>
      </c>
      <c r="L36" s="48">
        <f>COUNTIF('4g'!$B$1:$J$1, "CMNS-1290*")</f>
        <v>0</v>
      </c>
      <c r="M36" s="48">
        <f>COUNTIF('4h'!$B$1:$K$1, "CMNS-1290*")</f>
        <v>0</v>
      </c>
      <c r="N36" s="49">
        <f t="shared" si="7"/>
        <v>2</v>
      </c>
    </row>
    <row r="37" spans="1:14" ht="17.25" thickTop="1" thickBot="1" x14ac:dyDescent="0.3">
      <c r="A37" s="2" t="s">
        <v>77</v>
      </c>
      <c r="B37" s="4" t="s">
        <v>7</v>
      </c>
      <c r="D37" s="55">
        <f>COUNTIF(A:A, "COMP-3410*")</f>
        <v>0</v>
      </c>
      <c r="E37" s="55" t="s">
        <v>78</v>
      </c>
      <c r="F37" s="45">
        <f>COUNTIF('4a'!$B$1:$P$1, "COMP-3410*")</f>
        <v>0</v>
      </c>
      <c r="G37" s="45">
        <f>COUNTIF('4b'!$B$1:$Q$1, "COMP-3410*")</f>
        <v>0</v>
      </c>
      <c r="H37" s="45">
        <f>COUNTIF('4c'!$B$1:$L$1, "COMP-3410*")</f>
        <v>0</v>
      </c>
      <c r="I37" s="45">
        <f>COUNTIF('4d'!$B$1:$G$1, "COMP-3410*")</f>
        <v>0</v>
      </c>
      <c r="J37" s="84">
        <f>COUNTIFS('4e'!$B$1:$I$1, "COMP-3410*")</f>
        <v>0</v>
      </c>
      <c r="K37" s="45">
        <f>COUNTIF('4f'!$B$1:$E$1, "COMP-3410*")</f>
        <v>0</v>
      </c>
      <c r="L37" s="48">
        <f>COUNTIF('4g'!$B$1:$J$1, "COMP-3410*")</f>
        <v>0</v>
      </c>
      <c r="M37" s="48">
        <f>COUNTIF('4h'!$B$1:$K$1, "COMP-3410*")</f>
        <v>0</v>
      </c>
      <c r="N37" s="49">
        <f t="shared" si="7"/>
        <v>0</v>
      </c>
    </row>
    <row r="38" spans="1:14" ht="17.25" thickTop="1" thickBot="1" x14ac:dyDescent="0.3">
      <c r="A38" s="2" t="s">
        <v>79</v>
      </c>
      <c r="B38" s="4" t="s">
        <v>7</v>
      </c>
      <c r="D38" s="55">
        <f>COUNTIF(A:A, "COMP-3610*")</f>
        <v>5</v>
      </c>
      <c r="E38" s="55" t="s">
        <v>80</v>
      </c>
      <c r="F38" s="45">
        <f>COUNTIF('4a'!$B$1:$P$1, "COMP-3610*")</f>
        <v>0</v>
      </c>
      <c r="G38" s="45">
        <f>COUNTIF('4b'!$B$1:$Q$1, "COMP-3610*")</f>
        <v>1</v>
      </c>
      <c r="H38" s="45">
        <f>COUNTIF('4c'!$B$1:$L$1, "COMP-3610*")</f>
        <v>2</v>
      </c>
      <c r="I38" s="45">
        <f>COUNTIF('4d'!$B$1:$G$1, "COMP-3610*")</f>
        <v>2</v>
      </c>
      <c r="J38" s="84">
        <f>COUNTIFS('4e'!$B$1:$I$1, "COMP-3610*")</f>
        <v>0</v>
      </c>
      <c r="K38" s="45">
        <f>COUNTIF('4f'!$B$1:$E$1, "COMP-3610*")</f>
        <v>0</v>
      </c>
      <c r="L38" s="48">
        <f>COUNTIF('4g'!$B$1:$J$1, "COMP-3610*")</f>
        <v>0</v>
      </c>
      <c r="M38" s="48">
        <f>COUNTIF('4h'!$B$1:$K$1, "COMP-3610*")</f>
        <v>0</v>
      </c>
      <c r="N38" s="49">
        <f t="shared" si="7"/>
        <v>5</v>
      </c>
    </row>
    <row r="39" spans="1:14" ht="17.25" thickTop="1" thickBot="1" x14ac:dyDescent="0.3">
      <c r="A39" s="2" t="s">
        <v>81</v>
      </c>
      <c r="B39" s="4" t="s">
        <v>7</v>
      </c>
      <c r="D39" s="55">
        <f>COUNTIF(A:A, "EENG-3010*")</f>
        <v>0</v>
      </c>
      <c r="E39" s="55" t="s">
        <v>82</v>
      </c>
      <c r="F39" s="48">
        <f>COUNTIF('4a'!$B$1:$P$1, "EENG-3010*")</f>
        <v>0</v>
      </c>
      <c r="G39" s="45">
        <f>COUNTIF('4b'!$B$1:$Q$1, "EENG-3010*")</f>
        <v>0</v>
      </c>
      <c r="H39" s="45">
        <f>COUNTIF('4c'!$B$1:$L$1, "EENG-3010*")</f>
        <v>0</v>
      </c>
      <c r="I39" s="45">
        <f>COUNTIF('4d'!$B$1:$G$1, "EENG-3010*")</f>
        <v>0</v>
      </c>
      <c r="J39" s="84">
        <f>COUNTIFS('4e'!$B$1:$I$1, "EENG-3010*")</f>
        <v>0</v>
      </c>
      <c r="K39" s="45">
        <f>COUNTIF('4f'!$B$1:$E$1, "EENG-3010*")</f>
        <v>0</v>
      </c>
      <c r="L39" s="48">
        <f>COUNTIF('4g'!$B$1:$J$1, "EENG-3010*")</f>
        <v>0</v>
      </c>
      <c r="M39" s="48">
        <f>COUNTIF('4h'!$B$1:$K$1, "EENG-3010*")</f>
        <v>0</v>
      </c>
      <c r="N39" s="49">
        <f t="shared" si="7"/>
        <v>0</v>
      </c>
    </row>
    <row r="40" spans="1:14" ht="17.25" thickTop="1" thickBot="1" x14ac:dyDescent="0.3">
      <c r="A40" s="2" t="s">
        <v>83</v>
      </c>
      <c r="B40" s="4" t="s">
        <v>7</v>
      </c>
      <c r="D40" s="55">
        <f>COUNTIF(A:A, "ENGL-1100*")</f>
        <v>0</v>
      </c>
      <c r="E40" s="55" t="s">
        <v>84</v>
      </c>
      <c r="F40" s="48">
        <f>COUNTIF('4a'!$B$1:$P$1, "ENGL-1100*")</f>
        <v>0</v>
      </c>
      <c r="G40" s="45">
        <f>COUNTIF('4b'!$B$1:$Q$1, "ENGL-1100*")</f>
        <v>0</v>
      </c>
      <c r="H40" s="45">
        <f>COUNTIF('4c'!$B$1:$L$1, "ENGL-1100*")</f>
        <v>0</v>
      </c>
      <c r="I40" s="45">
        <f>COUNTIF('4d'!$B$1:$G$1, "ENGL-1100*")</f>
        <v>0</v>
      </c>
      <c r="J40" s="84">
        <f>COUNTIFS('4e'!$B$1:$I$1, "ENGL-1100*")</f>
        <v>0</v>
      </c>
      <c r="K40" s="45">
        <f>COUNTIF('4f'!$B$1:$E$1, "ENGL-1100*")</f>
        <v>0</v>
      </c>
      <c r="L40" s="48">
        <f>COUNTIF('4g'!$B$1:$J$1, "ENGL-1100*")</f>
        <v>0</v>
      </c>
      <c r="M40" s="48">
        <f>COUNTIF('4h'!$B$1:$K$1, "ENGL-1100*")</f>
        <v>0</v>
      </c>
      <c r="N40" s="49">
        <f t="shared" si="7"/>
        <v>0</v>
      </c>
    </row>
    <row r="41" spans="1:14" ht="17.25" thickTop="1" thickBot="1" x14ac:dyDescent="0.3">
      <c r="A41" s="2" t="s">
        <v>85</v>
      </c>
      <c r="B41" s="4" t="s">
        <v>7</v>
      </c>
      <c r="D41" s="55">
        <f>COUNTIF(A:A, "ENGR-1100*")</f>
        <v>5</v>
      </c>
      <c r="E41" s="55" t="s">
        <v>86</v>
      </c>
      <c r="F41" s="48">
        <f>COUNTIF('4a'!$B$1:$P$1, "ENGR-1100*")</f>
        <v>1</v>
      </c>
      <c r="G41" s="45">
        <f>COUNTIF('4b'!$B$1:$Q$1, "ENGR-1100*")</f>
        <v>0</v>
      </c>
      <c r="H41" s="45">
        <f>COUNTIF('4c'!$B$1:$L$1, "ENGR-1100*")</f>
        <v>0</v>
      </c>
      <c r="I41" s="45">
        <f>COUNTIF('4d'!$B$1:$G$1, "ENGR-1100*")</f>
        <v>1</v>
      </c>
      <c r="J41" s="84">
        <f>COUNTIFS('4e'!$B$1:$I$1, "ENGR-1100*")</f>
        <v>1</v>
      </c>
      <c r="K41" s="45">
        <f>COUNTIF('4f'!$B$1:$E$1, "ENGR-1100*")</f>
        <v>0</v>
      </c>
      <c r="L41" s="48">
        <f>COUNTIF('4g'!$B$1:$J$1, "ENGR-1100*")</f>
        <v>1</v>
      </c>
      <c r="M41" s="48">
        <f>COUNTIF('4h'!$B$1:$K$1, "ENGR-1100*")</f>
        <v>1</v>
      </c>
      <c r="N41" s="49">
        <f t="shared" si="7"/>
        <v>5</v>
      </c>
    </row>
    <row r="42" spans="1:14" ht="17.25" thickTop="1" thickBot="1" x14ac:dyDescent="0.3">
      <c r="A42" s="2" t="s">
        <v>87</v>
      </c>
      <c r="B42" s="4" t="s">
        <v>7</v>
      </c>
      <c r="D42" s="55">
        <f>COUNTIF(A:A, "ENGR-1200*")</f>
        <v>5</v>
      </c>
      <c r="E42" s="55" t="s">
        <v>88</v>
      </c>
      <c r="F42" s="48">
        <f>COUNTIF('4a'!$B$1:$P$1, "ENGR-1200*")</f>
        <v>1</v>
      </c>
      <c r="G42" s="45">
        <f>COUNTIF('4b'!$B$1:$Q$1, "ENGR-1200*")</f>
        <v>1</v>
      </c>
      <c r="H42" s="45">
        <f>COUNTIF('4c'!$B$1:$L$1, "ENGR-1200*")</f>
        <v>0</v>
      </c>
      <c r="I42" s="45">
        <f>COUNTIF('4d'!$B$1:$G$1, "ENGR-1200*")</f>
        <v>0</v>
      </c>
      <c r="J42" s="84">
        <f>COUNTIFS('4e'!$B$1:$I$1, "ENGR-1200*")</f>
        <v>0</v>
      </c>
      <c r="K42" s="45">
        <f>COUNTIF('4f'!$B$1:$E$1, "ENGR-1200*")</f>
        <v>1</v>
      </c>
      <c r="L42" s="48">
        <f>COUNTIF('4g'!$B$1:$J$1, "ENGR-1200*")</f>
        <v>2</v>
      </c>
      <c r="M42" s="48">
        <f>COUNTIF('4h'!$B$1:$K$1, "ENGR-1200*")</f>
        <v>0</v>
      </c>
      <c r="N42" s="49">
        <f t="shared" si="7"/>
        <v>5</v>
      </c>
    </row>
    <row r="43" spans="1:14" ht="17.25" thickTop="1" thickBot="1" x14ac:dyDescent="0.3">
      <c r="A43" s="2" t="s">
        <v>89</v>
      </c>
      <c r="B43" s="4" t="s">
        <v>7</v>
      </c>
      <c r="D43" s="55">
        <f>COUNTIF(A:A, "ENGR-2000*")</f>
        <v>5</v>
      </c>
      <c r="E43" s="55" t="s">
        <v>90</v>
      </c>
      <c r="F43" s="48">
        <f>COUNTIF('4a'!$B$1:$P$1, "ENGR-2000*")</f>
        <v>1</v>
      </c>
      <c r="G43" s="45">
        <f>COUNTIF('4b'!$B$1:$Q$1, "ENGR-2000*")</f>
        <v>1</v>
      </c>
      <c r="H43" s="45">
        <f>COUNTIF('4c'!$B$1:$L$1, "ENGR-2000*")</f>
        <v>1</v>
      </c>
      <c r="I43" s="45">
        <f>COUNTIF('4d'!$B$1:$G$1, "ENGR-2000*")</f>
        <v>0</v>
      </c>
      <c r="J43" s="84">
        <f>COUNTIFS('4e'!$B$1:$I$1, "ENGR-2000*")</f>
        <v>0</v>
      </c>
      <c r="K43" s="45">
        <f>COUNTIF('4f'!$B$1:$E$1, "ENGR-2000*")</f>
        <v>1</v>
      </c>
      <c r="L43" s="48">
        <f>COUNTIF('4g'!$B$1:$J$1, "ENGR-2000*")</f>
        <v>1</v>
      </c>
      <c r="M43" s="48">
        <f>COUNTIF('4h'!$B$1:$K$1, "ENGR-2000*")</f>
        <v>0</v>
      </c>
      <c r="N43" s="49">
        <f t="shared" si="7"/>
        <v>5</v>
      </c>
    </row>
    <row r="44" spans="1:14" ht="17.25" thickTop="1" thickBot="1" x14ac:dyDescent="0.3">
      <c r="A44" s="2" t="s">
        <v>91</v>
      </c>
      <c r="B44" s="3" t="s">
        <v>7</v>
      </c>
      <c r="D44" s="55">
        <f>COUNTIF(A:A, "ENGR-2200*")</f>
        <v>2</v>
      </c>
      <c r="E44" s="55" t="s">
        <v>92</v>
      </c>
      <c r="F44" s="48">
        <f>COUNTIF('4a'!$B$1:$P$1, "ENGR-2200*")</f>
        <v>0</v>
      </c>
      <c r="G44" s="45">
        <f>COUNTIF('4b'!$B$1:$Q$1, "ENGR-2200*")</f>
        <v>0</v>
      </c>
      <c r="H44" s="45">
        <f>COUNTIF('4c'!$B$1:$L$1, "ENGR-2200*")</f>
        <v>0</v>
      </c>
      <c r="I44" s="45">
        <f>COUNTIF('4d'!$B$1:$G$1, "ENGR-2200*")</f>
        <v>0</v>
      </c>
      <c r="J44" s="84">
        <f>COUNTIFS('4e'!$B$1:$I$1, "ENGR-2200*")</f>
        <v>0</v>
      </c>
      <c r="K44" s="45">
        <f>COUNTIF('4f'!$B$1:$E$1, "ENGR-2200*")</f>
        <v>0</v>
      </c>
      <c r="L44" s="48">
        <f>COUNTIF('4g'!$B$1:$J$1, "ENGR-2200*")</f>
        <v>2</v>
      </c>
      <c r="M44" s="48">
        <f>COUNTIF('4h'!$B$1:$K$1, "ENGR-2200*")</f>
        <v>0</v>
      </c>
      <c r="N44" s="49">
        <f t="shared" si="7"/>
        <v>2</v>
      </c>
    </row>
    <row r="45" spans="1:14" ht="17.25" thickTop="1" thickBot="1" x14ac:dyDescent="0.3">
      <c r="A45" s="2" t="s">
        <v>93</v>
      </c>
      <c r="B45" s="3" t="s">
        <v>7</v>
      </c>
      <c r="D45" s="55">
        <f>COUNTIF(A:A, "ENGR-2300*")</f>
        <v>0</v>
      </c>
      <c r="E45" s="55" t="s">
        <v>94</v>
      </c>
      <c r="F45" s="48">
        <f>COUNTIF('4a'!$B$1:$P$1, "ENGR-2300*")</f>
        <v>0</v>
      </c>
      <c r="G45" s="45">
        <f>COUNTIF('4b'!$B$1:$Q$1, "ENGR-2300*")</f>
        <v>0</v>
      </c>
      <c r="H45" s="45">
        <f>COUNTIF('4c'!$B$1:$L$1, "ENGR-2300*")</f>
        <v>0</v>
      </c>
      <c r="I45" s="45">
        <f>COUNTIF('4d'!$B$1:$G$1, "ENGR2300*")</f>
        <v>0</v>
      </c>
      <c r="J45" s="84">
        <f>COUNTIFS('4e'!$B$1:$I$1, "ENGR-2300*")</f>
        <v>0</v>
      </c>
      <c r="K45" s="45">
        <f>COUNTIF('4f'!$B$1:$E$1, "ENGR-2300*")</f>
        <v>0</v>
      </c>
      <c r="L45" s="48">
        <f>COUNTIF('4g'!$B$1:$J$1, "ENGR-2300*")</f>
        <v>0</v>
      </c>
      <c r="M45" s="48">
        <f>COUNTIF('4h'!$B$1:$K$1, "ENGR-2300*")</f>
        <v>0</v>
      </c>
      <c r="N45" s="49">
        <f t="shared" si="7"/>
        <v>0</v>
      </c>
    </row>
    <row r="46" spans="1:14" ht="17.25" thickTop="1" thickBot="1" x14ac:dyDescent="0.3">
      <c r="A46" s="2" t="s">
        <v>95</v>
      </c>
      <c r="B46" s="3" t="s">
        <v>8</v>
      </c>
      <c r="D46" s="55">
        <f>COUNTIF(A:A, "ENGR-2400*")</f>
        <v>0</v>
      </c>
      <c r="E46" s="55" t="s">
        <v>96</v>
      </c>
      <c r="F46" s="48">
        <f>COUNTIF('4a'!$B$1:$P$1, "ENGR-2400*")</f>
        <v>0</v>
      </c>
      <c r="G46" s="45">
        <f>COUNTIF('4b'!$B$1:$Q$1, "ENGR-2400*")</f>
        <v>0</v>
      </c>
      <c r="H46" s="45">
        <f>COUNTIF('4c'!$B$1:$L$1, "ENGR-2400*")</f>
        <v>0</v>
      </c>
      <c r="I46" s="45">
        <f>COUNTIF('4d'!$B$1:$G$1, "ENGR-2400*")</f>
        <v>0</v>
      </c>
      <c r="J46" s="84">
        <f>COUNTIFS('4e'!$B$1:$I$1, "ENGR-2400*")</f>
        <v>0</v>
      </c>
      <c r="K46" s="45">
        <f>COUNTIF('4f'!$B$1:$E$1, "ENGR-2400*")</f>
        <v>0</v>
      </c>
      <c r="L46" s="48">
        <f>COUNTIF('4g'!$B$1:$J$1, "ENGR-2400*")</f>
        <v>0</v>
      </c>
      <c r="M46" s="48">
        <f>COUNTIF('4h'!$B$1:$K$1, "ENGR-2400*")</f>
        <v>0</v>
      </c>
      <c r="N46" s="49">
        <f t="shared" si="7"/>
        <v>0</v>
      </c>
    </row>
    <row r="47" spans="1:14" ht="17.25" thickTop="1" thickBot="1" x14ac:dyDescent="0.3">
      <c r="A47" s="2" t="s">
        <v>97</v>
      </c>
      <c r="B47" s="4" t="s">
        <v>8</v>
      </c>
      <c r="D47" s="55">
        <f>COUNTIF(A:A, "ENGR-3300*")</f>
        <v>2</v>
      </c>
      <c r="E47" s="55" t="s">
        <v>98</v>
      </c>
      <c r="F47" s="48">
        <f>COUNTIF('4a'!$B$1:$P$1, "ENGR-4300*")</f>
        <v>0</v>
      </c>
      <c r="G47" s="45">
        <f>COUNTIF('4b'!$B$1:$Q$1, "ENGR-3300*")</f>
        <v>0</v>
      </c>
      <c r="H47" s="45">
        <f>COUNTIF('4c'!$B$1:$L$1, "ENGR-3300*")</f>
        <v>0</v>
      </c>
      <c r="I47" s="45">
        <f>COUNTIF('4d'!$B$1:$G$1, "ENGR-3300*")</f>
        <v>0</v>
      </c>
      <c r="J47" s="84">
        <f>COUNTIFS('4e'!$B$1:$I$1, "ENGR-3300*")</f>
        <v>0</v>
      </c>
      <c r="K47" s="45">
        <f>COUNTIF('4f'!$B$1:$E$1, "ENGR-3300*")</f>
        <v>1</v>
      </c>
      <c r="L47" s="48">
        <f>COUNTIF('4g'!$B$1:$J$1, "ENGR-3300*")</f>
        <v>1</v>
      </c>
      <c r="M47" s="48">
        <f>COUNTIF('4h'!$B$1:$K$1, "ENGR-3300*")</f>
        <v>0</v>
      </c>
      <c r="N47" s="49">
        <f t="shared" si="7"/>
        <v>2</v>
      </c>
    </row>
    <row r="48" spans="1:14" ht="17.25" thickTop="1" thickBot="1" x14ac:dyDescent="0.3">
      <c r="A48" s="2" t="s">
        <v>99</v>
      </c>
      <c r="B48" s="4" t="s">
        <v>8</v>
      </c>
      <c r="D48" s="55">
        <f>COUNTIF(A:A, "EPHY-1170*")</f>
        <v>0</v>
      </c>
      <c r="E48" s="56" t="s">
        <v>100</v>
      </c>
      <c r="F48" s="62">
        <f>COUNTIF('4a'!$B$1:$P$1, "EPHY-1170*")</f>
        <v>0</v>
      </c>
      <c r="G48" s="45">
        <f>COUNTIF('4b'!$B$1:$Q$1, "EPHY-1170*")</f>
        <v>0</v>
      </c>
      <c r="H48" s="45">
        <f>COUNTIF('4c'!$B$1:$L$1, "EPHY-1170*")</f>
        <v>0</v>
      </c>
      <c r="I48" s="45">
        <f>COUNTIF('4d'!$B$1:$G$1, "EPHY-1170*")</f>
        <v>0</v>
      </c>
      <c r="J48" s="84">
        <f>COUNTIFS('4e'!$B$1:$I$1, "EPHY-1170*")</f>
        <v>0</v>
      </c>
      <c r="K48" s="45">
        <f>COUNTIF('4f'!$B$1:$E$1, "EPHY-1170*")</f>
        <v>0</v>
      </c>
      <c r="L48" s="48">
        <f>COUNTIF('4g'!$B$1:$J$1, "EPHY-1170*")</f>
        <v>0</v>
      </c>
      <c r="M48" s="48">
        <f>COUNTIF('4h'!$B$1:$K$1, "EPHY-1170*")</f>
        <v>0</v>
      </c>
      <c r="N48" s="49">
        <f t="shared" si="7"/>
        <v>0</v>
      </c>
    </row>
    <row r="49" spans="1:15" ht="17.25" thickTop="1" thickBot="1" x14ac:dyDescent="0.3">
      <c r="A49" s="2" t="s">
        <v>101</v>
      </c>
      <c r="B49" s="4" t="s">
        <v>8</v>
      </c>
      <c r="D49" s="55">
        <f>COUNTIF(A:A, "EPHY-1270*")</f>
        <v>0</v>
      </c>
      <c r="E49" s="55" t="s">
        <v>102</v>
      </c>
      <c r="F49" s="81">
        <f>COUNTIF('4a'!$B$1:$P$1, "EPHY-1270*")</f>
        <v>0</v>
      </c>
      <c r="G49" s="45">
        <f>COUNTIF('4b'!$B$1:$Q$1, "EPHY-1270*")</f>
        <v>0</v>
      </c>
      <c r="H49" s="45">
        <f>COUNTIF('4c'!$B$1:$L$1, "EPHY-1270*")</f>
        <v>0</v>
      </c>
      <c r="I49" s="45">
        <f>COUNTIF('4d'!$B$1:$G$1, "EPHY-1270*")</f>
        <v>0</v>
      </c>
      <c r="J49" s="84">
        <f>COUNTIFS('4e'!$B$1:$I$1, "EPHY-1270*")</f>
        <v>0</v>
      </c>
      <c r="K49" s="45">
        <f>COUNTIF('4f'!$B$1:$E$1, "EPHY-1270*")</f>
        <v>0</v>
      </c>
      <c r="L49" s="48">
        <f>COUNTIF('4g'!$B$1:$J$1, "EPHY-1270*")</f>
        <v>0</v>
      </c>
      <c r="M49" s="48">
        <f>COUNTIF('4h'!$B$1:$K$1, "EPHY-1270*")</f>
        <v>0</v>
      </c>
      <c r="N49" s="49">
        <f t="shared" si="7"/>
        <v>0</v>
      </c>
    </row>
    <row r="50" spans="1:15" ht="17.25" thickTop="1" thickBot="1" x14ac:dyDescent="0.3">
      <c r="A50" s="2" t="s">
        <v>103</v>
      </c>
      <c r="B50" s="3" t="s">
        <v>8</v>
      </c>
      <c r="D50" s="55">
        <f>COUNTIF(A:A, "EPHY-1700*")</f>
        <v>0</v>
      </c>
      <c r="E50" s="55" t="s">
        <v>104</v>
      </c>
      <c r="F50" s="63">
        <f>COUNTIF('4a'!$B$1:$P$1, "EPHY-1700*")</f>
        <v>0</v>
      </c>
      <c r="G50" s="45">
        <f>COUNTIF('4b'!$B$1:$Q$1, "EPHY-1700*")</f>
        <v>0</v>
      </c>
      <c r="H50" s="45">
        <f>COUNTIF('4c'!$B$1:$L$1, "EPHY-1700*")</f>
        <v>0</v>
      </c>
      <c r="I50" s="45">
        <f>COUNTIF('4d'!$B$1:$G$1, "EPHY -1700*")</f>
        <v>0</v>
      </c>
      <c r="J50" s="84">
        <f>COUNTIFS('4e'!$B$1:$I$1, "EPHY-1700*")</f>
        <v>0</v>
      </c>
      <c r="K50" s="45">
        <f>COUNTIF('4f'!$B$1:$E$1, "EPHY-1700*")</f>
        <v>0</v>
      </c>
      <c r="L50" s="48">
        <f>COUNTIF('4g'!$B$1:$J$1, "EPHY-1700*")</f>
        <v>0</v>
      </c>
      <c r="M50" s="48">
        <f>COUNTIF('4h'!$B$1:$K$1, "EPHY -1700*")</f>
        <v>0</v>
      </c>
      <c r="N50" s="49">
        <f t="shared" si="7"/>
        <v>0</v>
      </c>
    </row>
    <row r="51" spans="1:15" ht="17.25" thickTop="1" thickBot="1" x14ac:dyDescent="0.3">
      <c r="A51" s="2" t="s">
        <v>105</v>
      </c>
      <c r="B51" s="3" t="s">
        <v>8</v>
      </c>
      <c r="D51" s="55">
        <f>COUNTIF(A:A, "EPHY-2200*")</f>
        <v>0</v>
      </c>
      <c r="E51" s="55" t="s">
        <v>106</v>
      </c>
      <c r="F51" s="45">
        <f>COUNTIF('4a'!$B$1:$P$1, "EPHY-2200*")</f>
        <v>0</v>
      </c>
      <c r="G51" s="45">
        <f>COUNTIF('4b'!$B$1:$Q$1, "EPHY-2200*")</f>
        <v>0</v>
      </c>
      <c r="H51" s="45">
        <f>COUNTIF('4c'!$B$1:$L$1, "EPHY-2200*")</f>
        <v>0</v>
      </c>
      <c r="I51" s="45">
        <f>COUNTIF('4d'!$B$1:$G$1, "EPHY-2200*")</f>
        <v>0</v>
      </c>
      <c r="J51" s="84">
        <f>COUNTIFS('4e'!$B$1:$I$1, "EPHY-2200*")</f>
        <v>0</v>
      </c>
      <c r="K51" s="45">
        <f>COUNTIF('4f'!$B$1:$E$1, "EPHY-2200*")</f>
        <v>0</v>
      </c>
      <c r="L51" s="48">
        <f>COUNTIF('4g'!$B$1:$J$1, "EPHY-2200*")</f>
        <v>0</v>
      </c>
      <c r="M51" s="48">
        <f>COUNTIF('4h'!$B$1:$K$1, "EPHY-2200*")</f>
        <v>0</v>
      </c>
      <c r="N51" s="49">
        <f t="shared" si="7"/>
        <v>0</v>
      </c>
    </row>
    <row r="52" spans="1:15" ht="17.25" thickTop="1" thickBot="1" x14ac:dyDescent="0.3">
      <c r="A52" s="2" t="s">
        <v>107</v>
      </c>
      <c r="B52" s="3" t="s">
        <v>9</v>
      </c>
      <c r="D52" s="55">
        <f>COUNTIF(A:A, "EPHY-2300*")</f>
        <v>2</v>
      </c>
      <c r="E52" s="57" t="s">
        <v>108</v>
      </c>
      <c r="F52" s="48">
        <f>COUNTIF('4a'!$B$1:$P$1, "EPHY-2300*")</f>
        <v>0</v>
      </c>
      <c r="G52" s="45">
        <f>COUNTIF('4b'!$B$1:$Q$1, "EPHY-2300*")</f>
        <v>0</v>
      </c>
      <c r="H52" s="45">
        <f>COUNTIF('4c'!$B$1:$L$1, "EPHY-2300*")</f>
        <v>1</v>
      </c>
      <c r="I52" s="45">
        <f>COUNTIF('4d'!$B$1:$G$1, "EPHY-2300*")</f>
        <v>0</v>
      </c>
      <c r="J52" s="84">
        <f>COUNTIFS('4e'!$B$1:$I$1, "EPHY-2300*")</f>
        <v>1</v>
      </c>
      <c r="K52" s="45">
        <f>COUNTIF('4f'!$B$1:$E$1, "EPHY-2300*")</f>
        <v>0</v>
      </c>
      <c r="L52" s="48">
        <f>COUNTIF('4g'!$B$1:$J$1, "EPHY-2300*")</f>
        <v>0</v>
      </c>
      <c r="M52" s="48">
        <f>COUNTIF('4h'!$B$1:$K$1, "EPHY-2300*")</f>
        <v>0</v>
      </c>
      <c r="N52" s="49">
        <f t="shared" si="7"/>
        <v>2</v>
      </c>
    </row>
    <row r="53" spans="1:15" ht="17.25" thickTop="1" thickBot="1" x14ac:dyDescent="0.3">
      <c r="A53" s="2" t="s">
        <v>109</v>
      </c>
      <c r="B53" s="4" t="s">
        <v>9</v>
      </c>
      <c r="D53" s="55">
        <f>COUNTIF(A:A, "MATH-1130*")</f>
        <v>0</v>
      </c>
      <c r="E53" s="58" t="s">
        <v>110</v>
      </c>
      <c r="F53" s="45">
        <f>COUNTIF('4a'!$B$1:$P$1, "MATH-1130*")</f>
        <v>0</v>
      </c>
      <c r="G53" s="45">
        <f>COUNTIF('4b'!$B$1:$Q$1, "MATH-1130*")</f>
        <v>0</v>
      </c>
      <c r="H53" s="45">
        <f>COUNTIF('4c'!$B$1:$L$1, "MATH-1130*")</f>
        <v>0</v>
      </c>
      <c r="I53" s="45">
        <f>COUNTIF('4d'!$B$1:$G$1, "MATH-1130*")</f>
        <v>0</v>
      </c>
      <c r="J53" s="84">
        <f>COUNTIFS('4e'!$B$1:$I$1, "MATH-1130*")</f>
        <v>0</v>
      </c>
      <c r="K53" s="45">
        <f>COUNTIF('4f'!$B$1:$E$1, "MATH-1130'*")</f>
        <v>0</v>
      </c>
      <c r="L53" s="48">
        <f>COUNTIF('4g'!$B$1:$J$1, "MATH-1130*")</f>
        <v>0</v>
      </c>
      <c r="M53" s="48">
        <f>COUNTIF('4h'!$B$1:$K$1, "MATH-1130*")</f>
        <v>0</v>
      </c>
      <c r="N53" s="49">
        <f t="shared" si="7"/>
        <v>0</v>
      </c>
    </row>
    <row r="54" spans="1:15" ht="17.25" thickTop="1" thickBot="1" x14ac:dyDescent="0.3">
      <c r="A54" s="2" t="s">
        <v>111</v>
      </c>
      <c r="B54" s="4" t="s">
        <v>9</v>
      </c>
      <c r="D54" s="55">
        <f>COUNTIF(A:A, "MATH-1230*")</f>
        <v>0</v>
      </c>
      <c r="E54" s="55" t="s">
        <v>112</v>
      </c>
      <c r="F54" s="45">
        <f>COUNTIF('4a'!$B$1:$P$1, "MATH-1230*")</f>
        <v>0</v>
      </c>
      <c r="G54" s="45">
        <f>COUNTIF('4b'!$B$1:$Q$1, "MATH-1230*")</f>
        <v>0</v>
      </c>
      <c r="H54" s="45">
        <f>COUNTIF('4c'!$B$1:$L$1, "MATH-1230*")</f>
        <v>0</v>
      </c>
      <c r="I54" s="45">
        <f>COUNTIF('4d'!$B$1:$G$1, "MATH-1230*")</f>
        <v>0</v>
      </c>
      <c r="J54" s="84">
        <f>COUNTIFS('4e'!$B$1:$I$1, "MATH-1230*")</f>
        <v>0</v>
      </c>
      <c r="K54" s="45">
        <f>COUNTIF('4f'!$B$1:$E$1, "MATH-1230*")</f>
        <v>0</v>
      </c>
      <c r="L54" s="48">
        <f>COUNTIF('4g'!$B$1:$J$1, "MATH-1230*")</f>
        <v>0</v>
      </c>
      <c r="M54" s="48">
        <f>COUNTIF('4h'!$B$1:$K$1, "MATH-1230*")</f>
        <v>0</v>
      </c>
      <c r="N54" s="49">
        <f t="shared" si="7"/>
        <v>0</v>
      </c>
    </row>
    <row r="55" spans="1:15" ht="17.25" thickTop="1" thickBot="1" x14ac:dyDescent="0.3">
      <c r="A55" s="2" t="s">
        <v>113</v>
      </c>
      <c r="B55" s="4" t="s">
        <v>9</v>
      </c>
      <c r="D55" s="55">
        <f>COUNTIF(A:A, "MATH-1300*")</f>
        <v>0</v>
      </c>
      <c r="E55" s="57" t="s">
        <v>114</v>
      </c>
      <c r="F55" s="45">
        <f>COUNTIF('4a'!$B$1:$P$1, "MATH-1300*")</f>
        <v>0</v>
      </c>
      <c r="G55" s="45">
        <f>COUNTIF('4b'!$B$1:$Q$1, "MATH-1300*")</f>
        <v>0</v>
      </c>
      <c r="H55" s="45">
        <f>COUNTIF('4c'!$B$1:$L$1, "MATH-1300*")</f>
        <v>0</v>
      </c>
      <c r="I55" s="45">
        <f>COUNTIF('4d'!$B$1:$G$1, "MATH-1300*")</f>
        <v>0</v>
      </c>
      <c r="J55" s="84">
        <f>COUNTIFS('4e'!$B$1:$I$1, "MATH-1300*")</f>
        <v>0</v>
      </c>
      <c r="K55" s="45">
        <f>COUNTIF('4f'!$B$1:$E$1, "MATH-1300*")</f>
        <v>0</v>
      </c>
      <c r="L55" s="48">
        <f>COUNTIF('4g'!$B$1:$J$1, "MATH-1300*")</f>
        <v>0</v>
      </c>
      <c r="M55" s="48">
        <f>COUNTIF('4h'!$B$1:$K$1, "MATH-1300*")</f>
        <v>0</v>
      </c>
      <c r="N55" s="49">
        <f t="shared" si="7"/>
        <v>0</v>
      </c>
    </row>
    <row r="56" spans="1:15" ht="17.25" thickTop="1" thickBot="1" x14ac:dyDescent="0.3">
      <c r="A56" s="2" t="s">
        <v>115</v>
      </c>
      <c r="B56" s="3" t="s">
        <v>9</v>
      </c>
      <c r="D56" s="55">
        <f>COUNTIF(A:A, "MATH-1700*")</f>
        <v>0</v>
      </c>
      <c r="E56" s="58" t="s">
        <v>116</v>
      </c>
      <c r="F56" s="45">
        <f>COUNTIF('4a'!$B$1:$P$1, "MATH-1700*")</f>
        <v>0</v>
      </c>
      <c r="G56" s="45">
        <f>COUNTIF('4b'!$B$1:$Q$1, "MATH-1700*")</f>
        <v>0</v>
      </c>
      <c r="H56" s="45">
        <f>COUNTIF('4c'!$B$1:$L$1, "MATH-1700*")</f>
        <v>0</v>
      </c>
      <c r="I56" s="45">
        <f>COUNTIF('4d'!$B$1:$G$1, "MATH-1700*")</f>
        <v>0</v>
      </c>
      <c r="J56" s="84">
        <f>COUNTIFS('4e'!$B$1:$I$1, "MATH-1700*")</f>
        <v>0</v>
      </c>
      <c r="K56" s="45">
        <f>COUNTIF('4f'!$B$1:$E$1, "MATH-1700*")</f>
        <v>0</v>
      </c>
      <c r="L56" s="48">
        <f>COUNTIF('4g'!$B$1:$J$1, "MATH-1700*")</f>
        <v>0</v>
      </c>
      <c r="M56" s="48">
        <f>COUNTIF('4h'!$B$1:$K$1, "MATH-1700*")</f>
        <v>0</v>
      </c>
      <c r="N56" s="49">
        <f t="shared" si="7"/>
        <v>0</v>
      </c>
    </row>
    <row r="57" spans="1:15" ht="17.25" thickTop="1" thickBot="1" x14ac:dyDescent="0.3">
      <c r="A57" s="2" t="s">
        <v>117</v>
      </c>
      <c r="B57" s="3" t="s">
        <v>9</v>
      </c>
      <c r="D57" s="55">
        <f>COUNTIF(A:A, "PHYS-2150*")</f>
        <v>0</v>
      </c>
      <c r="E57" s="58" t="s">
        <v>118</v>
      </c>
      <c r="F57" s="45">
        <f>COUNTIF('4a'!$B$1:$P$1, "PHYS-2150*")</f>
        <v>0</v>
      </c>
      <c r="G57" s="45">
        <f>COUNTIF('4b'!$B$1:$Q$1, "PHYS-2150*")</f>
        <v>0</v>
      </c>
      <c r="H57" s="45">
        <f>COUNTIF('4c'!$B$1:$L$1, "PHYS-2150*")</f>
        <v>0</v>
      </c>
      <c r="I57" s="45">
        <f>COUNTIF('4d'!$B$1:$G$1, "PHYS-2150*")</f>
        <v>0</v>
      </c>
      <c r="J57" s="84">
        <f>COUNTIFS('4e'!$B$1:$I$1, "PHYS-2150*")</f>
        <v>0</v>
      </c>
      <c r="K57" s="45">
        <f>COUNTIF('4f'!$B$1:$E$1, "PHYS-2150*")</f>
        <v>0</v>
      </c>
      <c r="L57" s="48">
        <f>COUNTIF('4g'!$B$1:$J$1, "PHYS-2150*")</f>
        <v>0</v>
      </c>
      <c r="M57" s="48">
        <f>COUNTIF('4h'!$B$1:$K$1, "PHYS-2150*")</f>
        <v>0</v>
      </c>
      <c r="N57" s="49">
        <f t="shared" si="7"/>
        <v>0</v>
      </c>
    </row>
    <row r="58" spans="1:15" ht="17.25" thickTop="1" thickBot="1" x14ac:dyDescent="0.3">
      <c r="A58" s="2" t="s">
        <v>119</v>
      </c>
      <c r="B58" s="4" t="s">
        <v>9</v>
      </c>
      <c r="D58" s="55">
        <f>COUNTIF(A:A, "SENG-1110*")</f>
        <v>4</v>
      </c>
      <c r="E58" s="58" t="s">
        <v>120</v>
      </c>
      <c r="F58" s="45">
        <f>COUNTIF('4a'!$B$1:$P$1, "SENG-1110*")</f>
        <v>1</v>
      </c>
      <c r="G58" s="45">
        <f>COUNTIF('4b'!$B$1:$Q$1, "SENG-1110*")</f>
        <v>1</v>
      </c>
      <c r="H58" s="45">
        <f>COUNTIF('4c'!$B$1:$L$1, "SENG-1110*")</f>
        <v>1</v>
      </c>
      <c r="I58" s="45">
        <f>COUNTIF('4d'!$B$1:$G$1, "SENG-1110*")</f>
        <v>0</v>
      </c>
      <c r="J58" s="84">
        <f>COUNTIFS('4e'!$B$1:$I$1, "SENG-1110*")</f>
        <v>0</v>
      </c>
      <c r="K58" s="45">
        <f>COUNTIF('4f'!$B$1:$E$1, "SENG-1110*")</f>
        <v>1</v>
      </c>
      <c r="L58" s="48">
        <f>COUNTIF('4g'!$B$1:$J$1, "SENG-1110*")</f>
        <v>0</v>
      </c>
      <c r="M58" s="48">
        <f>COUNTIF('4h'!$B$1:$K$1, "SENG-1110*")</f>
        <v>0</v>
      </c>
      <c r="N58" s="49">
        <f t="shared" si="7"/>
        <v>4</v>
      </c>
    </row>
    <row r="59" spans="1:15" ht="17.25" thickTop="1" thickBot="1" x14ac:dyDescent="0.3">
      <c r="A59" s="2" t="s">
        <v>121</v>
      </c>
      <c r="B59" s="3" t="s">
        <v>9</v>
      </c>
      <c r="D59" s="55">
        <f>COUNTIF(A:A, "SENG-1210*")</f>
        <v>2</v>
      </c>
      <c r="E59" s="59" t="s">
        <v>122</v>
      </c>
      <c r="F59" s="61">
        <f>COUNTIF('4a'!$B$1:$P$1, "SENG-1210*")</f>
        <v>1</v>
      </c>
      <c r="G59" s="45">
        <f>COUNTIF('4b'!$B$1:$Q$1, "SENG-1210*")</f>
        <v>1</v>
      </c>
      <c r="H59" s="45">
        <f>COUNTIF('4c'!$B$1:$L$1, "SENG-1210*")</f>
        <v>0</v>
      </c>
      <c r="I59" s="45">
        <f>COUNTIF('4d'!$B$1:$G$1, "SENG-1210*")</f>
        <v>0</v>
      </c>
      <c r="J59" s="84">
        <f>COUNTIFS('4e'!$B$1:$I$1, "SENG-1210*")</f>
        <v>0</v>
      </c>
      <c r="K59" s="45">
        <f>COUNTIF('4f'!$B$1:$E$1, "SENG-1210*")</f>
        <v>0</v>
      </c>
      <c r="L59" s="48">
        <f>COUNTIF('4g'!$B$1:$J$1, "SENG-1210*")</f>
        <v>0</v>
      </c>
      <c r="M59" s="48">
        <f>COUNTIF('4h'!$B$1:$K$1, "SENG-1210*")</f>
        <v>0</v>
      </c>
      <c r="N59" s="49">
        <f t="shared" si="7"/>
        <v>2</v>
      </c>
    </row>
    <row r="60" spans="1:15" ht="17.25" thickTop="1" thickBot="1" x14ac:dyDescent="0.3">
      <c r="A60" s="2" t="s">
        <v>123</v>
      </c>
      <c r="B60" s="3" t="s">
        <v>10</v>
      </c>
      <c r="D60" s="55">
        <f>COUNTIF(A:A, "SENG-3110*")</f>
        <v>3</v>
      </c>
      <c r="E60" s="55" t="s">
        <v>124</v>
      </c>
      <c r="F60" s="45">
        <f>COUNTIF('4a'!$B$1:$P$1, "SENG-3110*")</f>
        <v>0</v>
      </c>
      <c r="G60" s="45">
        <f>COUNTIF('4b'!$B$1:$Q$1, "SENG-3110*")</f>
        <v>1</v>
      </c>
      <c r="H60" s="45">
        <f>COUNTIF('4c'!$B$1:$L$1, "SENG-3110*")</f>
        <v>1</v>
      </c>
      <c r="I60" s="45">
        <f>COUNTIF('4d'!$B$1:$G$1, "SENG-3110*")</f>
        <v>1</v>
      </c>
      <c r="J60" s="84">
        <f>COUNTIFS('4e'!$B$1:$I$1, "SENG-3110*")</f>
        <v>0</v>
      </c>
      <c r="K60" s="45">
        <f>COUNTIF('4f'!$B$1:$E$1, "SENG-3110*")</f>
        <v>0</v>
      </c>
      <c r="L60" s="48">
        <f>COUNTIF('4g'!$B$1:$J$1, "SENG-3110*")</f>
        <v>0</v>
      </c>
      <c r="M60" s="48">
        <f>COUNTIF('4h'!$B$1:$K$1, "SENG-3110*")</f>
        <v>0</v>
      </c>
      <c r="N60" s="49">
        <f t="shared" si="7"/>
        <v>3</v>
      </c>
    </row>
    <row r="61" spans="1:15" ht="17.25" thickTop="1" thickBot="1" x14ac:dyDescent="0.3">
      <c r="A61" s="2" t="s">
        <v>125</v>
      </c>
      <c r="B61" s="3" t="s">
        <v>10</v>
      </c>
      <c r="D61" s="55">
        <f>COUNTIF(A:A, "SENG-3120*")</f>
        <v>5</v>
      </c>
      <c r="E61" s="55" t="s">
        <v>126</v>
      </c>
      <c r="F61" s="45">
        <f>COUNTIF('4a'!$B$1:$P$1, "SENG-3120*")</f>
        <v>1</v>
      </c>
      <c r="G61" s="45">
        <f>COUNTIF('4b'!$B$1:$Q$1, "SENG-3120*")</f>
        <v>1</v>
      </c>
      <c r="H61" s="45">
        <f>COUNTIF('4c'!$B$1:$L$1, "SENG-3120*")</f>
        <v>0</v>
      </c>
      <c r="I61" s="45">
        <f>COUNTIF('4d'!$B$1:$G$1, "SENG-3120*")</f>
        <v>0</v>
      </c>
      <c r="J61" s="84">
        <f>COUNTIFS('4e'!$B$1:$I$1, "SENG-3120*")</f>
        <v>1</v>
      </c>
      <c r="K61" s="45">
        <f>COUNTIF('4f'!$B$1:$E$1, "SENG-3120*")</f>
        <v>0</v>
      </c>
      <c r="L61" s="48">
        <f>COUNTIF('4g'!$B$1:$J$1, "SENG-3120*")</f>
        <v>1</v>
      </c>
      <c r="M61" s="48">
        <f>COUNTIF('4h'!$B$1:$K$1, "SENG-3120*")</f>
        <v>1</v>
      </c>
      <c r="N61" s="49">
        <f t="shared" si="7"/>
        <v>5</v>
      </c>
    </row>
    <row r="62" spans="1:15" ht="17.25" thickTop="1" thickBot="1" x14ac:dyDescent="0.3">
      <c r="A62" s="2" t="s">
        <v>127</v>
      </c>
      <c r="B62" s="3" t="s">
        <v>10</v>
      </c>
      <c r="C62" s="66"/>
      <c r="D62" s="55">
        <f>COUNTIF(A:A, "SENG-3130*")</f>
        <v>5</v>
      </c>
      <c r="E62" s="55" t="s">
        <v>128</v>
      </c>
      <c r="F62" s="45">
        <f>COUNTIF('4a'!$B$1:$P$1, "SENG-3130*")</f>
        <v>2</v>
      </c>
      <c r="G62" s="45">
        <f>COUNTIF('4b'!$B$1:$Q$1, "SENG-3130*")</f>
        <v>1</v>
      </c>
      <c r="H62" s="45">
        <f>COUNTIF('4c'!$B$1:$L$1, "SENG-3130*")</f>
        <v>1</v>
      </c>
      <c r="I62" s="45">
        <f>COUNTIF('4d'!$B$1:$G$1, "SENG-3130*")</f>
        <v>0</v>
      </c>
      <c r="J62" s="84">
        <f>COUNTIFS('4e'!$B$1:$I$1, "SENG-3130*")</f>
        <v>1</v>
      </c>
      <c r="K62" s="45">
        <f>COUNTIF('4f'!$B$1:$E$1, "SENG-3130*")</f>
        <v>0</v>
      </c>
      <c r="L62" s="48">
        <f>COUNTIF('4g'!$B$1:$J$1, "SENG-3130*")</f>
        <v>0</v>
      </c>
      <c r="M62" s="48">
        <f>COUNTIF('4h'!$B$1:$K$1, "SENG-3130*")</f>
        <v>0</v>
      </c>
      <c r="N62" s="49">
        <f t="shared" si="7"/>
        <v>5</v>
      </c>
      <c r="O62" s="142"/>
    </row>
    <row r="63" spans="1:15" ht="17.25" thickTop="1" thickBot="1" x14ac:dyDescent="0.3">
      <c r="A63" s="2" t="s">
        <v>129</v>
      </c>
      <c r="B63" s="4" t="s">
        <v>10</v>
      </c>
      <c r="C63" s="66"/>
      <c r="D63" s="55">
        <f>COUNTIF(A:A, "SENG-3210*")</f>
        <v>0</v>
      </c>
      <c r="E63" s="55" t="s">
        <v>130</v>
      </c>
      <c r="F63" s="45">
        <f>COUNTIF('4a'!$B$1:$P$1, "SENG-3210*")</f>
        <v>0</v>
      </c>
      <c r="G63" s="45">
        <f>COUNTIF('4b'!$B$1:$Q$1, "SENG-3210*")</f>
        <v>0</v>
      </c>
      <c r="H63" s="45">
        <f>COUNTIF('4c'!$B$1:$L$1, "SENG-3210*")</f>
        <v>0</v>
      </c>
      <c r="I63" s="45">
        <f>COUNTIF('4d'!$B$1:$G$1, "SENG-3210*")</f>
        <v>0</v>
      </c>
      <c r="J63" s="84">
        <f>COUNTIFS('4e'!$B$1:$I$1, "SENG-3210*")</f>
        <v>0</v>
      </c>
      <c r="K63" s="45">
        <f>COUNTIF('4f'!$B$1:$E$1, "SENG-3210*")</f>
        <v>0</v>
      </c>
      <c r="L63" s="48">
        <f>COUNTIF('4g'!$B$1:$J$1, "SENG-3210*")</f>
        <v>0</v>
      </c>
      <c r="M63" s="48">
        <f>COUNTIF('4h'!$B$1:$K$1, "SENG-3210*")</f>
        <v>0</v>
      </c>
      <c r="N63" s="49">
        <f t="shared" si="7"/>
        <v>0</v>
      </c>
      <c r="O63" s="142"/>
    </row>
    <row r="64" spans="1:15" ht="17.25" thickTop="1" thickBot="1" x14ac:dyDescent="0.3">
      <c r="A64" s="2" t="s">
        <v>131</v>
      </c>
      <c r="B64" s="3" t="s">
        <v>11</v>
      </c>
      <c r="C64" s="66"/>
      <c r="D64" s="55">
        <f>COUNTIF(A:A, "SENG-4100*")</f>
        <v>4</v>
      </c>
      <c r="E64" s="55" t="s">
        <v>132</v>
      </c>
      <c r="F64" s="45">
        <f>COUNTIF('4a'!$B$1:$P$1, "SENG-4100*")</f>
        <v>1</v>
      </c>
      <c r="G64" s="45">
        <f>COUNTIF('4b'!$B$1:$Q$1, "SENG-4100*")</f>
        <v>1</v>
      </c>
      <c r="H64" s="45">
        <f>COUNTIF('4c'!$B$1:$L$1, "SENG-4100*")</f>
        <v>0</v>
      </c>
      <c r="I64" s="45">
        <f>COUNTIF('4d'!$B$1:$G$1, "SENG-4100*")</f>
        <v>1</v>
      </c>
      <c r="J64" s="84">
        <f>COUNTIFS('4e'!$B$1:$I$1, "SENG-4100*")</f>
        <v>1</v>
      </c>
      <c r="K64" s="45">
        <f>COUNTIF('4f'!$B$1:$E$1, "SENG-4100*")</f>
        <v>0</v>
      </c>
      <c r="L64" s="48">
        <f>COUNTIF('4g'!$B$1:$J$1, "SENG-4100*")</f>
        <v>0</v>
      </c>
      <c r="M64" s="48">
        <f>COUNTIF('4h'!$B$1:$K$1, "SENG-4100*")</f>
        <v>0</v>
      </c>
      <c r="N64" s="49">
        <f t="shared" si="7"/>
        <v>4</v>
      </c>
      <c r="O64" s="142"/>
    </row>
    <row r="65" spans="1:15" ht="17.25" thickTop="1" thickBot="1" x14ac:dyDescent="0.3">
      <c r="A65" s="2" t="s">
        <v>133</v>
      </c>
      <c r="B65" s="3" t="s">
        <v>11</v>
      </c>
      <c r="C65" s="66"/>
      <c r="D65" s="55">
        <f>COUNTIF(A:A, "SENG-4110*")</f>
        <v>0</v>
      </c>
      <c r="E65" s="60" t="s">
        <v>134</v>
      </c>
      <c r="F65" s="64">
        <f>COUNTIF('4a'!$B$1:$P$1, "SENG-4110*")</f>
        <v>0</v>
      </c>
      <c r="G65" s="45">
        <f>COUNTIF('4b'!$B$1:$Q$1, "SENG-4110*")</f>
        <v>0</v>
      </c>
      <c r="H65" s="45">
        <f>COUNTIF('4c'!$B$1:$L$1, "SENG-4110*")</f>
        <v>0</v>
      </c>
      <c r="I65" s="45">
        <f>COUNTIF('4d'!$B$1:$G$1, "SENG-4110*")</f>
        <v>0</v>
      </c>
      <c r="J65" s="84">
        <f>COUNTIFS('4e'!$B$1:$I$1, "SENG-4110*")</f>
        <v>0</v>
      </c>
      <c r="K65" s="45">
        <f>COUNTIF('4f'!$B$1:$E$1, "SENG-4110*")</f>
        <v>0</v>
      </c>
      <c r="L65" s="48">
        <f>COUNTIF('4g'!$B$1:$J$1, "SENG-4110*")</f>
        <v>0</v>
      </c>
      <c r="M65" s="48">
        <f>COUNTIF('4h'!$B$1:$K$1, "SENG-4110*")</f>
        <v>0</v>
      </c>
      <c r="N65" s="49">
        <f t="shared" si="7"/>
        <v>0</v>
      </c>
      <c r="O65" s="142"/>
    </row>
    <row r="66" spans="1:15" ht="17.25" thickTop="1" thickBot="1" x14ac:dyDescent="0.3">
      <c r="A66" s="2" t="s">
        <v>135</v>
      </c>
      <c r="B66" s="3" t="s">
        <v>11</v>
      </c>
      <c r="C66" s="66"/>
      <c r="D66" s="55">
        <f>COUNTIF(A:A, "SENG-4120*")</f>
        <v>0</v>
      </c>
      <c r="E66" s="60" t="s">
        <v>136</v>
      </c>
      <c r="F66" s="64">
        <f>COUNTIF('4a'!$B$1:$P$1, "SENG-4120*")</f>
        <v>0</v>
      </c>
      <c r="G66" s="45">
        <f>COUNTIF('4b'!$B$1:$Q$1, "SENG-4120*")</f>
        <v>0</v>
      </c>
      <c r="H66" s="45">
        <f>COUNTIF('4c'!$B$1:$L$1, "SENG-4120*")</f>
        <v>0</v>
      </c>
      <c r="I66" s="45">
        <f>COUNTIF('4d'!$B$1:$G$1, "SENG-4120*")</f>
        <v>0</v>
      </c>
      <c r="J66" s="84">
        <f>COUNTIFS('4e'!$B$1:$I$1, "SENG-4120*")</f>
        <v>0</v>
      </c>
      <c r="K66" s="45">
        <f>COUNTIF('4f'!$B$1:$E$1, "SENG-4120*")</f>
        <v>0</v>
      </c>
      <c r="L66" s="48">
        <f>COUNTIF('4g'!$B$1:$J$1, "SENG-4120*")</f>
        <v>0</v>
      </c>
      <c r="M66" s="48">
        <f>COUNTIF('4h'!$B$1:$K$1, "SENG-4120*")</f>
        <v>0</v>
      </c>
      <c r="N66" s="49">
        <f t="shared" si="7"/>
        <v>0</v>
      </c>
      <c r="O66" s="142"/>
    </row>
    <row r="67" spans="1:15" ht="17.25" thickTop="1" thickBot="1" x14ac:dyDescent="0.3">
      <c r="A67" s="2" t="s">
        <v>137</v>
      </c>
      <c r="B67" s="4" t="s">
        <v>11</v>
      </c>
      <c r="C67" s="66"/>
      <c r="D67" s="55">
        <f>COUNTIF(A:A, "SENG-4130*")</f>
        <v>5</v>
      </c>
      <c r="E67" s="55" t="s">
        <v>138</v>
      </c>
      <c r="F67" s="65">
        <f>COUNTIF('4a'!$B$1:$P$1, "SENG-4130*")</f>
        <v>0</v>
      </c>
      <c r="G67" s="45">
        <f>COUNTIF('4b'!$B$1:$Q$1, "SENG-4130*")</f>
        <v>1</v>
      </c>
      <c r="H67" s="45">
        <f>COUNTIF('4c'!$B$1:$L$1, "SENG-4130*")</f>
        <v>1</v>
      </c>
      <c r="I67" s="45">
        <f>COUNTIF('4d'!$B$1:$G$1, "SENG-4130*")</f>
        <v>0</v>
      </c>
      <c r="J67" s="84">
        <f>COUNTIFS('4e'!$B$1:$I$1, "SENG-4130*")</f>
        <v>1</v>
      </c>
      <c r="K67" s="45">
        <f>COUNTIF('4f'!$B$1:$E$1, "SENG-4130*")</f>
        <v>0</v>
      </c>
      <c r="L67" s="48">
        <f>COUNTIF('4g'!$B$1:$J$1, "SENG-4130*")</f>
        <v>0</v>
      </c>
      <c r="M67" s="48">
        <f>COUNTIF('4h'!$B$1:$K$1, "SENG-4130*")</f>
        <v>2</v>
      </c>
      <c r="N67" s="49">
        <f t="shared" si="7"/>
        <v>5</v>
      </c>
      <c r="O67" s="142"/>
    </row>
    <row r="68" spans="1:15" ht="17.25" thickTop="1" thickBot="1" x14ac:dyDescent="0.3">
      <c r="A68" s="2" t="s">
        <v>139</v>
      </c>
      <c r="B68" s="4" t="s">
        <v>11</v>
      </c>
      <c r="C68" s="66"/>
      <c r="D68" s="55">
        <f>COUNTIF(A:A, "SENG-4140*")</f>
        <v>0</v>
      </c>
      <c r="E68" s="55" t="s">
        <v>140</v>
      </c>
      <c r="F68" s="65">
        <f>COUNTIF('4a'!$B$1:$P$1, "SENG-4140*")</f>
        <v>0</v>
      </c>
      <c r="G68" s="45">
        <f>COUNTIF('4b'!$B$1:$Q$1, "SENG-4140*")</f>
        <v>0</v>
      </c>
      <c r="H68" s="45">
        <f>COUNTIF('4c'!$B$1:$L$1, "SENG-4140*")</f>
        <v>0</v>
      </c>
      <c r="I68" s="45">
        <f>COUNTIF('4d'!$B$1:$G$1, "SENG-4140*")</f>
        <v>0</v>
      </c>
      <c r="J68" s="84">
        <f>COUNTIFS('4e'!$B$1:$I$1, "SENG-4140*")</f>
        <v>0</v>
      </c>
      <c r="K68" s="45">
        <f>COUNTIF('4f'!$B$1:$E$1, "SENG-4140*")</f>
        <v>0</v>
      </c>
      <c r="L68" s="48">
        <f>COUNTIF('4g'!$B$1:$J$1, "SENG-4140*")</f>
        <v>0</v>
      </c>
      <c r="M68" s="48">
        <f>COUNTIF('4h'!$B$1:$K$1, "SENG-4140*")</f>
        <v>0</v>
      </c>
      <c r="N68" s="49">
        <f t="shared" si="7"/>
        <v>0</v>
      </c>
      <c r="O68" s="142"/>
    </row>
    <row r="69" spans="1:15" ht="17.25" thickTop="1" thickBot="1" x14ac:dyDescent="0.3">
      <c r="A69" s="2" t="s">
        <v>141</v>
      </c>
      <c r="B69" s="3" t="s">
        <v>11</v>
      </c>
      <c r="C69" s="66"/>
      <c r="D69" s="55">
        <f>COUNTIF(A:A, "SENG-4220*")</f>
        <v>4</v>
      </c>
      <c r="E69" s="55" t="s">
        <v>142</v>
      </c>
      <c r="F69" s="65">
        <f>COUNTIF('4a'!$B$1:$P$1, "SENG-4220*")</f>
        <v>1</v>
      </c>
      <c r="G69" s="45">
        <f>COUNTIF('4b'!$B$1:$Q$1, "SENG-4220*")</f>
        <v>0</v>
      </c>
      <c r="H69" s="45">
        <f>COUNTIF('4c'!$B$1:$L$1, "SENG-4220*")</f>
        <v>1</v>
      </c>
      <c r="I69" s="45">
        <f>COUNTIF('4d'!$B$1:$G$1, "SENG-4220*")</f>
        <v>0</v>
      </c>
      <c r="J69" s="84">
        <f>COUNTIFS('4e'!$B$1:$I$1, "SENG-4220*")</f>
        <v>1</v>
      </c>
      <c r="K69" s="45">
        <f>COUNTIF('4f'!$B$1:$E$1, "SENG-4220*")</f>
        <v>0</v>
      </c>
      <c r="L69" s="48">
        <f>COUNTIF('4g'!$B$1:$J$1, "SENG-4220*")</f>
        <v>1</v>
      </c>
      <c r="M69" s="48">
        <f>COUNTIF('4h'!$B$1:$K$1, "SENG-4220*")</f>
        <v>0</v>
      </c>
      <c r="N69" s="49">
        <f t="shared" si="7"/>
        <v>4</v>
      </c>
      <c r="O69" s="142"/>
    </row>
    <row r="70" spans="1:15" ht="17.25" thickTop="1" thickBot="1" x14ac:dyDescent="0.3">
      <c r="A70" s="2" t="s">
        <v>143</v>
      </c>
      <c r="B70" s="4" t="s">
        <v>11</v>
      </c>
      <c r="C70" s="66"/>
      <c r="D70" s="55">
        <f>COUNTIF(A:A, "SENG-4230*")</f>
        <v>0</v>
      </c>
      <c r="E70" s="55" t="s">
        <v>144</v>
      </c>
      <c r="F70" s="65">
        <f>COUNTIF('4a'!$B$1:$P$1, "SENG-4230*")</f>
        <v>0</v>
      </c>
      <c r="G70" s="45">
        <f>COUNTIF('4b'!$B$1:$Q$1, "SENG-4230*")</f>
        <v>0</v>
      </c>
      <c r="H70" s="45">
        <f>COUNTIF('4c'!$B$1:$L$1, "SENG-4230*")</f>
        <v>0</v>
      </c>
      <c r="I70" s="45">
        <f>COUNTIF('4d'!$B$1:$G$1, "SENG-4230*")</f>
        <v>0</v>
      </c>
      <c r="J70" s="84">
        <f>COUNTIFS('4e'!$B$1:$I$1, "SENG-4230*")</f>
        <v>0</v>
      </c>
      <c r="K70" s="45">
        <f>COUNTIF('4f'!$B$1:$E$1, "SENG-4230*")</f>
        <v>0</v>
      </c>
      <c r="L70" s="48">
        <f>COUNTIF('4g'!$B$1:$J$1, "SENG-4230*")</f>
        <v>0</v>
      </c>
      <c r="M70" s="48">
        <f>COUNTIF('4h'!$B$1:$K$1, "SENG-4230*")</f>
        <v>0</v>
      </c>
      <c r="N70" s="49">
        <f t="shared" si="7"/>
        <v>0</v>
      </c>
      <c r="O70" s="142"/>
    </row>
    <row r="71" spans="1:15" ht="17.25" thickTop="1" thickBot="1" x14ac:dyDescent="0.3">
      <c r="A71" s="2" t="s">
        <v>145</v>
      </c>
      <c r="B71" s="3" t="s">
        <v>11</v>
      </c>
      <c r="C71" s="66"/>
      <c r="D71" s="55">
        <f>COUNTIF(A:A, "SENG-4610*")</f>
        <v>0</v>
      </c>
      <c r="E71" s="55" t="s">
        <v>146</v>
      </c>
      <c r="F71" s="65">
        <f>COUNTIF('4a'!$B$1:$P$1, "SENG-4610*")</f>
        <v>0</v>
      </c>
      <c r="G71" s="45">
        <f>COUNTIF('4b'!$B$1:$Q$1, "SENG-4610*")</f>
        <v>0</v>
      </c>
      <c r="H71" s="45">
        <f>COUNTIF('4c'!$B$1:$L$1, "SENG-4610*")</f>
        <v>0</v>
      </c>
      <c r="I71" s="45">
        <f>COUNTIF('4d'!$B$1:$G$1, "SENG-4610*")</f>
        <v>0</v>
      </c>
      <c r="J71" s="84">
        <f>COUNTIFS('4e'!$B$1:$I$1, "SENG-4610*")</f>
        <v>0</v>
      </c>
      <c r="K71" s="45">
        <f>COUNTIF('4f'!$B$1:$E$1, "SENG-4610*")</f>
        <v>0</v>
      </c>
      <c r="L71" s="48">
        <f>COUNTIF('4g'!$B$1:$J$1, "SENG-4610*")</f>
        <v>0</v>
      </c>
      <c r="M71" s="48">
        <f>COUNTIF('4h'!$B$1:$K$1, "SENG-4610*")</f>
        <v>0</v>
      </c>
      <c r="N71" s="49">
        <f t="shared" si="7"/>
        <v>0</v>
      </c>
      <c r="O71" s="142"/>
    </row>
    <row r="72" spans="1:15" ht="17.25" thickTop="1" thickBot="1" x14ac:dyDescent="0.3">
      <c r="A72" s="2" t="s">
        <v>147</v>
      </c>
      <c r="B72" s="3" t="s">
        <v>11</v>
      </c>
      <c r="C72" s="66"/>
      <c r="D72" s="55">
        <f>COUNTIF(A:A, "SENG-4620*")</f>
        <v>0</v>
      </c>
      <c r="E72" s="55" t="s">
        <v>148</v>
      </c>
      <c r="F72" s="65">
        <f>COUNTIF('4a'!$B$1:$P$1, "SENG-4620*")</f>
        <v>0</v>
      </c>
      <c r="G72" s="45">
        <f>COUNTIF('4b'!$B$1:$Q$1, "SENG-4620*")</f>
        <v>0</v>
      </c>
      <c r="H72" s="45">
        <f>COUNTIF('4c'!$B$1:$L$1, "SENG-4620*")</f>
        <v>0</v>
      </c>
      <c r="I72" s="45">
        <f>COUNTIF('4d'!$B$1:$G$1, "SENG-4620*")</f>
        <v>0</v>
      </c>
      <c r="J72" s="84">
        <f>COUNTIFS('4e'!$B$1:$I$1, "SENG-4620*")</f>
        <v>0</v>
      </c>
      <c r="K72" s="45">
        <f>COUNTIF('4f'!$B$1:$E$1, "SENG-4620*")</f>
        <v>0</v>
      </c>
      <c r="L72" s="48">
        <f>COUNTIF('4g'!$B$1:$J$1, "SENG-4620*")</f>
        <v>0</v>
      </c>
      <c r="M72" s="48">
        <f>COUNTIF('4h'!$B$1:$K$1, "SENG-4620*")</f>
        <v>0</v>
      </c>
      <c r="N72" s="49">
        <f t="shared" si="7"/>
        <v>0</v>
      </c>
      <c r="O72" s="142"/>
    </row>
    <row r="73" spans="1:15" ht="17.25" thickTop="1" thickBot="1" x14ac:dyDescent="0.3">
      <c r="A73" s="2" t="s">
        <v>149</v>
      </c>
      <c r="B73" s="3" t="s">
        <v>12</v>
      </c>
      <c r="C73" s="66"/>
      <c r="D73" s="55">
        <f>COUNTIF(A:A, "SENG-4630*")</f>
        <v>4</v>
      </c>
      <c r="E73" s="55" t="s">
        <v>150</v>
      </c>
      <c r="F73" s="65">
        <f>COUNTIF('4a'!$B$1:$P$1, "SENG-4630*")</f>
        <v>1</v>
      </c>
      <c r="G73" s="45">
        <f>COUNTIF('4b'!$B$1:$Q$1, "SENG-4630*")</f>
        <v>1</v>
      </c>
      <c r="H73" s="45">
        <f>COUNTIF('4c'!$B$1:$L$1, "SENG-4630*")</f>
        <v>0</v>
      </c>
      <c r="I73" s="45">
        <f>COUNTIF('4d'!$B$1:$G$1, "SENG-4630*")</f>
        <v>0</v>
      </c>
      <c r="J73" s="84">
        <f>COUNTIFS('4e'!$B$1:$I$1, "SENG-4630*")</f>
        <v>0</v>
      </c>
      <c r="K73" s="45">
        <f>COUNTIF('4f'!$B$1:$E$1, "SENG-4630*")</f>
        <v>0</v>
      </c>
      <c r="L73" s="48">
        <f>COUNTIF('4g'!$B$1:$J$1, "SENG-4630*")</f>
        <v>0</v>
      </c>
      <c r="M73" s="48">
        <f>COUNTIF('4h'!$B$1:$K$1, "SENG-4630*")</f>
        <v>2</v>
      </c>
      <c r="N73" s="49">
        <f t="shared" si="7"/>
        <v>4</v>
      </c>
      <c r="O73" s="142"/>
    </row>
    <row r="74" spans="1:15" ht="17.25" thickTop="1" thickBot="1" x14ac:dyDescent="0.3">
      <c r="A74" s="2" t="s">
        <v>151</v>
      </c>
      <c r="B74" s="3" t="s">
        <v>12</v>
      </c>
      <c r="C74" s="66"/>
      <c r="D74" s="55">
        <f>COUNTIF(A:A, "SENG-4640*")</f>
        <v>5</v>
      </c>
      <c r="E74" s="55" t="s">
        <v>152</v>
      </c>
      <c r="F74" s="65">
        <f>COUNTIF('4a'!$B$1:$P$1, "SENG-4640*")</f>
        <v>1</v>
      </c>
      <c r="G74" s="45">
        <f>COUNTIF('4b'!$B$1:$Q$1, "SENG-4640*")</f>
        <v>1</v>
      </c>
      <c r="H74" s="45">
        <f>COUNTIF('4c'!$B$1:$L$1, "SENG-4640*")</f>
        <v>1</v>
      </c>
      <c r="I74" s="45">
        <f>COUNTIF('4d'!$B$1:$G$1, "SENG-4640*")</f>
        <v>0</v>
      </c>
      <c r="J74" s="84">
        <f>COUNTIFS('4e'!$B$1:$I$1, "SENG-4640*")</f>
        <v>0</v>
      </c>
      <c r="K74" s="45">
        <f>COUNTIF('4f'!$B$1:$E$1, "SENG-4640*")</f>
        <v>0</v>
      </c>
      <c r="L74" s="48">
        <f>COUNTIF('4g'!$B$1:$J$1, "SENG-4640*")</f>
        <v>0</v>
      </c>
      <c r="M74" s="48">
        <f>COUNTIF('4h'!$B$1:$K$1, "SENG-4640*")</f>
        <v>2</v>
      </c>
      <c r="N74" s="49">
        <f t="shared" si="7"/>
        <v>5</v>
      </c>
      <c r="O74" s="142"/>
    </row>
    <row r="75" spans="1:15" ht="17.25" thickTop="1" thickBot="1" x14ac:dyDescent="0.3">
      <c r="A75" s="2" t="s">
        <v>153</v>
      </c>
      <c r="B75" s="3" t="s">
        <v>12</v>
      </c>
      <c r="C75" s="66"/>
      <c r="D75" s="55">
        <f>COUNTIF(A:A, "SENG-4650*")</f>
        <v>0</v>
      </c>
      <c r="E75" s="55" t="s">
        <v>154</v>
      </c>
      <c r="F75" s="65">
        <f>COUNTIF('4a'!$B$1:$P$1, "SENG-4650*")</f>
        <v>0</v>
      </c>
      <c r="G75" s="45">
        <f>COUNTIF('4b'!$B$1:$Q$1, "SENG-4650*")</f>
        <v>0</v>
      </c>
      <c r="H75" s="45">
        <f>COUNTIF('4c'!$B$1:$L$1, "SENG-4650*")</f>
        <v>0</v>
      </c>
      <c r="I75" s="45">
        <f>COUNTIF('4d'!$B$1:$G$1, "SENG-4650*")</f>
        <v>0</v>
      </c>
      <c r="J75" s="84">
        <f>COUNTIFS('4e'!$B$1:$I$1, "SENG-4650*")</f>
        <v>0</v>
      </c>
      <c r="K75" s="45">
        <f>COUNTIF('4f'!$B$1:$E$1, "SENG-4650*")</f>
        <v>0</v>
      </c>
      <c r="L75" s="48">
        <f>COUNTIF('4g'!$B$1:$J$1, "SENG-4650*")</f>
        <v>0</v>
      </c>
      <c r="M75" s="48">
        <f>COUNTIF('4h'!$B$1:$K$1, "SENG-4650*")</f>
        <v>0</v>
      </c>
      <c r="N75" s="49">
        <f t="shared" si="7"/>
        <v>0</v>
      </c>
      <c r="O75" s="142"/>
    </row>
    <row r="76" spans="1:15" ht="17.25" thickTop="1" thickBot="1" x14ac:dyDescent="0.3">
      <c r="A76" s="2" t="s">
        <v>155</v>
      </c>
      <c r="B76" s="3" t="s">
        <v>12</v>
      </c>
      <c r="C76" s="66"/>
      <c r="D76" s="55">
        <f>COUNTIF(A:A, "SENG-4660*")</f>
        <v>0</v>
      </c>
      <c r="E76" s="55" t="s">
        <v>156</v>
      </c>
      <c r="F76" s="65">
        <f>COUNTIF('4a'!$B$1:$P$1, "SENG-4660*")</f>
        <v>0</v>
      </c>
      <c r="G76" s="45">
        <f>COUNTIF('4b'!$B$1:$Q$1, "SENG-4660*")</f>
        <v>0</v>
      </c>
      <c r="H76" s="45">
        <f>COUNTIF('4c'!$B$1:$L$1, "SENG-4660*")</f>
        <v>0</v>
      </c>
      <c r="I76" s="45">
        <f>COUNTIF('4d'!$B$1:$G$1, "SENG-4660*")</f>
        <v>0</v>
      </c>
      <c r="J76" s="84">
        <f>COUNTIFS('4e'!$B$1:$I$1, "SENG-4660*")</f>
        <v>0</v>
      </c>
      <c r="K76" s="45">
        <f>COUNTIF('4f'!$B$1:$E$1, "SENG-4660*")</f>
        <v>0</v>
      </c>
      <c r="L76" s="48">
        <f>COUNTIF('4g'!$B$1:$J$1, "SENG-4660*")</f>
        <v>0</v>
      </c>
      <c r="M76" s="48">
        <f>COUNTIF('4h'!$B$1:$K$1, "SENG-4660*")</f>
        <v>0</v>
      </c>
      <c r="N76" s="49">
        <f t="shared" si="7"/>
        <v>0</v>
      </c>
      <c r="O76" s="142"/>
    </row>
    <row r="77" spans="1:15" ht="17.25" thickTop="1" thickBot="1" x14ac:dyDescent="0.3">
      <c r="A77" s="2" t="s">
        <v>157</v>
      </c>
      <c r="B77" s="4" t="s">
        <v>12</v>
      </c>
      <c r="C77" s="66"/>
      <c r="D77" s="55">
        <f>COUNTIF(A:A, "STAT-2230*")</f>
        <v>0</v>
      </c>
      <c r="E77" s="55" t="s">
        <v>158</v>
      </c>
      <c r="F77" s="45">
        <f>COUNTIF('4a'!$B$1:$P$1, "STAT-2230*")</f>
        <v>0</v>
      </c>
      <c r="G77" s="45">
        <f>COUNTIF('4b'!$B$1:$Q$1, "STAT-2230*")</f>
        <v>0</v>
      </c>
      <c r="H77" s="45">
        <f>COUNTIF('4c'!$B$1:$L$1, "STAT-2230*")</f>
        <v>0</v>
      </c>
      <c r="I77" s="45">
        <f>COUNTIF('4d'!$B$1:$G$1, "STAT-2230*")</f>
        <v>0</v>
      </c>
      <c r="J77" s="84">
        <f>COUNTIFS('4e'!$B$1:$I$1, "STAT-2230*")</f>
        <v>0</v>
      </c>
      <c r="K77" s="45">
        <f>COUNTIF('4f'!$B$1:$E$1, "STAT-2230*")</f>
        <v>0</v>
      </c>
      <c r="L77" s="48">
        <f>COUNTIF('4g'!$B$1:$J$1, "STAT-2230*")</f>
        <v>0</v>
      </c>
      <c r="M77" s="48">
        <f>COUNTIF('4h'!$B$1:$K$1, "STAT-2230*")</f>
        <v>0</v>
      </c>
      <c r="N77" s="49">
        <f t="shared" si="7"/>
        <v>0</v>
      </c>
      <c r="O77" s="142"/>
    </row>
    <row r="78" spans="1:15" ht="17.25" thickTop="1" thickBot="1" x14ac:dyDescent="0.3">
      <c r="A78" s="2" t="s">
        <v>159</v>
      </c>
      <c r="B78" s="4" t="s">
        <v>12</v>
      </c>
      <c r="C78" s="66"/>
      <c r="D78" s="135">
        <f>SUM(D29:D77)</f>
        <v>79</v>
      </c>
      <c r="E78" s="55" t="s">
        <v>160</v>
      </c>
      <c r="F78" s="96">
        <f t="shared" ref="F78:N78" si="8">SUM(F29:F77)</f>
        <v>15</v>
      </c>
      <c r="G78" s="96">
        <f t="shared" si="8"/>
        <v>16</v>
      </c>
      <c r="H78" s="96">
        <f t="shared" si="8"/>
        <v>11</v>
      </c>
      <c r="I78" s="96">
        <f t="shared" si="8"/>
        <v>6</v>
      </c>
      <c r="J78" s="96">
        <f t="shared" si="8"/>
        <v>8</v>
      </c>
      <c r="K78" s="96">
        <f t="shared" si="8"/>
        <v>4</v>
      </c>
      <c r="L78" s="96">
        <f t="shared" si="8"/>
        <v>9</v>
      </c>
      <c r="M78" s="96">
        <f t="shared" si="8"/>
        <v>10</v>
      </c>
      <c r="N78" s="67">
        <f t="shared" si="8"/>
        <v>79</v>
      </c>
      <c r="O78" s="142"/>
    </row>
    <row r="79" spans="1:15" ht="17.25" thickTop="1" thickBot="1" x14ac:dyDescent="0.3">
      <c r="A79" s="2" t="s">
        <v>161</v>
      </c>
      <c r="B79" s="3" t="s">
        <v>12</v>
      </c>
      <c r="C79" s="66"/>
      <c r="O79" s="142"/>
    </row>
    <row r="80" spans="1:15" ht="17.25" thickTop="1" thickBot="1" x14ac:dyDescent="0.3">
      <c r="A80" s="2" t="s">
        <v>162</v>
      </c>
      <c r="B80" s="3" t="s">
        <v>12</v>
      </c>
      <c r="C80" s="66"/>
      <c r="O80" s="142"/>
    </row>
    <row r="81" spans="1:15" ht="17.25" thickTop="1" thickBot="1" x14ac:dyDescent="0.3">
      <c r="A81" s="2" t="s">
        <v>163</v>
      </c>
      <c r="B81" s="3" t="s">
        <v>12</v>
      </c>
      <c r="C81" s="66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</row>
    <row r="82" spans="1:15" ht="17.25" thickTop="1" thickBot="1" x14ac:dyDescent="0.3">
      <c r="A82" s="2" t="s">
        <v>164</v>
      </c>
      <c r="B82" s="3" t="s">
        <v>12</v>
      </c>
      <c r="C82" s="66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</row>
    <row r="83" spans="1:15" ht="16.5" thickTop="1" x14ac:dyDescent="0.25"/>
  </sheetData>
  <sortState xmlns:xlrd2="http://schemas.microsoft.com/office/spreadsheetml/2017/richdata2" ref="A4:B82">
    <sortCondition ref="B4:B82"/>
  </sortState>
  <mergeCells count="4">
    <mergeCell ref="E3:N3"/>
    <mergeCell ref="Q3:W3"/>
    <mergeCell ref="Q6:W6"/>
    <mergeCell ref="E1:P1"/>
  </mergeCells>
  <phoneticPr fontId="11" type="noConversion"/>
  <conditionalFormatting sqref="F29:N31 F33:N35 F37:N39 F48:N60 L63:N63 F66:K67 F68:N69 F71:N73 L65:N67 F75:N77">
    <cfRule type="containsBlanks" dxfId="296" priority="58">
      <formula>LEN(TRIM(F29))=0</formula>
    </cfRule>
  </conditionalFormatting>
  <conditionalFormatting sqref="F29:M31 F33:M35 F37:M39 F48:M60 L63:M63 F66:K67 F68:M69 F71:M73 L65:M67 F75:M77">
    <cfRule type="cellIs" dxfId="295" priority="56" operator="greaterThan">
      <formula>0</formula>
    </cfRule>
    <cfRule type="cellIs" dxfId="294" priority="57" operator="equal">
      <formula>0</formula>
    </cfRule>
  </conditionalFormatting>
  <conditionalFormatting sqref="F63:K63">
    <cfRule type="containsBlanks" dxfId="293" priority="54">
      <formula>LEN(TRIM(F63))=0</formula>
    </cfRule>
  </conditionalFormatting>
  <conditionalFormatting sqref="F63:K63">
    <cfRule type="cellIs" dxfId="292" priority="52" operator="greaterThan">
      <formula>0</formula>
    </cfRule>
    <cfRule type="cellIs" dxfId="291" priority="53" operator="equal">
      <formula>0</formula>
    </cfRule>
  </conditionalFormatting>
  <conditionalFormatting sqref="F65:K65">
    <cfRule type="containsBlanks" dxfId="290" priority="51">
      <formula>LEN(TRIM(F65))=0</formula>
    </cfRule>
  </conditionalFormatting>
  <conditionalFormatting sqref="F65:K65">
    <cfRule type="cellIs" dxfId="289" priority="49" operator="greaterThan">
      <formula>0</formula>
    </cfRule>
    <cfRule type="cellIs" dxfId="288" priority="50" operator="equal">
      <formula>0</formula>
    </cfRule>
  </conditionalFormatting>
  <conditionalFormatting sqref="F32:N32">
    <cfRule type="containsBlanks" dxfId="287" priority="48">
      <formula>LEN(TRIM(F32))=0</formula>
    </cfRule>
  </conditionalFormatting>
  <conditionalFormatting sqref="F32:M32">
    <cfRule type="cellIs" dxfId="286" priority="46" operator="greaterThan">
      <formula>0</formula>
    </cfRule>
    <cfRule type="cellIs" dxfId="285" priority="47" operator="equal">
      <formula>0</formula>
    </cfRule>
  </conditionalFormatting>
  <conditionalFormatting sqref="F36:N36">
    <cfRule type="containsBlanks" dxfId="284" priority="45">
      <formula>LEN(TRIM(F36))=0</formula>
    </cfRule>
  </conditionalFormatting>
  <conditionalFormatting sqref="F36:M36">
    <cfRule type="cellIs" dxfId="283" priority="43" operator="greaterThan">
      <formula>0</formula>
    </cfRule>
    <cfRule type="cellIs" dxfId="282" priority="44" operator="equal">
      <formula>0</formula>
    </cfRule>
  </conditionalFormatting>
  <conditionalFormatting sqref="F40:N40">
    <cfRule type="containsBlanks" dxfId="281" priority="42">
      <formula>LEN(TRIM(F40))=0</formula>
    </cfRule>
  </conditionalFormatting>
  <conditionalFormatting sqref="F40:M40">
    <cfRule type="cellIs" dxfId="280" priority="40" operator="greaterThan">
      <formula>0</formula>
    </cfRule>
    <cfRule type="cellIs" dxfId="279" priority="41" operator="equal">
      <formula>0</formula>
    </cfRule>
  </conditionalFormatting>
  <conditionalFormatting sqref="F41:N41">
    <cfRule type="containsBlanks" dxfId="278" priority="39">
      <formula>LEN(TRIM(F41))=0</formula>
    </cfRule>
  </conditionalFormatting>
  <conditionalFormatting sqref="F41:M41">
    <cfRule type="cellIs" dxfId="277" priority="37" operator="greaterThan">
      <formula>0</formula>
    </cfRule>
    <cfRule type="cellIs" dxfId="276" priority="38" operator="equal">
      <formula>0</formula>
    </cfRule>
  </conditionalFormatting>
  <conditionalFormatting sqref="F42:N42">
    <cfRule type="containsBlanks" dxfId="275" priority="36">
      <formula>LEN(TRIM(F42))=0</formula>
    </cfRule>
  </conditionalFormatting>
  <conditionalFormatting sqref="F42:M42">
    <cfRule type="cellIs" dxfId="274" priority="34" operator="greaterThan">
      <formula>0</formula>
    </cfRule>
    <cfRule type="cellIs" dxfId="273" priority="35" operator="equal">
      <formula>0</formula>
    </cfRule>
  </conditionalFormatting>
  <conditionalFormatting sqref="F43:N43">
    <cfRule type="containsBlanks" dxfId="272" priority="33">
      <formula>LEN(TRIM(F43))=0</formula>
    </cfRule>
  </conditionalFormatting>
  <conditionalFormatting sqref="F43:M43">
    <cfRule type="cellIs" dxfId="271" priority="31" operator="greaterThan">
      <formula>0</formula>
    </cfRule>
    <cfRule type="cellIs" dxfId="270" priority="32" operator="equal">
      <formula>0</formula>
    </cfRule>
  </conditionalFormatting>
  <conditionalFormatting sqref="F44:N44">
    <cfRule type="containsBlanks" dxfId="269" priority="30">
      <formula>LEN(TRIM(F44))=0</formula>
    </cfRule>
  </conditionalFormatting>
  <conditionalFormatting sqref="F44:M44">
    <cfRule type="cellIs" dxfId="268" priority="28" operator="greaterThan">
      <formula>0</formula>
    </cfRule>
    <cfRule type="cellIs" dxfId="267" priority="29" operator="equal">
      <formula>0</formula>
    </cfRule>
  </conditionalFormatting>
  <conditionalFormatting sqref="F45:N45">
    <cfRule type="containsBlanks" dxfId="266" priority="27">
      <formula>LEN(TRIM(F45))=0</formula>
    </cfRule>
  </conditionalFormatting>
  <conditionalFormatting sqref="F45:M45">
    <cfRule type="cellIs" dxfId="265" priority="25" operator="greaterThan">
      <formula>0</formula>
    </cfRule>
    <cfRule type="cellIs" dxfId="264" priority="26" operator="equal">
      <formula>0</formula>
    </cfRule>
  </conditionalFormatting>
  <conditionalFormatting sqref="F46:N46">
    <cfRule type="containsBlanks" dxfId="263" priority="24">
      <formula>LEN(TRIM(F46))=0</formula>
    </cfRule>
  </conditionalFormatting>
  <conditionalFormatting sqref="F46:M46">
    <cfRule type="cellIs" dxfId="262" priority="22" operator="greaterThan">
      <formula>0</formula>
    </cfRule>
    <cfRule type="cellIs" dxfId="261" priority="23" operator="equal">
      <formula>0</formula>
    </cfRule>
  </conditionalFormatting>
  <conditionalFormatting sqref="F47:N47">
    <cfRule type="containsBlanks" dxfId="260" priority="21">
      <formula>LEN(TRIM(F47))=0</formula>
    </cfRule>
  </conditionalFormatting>
  <conditionalFormatting sqref="F47:M47">
    <cfRule type="cellIs" dxfId="259" priority="19" operator="greaterThan">
      <formula>0</formula>
    </cfRule>
    <cfRule type="cellIs" dxfId="258" priority="20" operator="equal">
      <formula>0</formula>
    </cfRule>
  </conditionalFormatting>
  <conditionalFormatting sqref="F61:N61">
    <cfRule type="containsBlanks" dxfId="257" priority="18">
      <formula>LEN(TRIM(F61))=0</formula>
    </cfRule>
  </conditionalFormatting>
  <conditionalFormatting sqref="F61:M61">
    <cfRule type="cellIs" dxfId="256" priority="16" operator="greaterThan">
      <formula>0</formula>
    </cfRule>
    <cfRule type="cellIs" dxfId="255" priority="17" operator="equal">
      <formula>0</formula>
    </cfRule>
  </conditionalFormatting>
  <conditionalFormatting sqref="F62:N62">
    <cfRule type="containsBlanks" dxfId="254" priority="15">
      <formula>LEN(TRIM(F62))=0</formula>
    </cfRule>
  </conditionalFormatting>
  <conditionalFormatting sqref="F62:M62">
    <cfRule type="cellIs" dxfId="253" priority="13" operator="greaterThan">
      <formula>0</formula>
    </cfRule>
    <cfRule type="cellIs" dxfId="252" priority="14" operator="equal">
      <formula>0</formula>
    </cfRule>
  </conditionalFormatting>
  <conditionalFormatting sqref="L64:N64">
    <cfRule type="containsBlanks" dxfId="251" priority="12">
      <formula>LEN(TRIM(L64))=0</formula>
    </cfRule>
  </conditionalFormatting>
  <conditionalFormatting sqref="L64:M64">
    <cfRule type="cellIs" dxfId="250" priority="10" operator="greaterThan">
      <formula>0</formula>
    </cfRule>
    <cfRule type="cellIs" dxfId="249" priority="11" operator="equal">
      <formula>0</formula>
    </cfRule>
  </conditionalFormatting>
  <conditionalFormatting sqref="F64:K64">
    <cfRule type="containsBlanks" dxfId="248" priority="9">
      <formula>LEN(TRIM(F64))=0</formula>
    </cfRule>
  </conditionalFormatting>
  <conditionalFormatting sqref="F64:K64">
    <cfRule type="cellIs" dxfId="247" priority="7" operator="greaterThan">
      <formula>0</formula>
    </cfRule>
    <cfRule type="cellIs" dxfId="246" priority="8" operator="equal">
      <formula>0</formula>
    </cfRule>
  </conditionalFormatting>
  <conditionalFormatting sqref="F70:N70">
    <cfRule type="containsBlanks" dxfId="245" priority="6">
      <formula>LEN(TRIM(F70))=0</formula>
    </cfRule>
  </conditionalFormatting>
  <conditionalFormatting sqref="F70:M70">
    <cfRule type="cellIs" dxfId="244" priority="4" operator="greaterThan">
      <formula>0</formula>
    </cfRule>
    <cfRule type="cellIs" dxfId="243" priority="5" operator="equal">
      <formula>0</formula>
    </cfRule>
  </conditionalFormatting>
  <conditionalFormatting sqref="F74:N74">
    <cfRule type="containsBlanks" dxfId="242" priority="3">
      <formula>LEN(TRIM(F74))=0</formula>
    </cfRule>
  </conditionalFormatting>
  <conditionalFormatting sqref="F74:M74">
    <cfRule type="cellIs" dxfId="241" priority="1" operator="greaterThan">
      <formula>0</formula>
    </cfRule>
    <cfRule type="cellIs" dxfId="240" priority="2" operator="equal">
      <formula>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341C5-E997-495E-8E45-4A1C66017E6E}">
  <dimension ref="A1:V18"/>
  <sheetViews>
    <sheetView zoomScale="80" zoomScaleNormal="80" workbookViewId="0">
      <selection activeCell="T6" sqref="T6"/>
    </sheetView>
  </sheetViews>
  <sheetFormatPr defaultRowHeight="15" x14ac:dyDescent="0.25"/>
  <cols>
    <col min="1" max="1" width="16.140625" bestFit="1" customWidth="1"/>
  </cols>
  <sheetData>
    <row r="1" spans="1:22" ht="18" x14ac:dyDescent="0.25">
      <c r="A1" s="184" t="s">
        <v>194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46"/>
      <c r="T1" s="146"/>
      <c r="U1" s="146"/>
      <c r="V1" s="146"/>
    </row>
    <row r="2" spans="1:22" ht="16.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7.5" customHeight="1" thickTop="1" thickBot="1" x14ac:dyDescent="0.3">
      <c r="A3" s="93" t="s">
        <v>195</v>
      </c>
      <c r="B3" s="94" t="s">
        <v>196</v>
      </c>
      <c r="C3" s="94" t="s">
        <v>197</v>
      </c>
      <c r="D3" s="94" t="s">
        <v>198</v>
      </c>
      <c r="E3" s="94" t="s">
        <v>199</v>
      </c>
      <c r="F3" s="94" t="s">
        <v>200</v>
      </c>
      <c r="G3" s="94" t="s">
        <v>201</v>
      </c>
      <c r="H3" s="94" t="s">
        <v>202</v>
      </c>
      <c r="I3" s="94" t="s">
        <v>203</v>
      </c>
      <c r="J3" s="94" t="s">
        <v>204</v>
      </c>
      <c r="K3" s="94" t="s">
        <v>205</v>
      </c>
      <c r="L3" s="94" t="s">
        <v>206</v>
      </c>
      <c r="M3" s="94" t="s">
        <v>207</v>
      </c>
      <c r="N3" s="94" t="s">
        <v>208</v>
      </c>
      <c r="O3" s="94" t="s">
        <v>209</v>
      </c>
      <c r="P3" s="94" t="s">
        <v>210</v>
      </c>
      <c r="Q3" s="94" t="s">
        <v>211</v>
      </c>
      <c r="R3" s="94" t="s">
        <v>212</v>
      </c>
      <c r="S3" s="94" t="s">
        <v>213</v>
      </c>
      <c r="T3" s="94" t="s">
        <v>214</v>
      </c>
      <c r="U3" s="94" t="s">
        <v>215</v>
      </c>
      <c r="V3" s="94" t="s">
        <v>216</v>
      </c>
    </row>
    <row r="4" spans="1:22" ht="17.25" thickTop="1" thickBot="1" x14ac:dyDescent="0.3">
      <c r="A4" s="5" t="s">
        <v>217</v>
      </c>
      <c r="B4" s="6" t="s">
        <v>218</v>
      </c>
      <c r="C4" s="6" t="s">
        <v>218</v>
      </c>
      <c r="D4" s="6" t="s">
        <v>218</v>
      </c>
      <c r="E4" s="6" t="s">
        <v>218</v>
      </c>
      <c r="F4" s="6" t="s">
        <v>218</v>
      </c>
      <c r="G4" s="6" t="s">
        <v>218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7.25" thickTop="1" thickBot="1" x14ac:dyDescent="0.3">
      <c r="A5" s="5" t="s">
        <v>219</v>
      </c>
      <c r="B5" s="2"/>
      <c r="C5" s="2" t="s">
        <v>220</v>
      </c>
      <c r="D5" s="7"/>
      <c r="E5" s="7"/>
      <c r="F5" s="2" t="s">
        <v>220</v>
      </c>
      <c r="G5" s="2"/>
      <c r="H5" s="8" t="s">
        <v>218</v>
      </c>
      <c r="I5" s="8" t="s">
        <v>218</v>
      </c>
      <c r="J5" s="8" t="s">
        <v>218</v>
      </c>
      <c r="K5" s="8" t="s">
        <v>218</v>
      </c>
      <c r="L5" s="8" t="s">
        <v>218</v>
      </c>
      <c r="M5" s="8" t="s">
        <v>218</v>
      </c>
      <c r="N5" s="8" t="s">
        <v>218</v>
      </c>
      <c r="O5" s="2"/>
      <c r="P5" s="2"/>
      <c r="Q5" s="2"/>
      <c r="R5" s="2"/>
      <c r="S5" s="2"/>
      <c r="T5" s="2"/>
      <c r="U5" s="2"/>
      <c r="V5" s="2"/>
    </row>
    <row r="6" spans="1:22" ht="17.25" thickTop="1" thickBot="1" x14ac:dyDescent="0.3">
      <c r="A6" s="5" t="s">
        <v>167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47" t="s">
        <v>218</v>
      </c>
      <c r="P6" s="147" t="s">
        <v>218</v>
      </c>
      <c r="Q6" s="147" t="s">
        <v>218</v>
      </c>
      <c r="R6" s="147" t="s">
        <v>218</v>
      </c>
      <c r="S6" s="147" t="s">
        <v>218</v>
      </c>
      <c r="T6" s="147" t="s">
        <v>218</v>
      </c>
      <c r="U6" s="147" t="s">
        <v>218</v>
      </c>
      <c r="V6" s="147" t="s">
        <v>218</v>
      </c>
    </row>
    <row r="7" spans="1:22" ht="17.25" thickTop="1" thickBot="1" x14ac:dyDescent="0.3">
      <c r="A7" s="5" t="s">
        <v>221</v>
      </c>
      <c r="B7" s="2" t="s">
        <v>222</v>
      </c>
      <c r="C7" s="2" t="s">
        <v>223</v>
      </c>
      <c r="D7" s="2" t="s">
        <v>224</v>
      </c>
      <c r="E7" s="2" t="s">
        <v>225</v>
      </c>
      <c r="F7" s="2" t="s">
        <v>226</v>
      </c>
      <c r="G7" s="2" t="s">
        <v>227</v>
      </c>
      <c r="H7" s="2" t="s">
        <v>228</v>
      </c>
      <c r="I7" s="2" t="s">
        <v>229</v>
      </c>
      <c r="J7" s="2" t="s">
        <v>230</v>
      </c>
      <c r="K7" s="2" t="s">
        <v>231</v>
      </c>
      <c r="L7" s="2" t="s">
        <v>232</v>
      </c>
      <c r="M7" s="2" t="s">
        <v>233</v>
      </c>
      <c r="N7" s="2" t="s">
        <v>234</v>
      </c>
      <c r="O7" s="2" t="s">
        <v>235</v>
      </c>
      <c r="P7" s="2" t="s">
        <v>236</v>
      </c>
      <c r="Q7" s="2" t="s">
        <v>233</v>
      </c>
      <c r="R7" s="2" t="s">
        <v>237</v>
      </c>
      <c r="S7" s="2" t="s">
        <v>238</v>
      </c>
      <c r="T7" s="2" t="s">
        <v>239</v>
      </c>
      <c r="U7" s="2" t="s">
        <v>240</v>
      </c>
      <c r="V7" s="2" t="s">
        <v>241</v>
      </c>
    </row>
    <row r="8" spans="1:22" ht="15.75" thickTop="1" x14ac:dyDescent="0.25"/>
    <row r="9" spans="1:22" ht="15.75" thickBot="1" x14ac:dyDescent="0.3"/>
    <row r="10" spans="1:22" ht="17.25" thickTop="1" thickBot="1" x14ac:dyDescent="0.3">
      <c r="A10" s="5" t="s">
        <v>217</v>
      </c>
      <c r="B10" s="6" t="s">
        <v>218</v>
      </c>
      <c r="C10" s="6" t="s">
        <v>218</v>
      </c>
      <c r="D10" s="6" t="s">
        <v>218</v>
      </c>
      <c r="E10" s="6" t="s">
        <v>218</v>
      </c>
      <c r="F10" s="6" t="s">
        <v>218</v>
      </c>
      <c r="G10" s="6" t="s">
        <v>218</v>
      </c>
    </row>
    <row r="11" spans="1:22" ht="17.25" thickTop="1" thickBot="1" x14ac:dyDescent="0.3">
      <c r="A11" s="5" t="s">
        <v>221</v>
      </c>
      <c r="B11" s="2" t="s">
        <v>222</v>
      </c>
      <c r="C11" s="2" t="s">
        <v>223</v>
      </c>
      <c r="D11" s="2" t="s">
        <v>224</v>
      </c>
      <c r="E11" s="2" t="s">
        <v>225</v>
      </c>
      <c r="F11" s="2" t="s">
        <v>226</v>
      </c>
      <c r="G11" s="2" t="s">
        <v>227</v>
      </c>
    </row>
    <row r="12" spans="1:22" ht="17.25" thickTop="1" thickBo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22" ht="17.25" thickTop="1" thickBot="1" x14ac:dyDescent="0.3">
      <c r="A13" s="5" t="s">
        <v>219</v>
      </c>
      <c r="B13" s="8" t="s">
        <v>218</v>
      </c>
      <c r="C13" s="8" t="s">
        <v>218</v>
      </c>
      <c r="D13" s="8" t="s">
        <v>218</v>
      </c>
      <c r="E13" s="8" t="s">
        <v>218</v>
      </c>
      <c r="F13" s="8" t="s">
        <v>218</v>
      </c>
      <c r="G13" s="8" t="s">
        <v>218</v>
      </c>
      <c r="H13" s="8" t="s">
        <v>218</v>
      </c>
      <c r="L13" s="7"/>
      <c r="M13" s="7"/>
    </row>
    <row r="14" spans="1:22" ht="17.25" thickTop="1" thickBot="1" x14ac:dyDescent="0.3">
      <c r="A14" s="5" t="s">
        <v>221</v>
      </c>
      <c r="B14" s="2" t="s">
        <v>228</v>
      </c>
      <c r="C14" s="2" t="s">
        <v>229</v>
      </c>
      <c r="D14" s="2" t="s">
        <v>230</v>
      </c>
      <c r="E14" s="2" t="s">
        <v>231</v>
      </c>
      <c r="F14" s="2" t="s">
        <v>232</v>
      </c>
      <c r="G14" s="2" t="s">
        <v>233</v>
      </c>
      <c r="H14" s="2" t="s">
        <v>234</v>
      </c>
      <c r="L14" s="7"/>
      <c r="M14" s="7"/>
    </row>
    <row r="15" spans="1:22" ht="17.25" thickTop="1" thickBot="1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22" ht="17.25" thickTop="1" thickBot="1" x14ac:dyDescent="0.3">
      <c r="A16" s="5" t="s">
        <v>167</v>
      </c>
      <c r="B16" s="147" t="s">
        <v>218</v>
      </c>
      <c r="C16" s="147" t="s">
        <v>218</v>
      </c>
      <c r="D16" s="147" t="s">
        <v>218</v>
      </c>
      <c r="E16" s="147" t="s">
        <v>218</v>
      </c>
      <c r="F16" s="147" t="s">
        <v>218</v>
      </c>
      <c r="G16" s="147" t="s">
        <v>218</v>
      </c>
      <c r="H16" s="147" t="s">
        <v>218</v>
      </c>
      <c r="I16" s="147" t="s">
        <v>218</v>
      </c>
    </row>
    <row r="17" spans="1:9" ht="17.25" thickTop="1" thickBot="1" x14ac:dyDescent="0.3">
      <c r="A17" s="5" t="s">
        <v>221</v>
      </c>
      <c r="B17" s="2" t="s">
        <v>235</v>
      </c>
      <c r="C17" s="2" t="s">
        <v>236</v>
      </c>
      <c r="D17" s="2" t="s">
        <v>233</v>
      </c>
      <c r="E17" s="2" t="s">
        <v>237</v>
      </c>
      <c r="F17" s="2" t="s">
        <v>238</v>
      </c>
      <c r="G17" s="2" t="s">
        <v>239</v>
      </c>
      <c r="H17" s="2" t="s">
        <v>240</v>
      </c>
      <c r="I17" s="2" t="s">
        <v>241</v>
      </c>
    </row>
    <row r="18" spans="1:9" ht="15.75" thickTop="1" x14ac:dyDescent="0.25"/>
  </sheetData>
  <mergeCells count="1">
    <mergeCell ref="A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5B3F-632F-4612-ABBE-989F3275CE4D}">
  <dimension ref="A1:U65"/>
  <sheetViews>
    <sheetView tabSelected="1" topLeftCell="A26" zoomScale="70" zoomScaleNormal="70" workbookViewId="0">
      <selection activeCell="B55" sqref="B55:P58"/>
    </sheetView>
  </sheetViews>
  <sheetFormatPr defaultColWidth="17.42578125" defaultRowHeight="15" x14ac:dyDescent="0.25"/>
  <cols>
    <col min="1" max="1" width="44.85546875" bestFit="1" customWidth="1"/>
    <col min="2" max="2" width="18.85546875" bestFit="1" customWidth="1"/>
    <col min="3" max="3" width="14.5703125" bestFit="1" customWidth="1"/>
    <col min="4" max="4" width="15.85546875" bestFit="1" customWidth="1"/>
    <col min="5" max="5" width="17.7109375" bestFit="1" customWidth="1"/>
    <col min="6" max="6" width="14.42578125" bestFit="1" customWidth="1"/>
    <col min="7" max="7" width="14.85546875" bestFit="1" customWidth="1"/>
    <col min="8" max="8" width="17.7109375" bestFit="1" customWidth="1"/>
    <col min="9" max="9" width="14" bestFit="1" customWidth="1"/>
    <col min="10" max="10" width="14.85546875" bestFit="1" customWidth="1"/>
    <col min="11" max="11" width="14.42578125" bestFit="1" customWidth="1"/>
    <col min="12" max="13" width="14.85546875" bestFit="1" customWidth="1"/>
    <col min="14" max="14" width="15.28515625" bestFit="1" customWidth="1"/>
    <col min="15" max="16" width="14.85546875" bestFit="1" customWidth="1"/>
    <col min="17" max="17" width="9.28515625" bestFit="1" customWidth="1"/>
    <col min="21" max="21" width="4.28515625" bestFit="1" customWidth="1"/>
  </cols>
  <sheetData>
    <row r="1" spans="1:21" x14ac:dyDescent="0.25">
      <c r="A1" s="9" t="s">
        <v>165</v>
      </c>
      <c r="B1" s="152" t="s">
        <v>32</v>
      </c>
      <c r="C1" s="150" t="s">
        <v>16</v>
      </c>
      <c r="D1" s="150" t="s">
        <v>18</v>
      </c>
      <c r="E1" s="150" t="s">
        <v>4</v>
      </c>
      <c r="F1" s="149" t="s">
        <v>22</v>
      </c>
      <c r="G1" s="151" t="s">
        <v>24</v>
      </c>
      <c r="H1" s="150" t="s">
        <v>14</v>
      </c>
      <c r="I1" s="150" t="s">
        <v>20</v>
      </c>
      <c r="J1" s="152" t="s">
        <v>30</v>
      </c>
      <c r="K1" s="151" t="s">
        <v>26</v>
      </c>
      <c r="L1" s="151" t="s">
        <v>28</v>
      </c>
      <c r="M1" s="152" t="s">
        <v>34</v>
      </c>
      <c r="N1" s="151" t="s">
        <v>36</v>
      </c>
      <c r="O1" s="152" t="s">
        <v>38</v>
      </c>
      <c r="P1" s="152" t="s">
        <v>40</v>
      </c>
      <c r="Q1" s="11">
        <f>COUNTA(B1:P1)</f>
        <v>15</v>
      </c>
    </row>
    <row r="2" spans="1:21" ht="30" x14ac:dyDescent="0.25">
      <c r="A2" s="12" t="s">
        <v>166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1">
        <f>COUNTIF(B2:P2, "&lt;&gt;")</f>
        <v>0</v>
      </c>
    </row>
    <row r="3" spans="1:21" x14ac:dyDescent="0.25">
      <c r="A3" s="13">
        <v>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78"/>
      <c r="U3" s="108" t="s">
        <v>167</v>
      </c>
    </row>
    <row r="4" spans="1:21" x14ac:dyDescent="0.25">
      <c r="A4" s="13">
        <v>2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79"/>
      <c r="U4" s="108" t="s">
        <v>168</v>
      </c>
    </row>
    <row r="5" spans="1:21" x14ac:dyDescent="0.25">
      <c r="A5" s="13">
        <v>3</v>
      </c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79"/>
      <c r="U5" s="108" t="s">
        <v>169</v>
      </c>
    </row>
    <row r="6" spans="1:21" x14ac:dyDescent="0.25">
      <c r="A6" s="13">
        <v>4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79"/>
      <c r="U6" s="108" t="s">
        <v>170</v>
      </c>
    </row>
    <row r="7" spans="1:21" x14ac:dyDescent="0.25">
      <c r="A7" s="13">
        <v>5</v>
      </c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79"/>
      <c r="U7" s="108" t="s">
        <v>171</v>
      </c>
    </row>
    <row r="8" spans="1:21" x14ac:dyDescent="0.25">
      <c r="A8" s="13">
        <v>6</v>
      </c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79"/>
      <c r="U8" s="108" t="s">
        <v>172</v>
      </c>
    </row>
    <row r="9" spans="1:21" x14ac:dyDescent="0.25">
      <c r="A9" s="13">
        <v>7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79"/>
      <c r="U9" s="108" t="s">
        <v>173</v>
      </c>
    </row>
    <row r="10" spans="1:21" x14ac:dyDescent="0.25">
      <c r="A10" s="13">
        <v>8</v>
      </c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79"/>
    </row>
    <row r="11" spans="1:21" x14ac:dyDescent="0.25">
      <c r="A11" s="13">
        <v>9</v>
      </c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79"/>
    </row>
    <row r="12" spans="1:21" x14ac:dyDescent="0.25">
      <c r="A12" s="13">
        <v>10</v>
      </c>
      <c r="B12" s="162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79"/>
    </row>
    <row r="13" spans="1:21" x14ac:dyDescent="0.25">
      <c r="A13" s="13">
        <v>11</v>
      </c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79"/>
    </row>
    <row r="14" spans="1:21" x14ac:dyDescent="0.25">
      <c r="A14" s="13">
        <v>12</v>
      </c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79"/>
    </row>
    <row r="15" spans="1:21" x14ac:dyDescent="0.25">
      <c r="A15" s="13">
        <v>13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79"/>
    </row>
    <row r="16" spans="1:21" x14ac:dyDescent="0.25">
      <c r="A16" s="13">
        <v>14</v>
      </c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79"/>
    </row>
    <row r="17" spans="1:17" x14ac:dyDescent="0.25">
      <c r="A17" s="13">
        <v>15</v>
      </c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79"/>
    </row>
    <row r="18" spans="1:17" x14ac:dyDescent="0.25">
      <c r="A18" s="13">
        <v>16</v>
      </c>
      <c r="B18" s="162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79"/>
    </row>
    <row r="19" spans="1:17" x14ac:dyDescent="0.25">
      <c r="A19" s="13">
        <v>17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79"/>
    </row>
    <row r="20" spans="1:17" x14ac:dyDescent="0.25">
      <c r="A20" s="13">
        <v>18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79"/>
    </row>
    <row r="21" spans="1:17" x14ac:dyDescent="0.25">
      <c r="A21" s="13">
        <v>19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79"/>
    </row>
    <row r="22" spans="1:17" x14ac:dyDescent="0.25">
      <c r="A22" s="15">
        <v>20</v>
      </c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79"/>
    </row>
    <row r="23" spans="1:17" x14ac:dyDescent="0.25">
      <c r="A23" s="15">
        <v>21</v>
      </c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79"/>
    </row>
    <row r="24" spans="1:17" x14ac:dyDescent="0.25">
      <c r="A24" s="13">
        <v>22</v>
      </c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79"/>
    </row>
    <row r="25" spans="1:17" x14ac:dyDescent="0.25">
      <c r="A25" s="13">
        <v>23</v>
      </c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79"/>
    </row>
    <row r="26" spans="1:17" x14ac:dyDescent="0.25">
      <c r="A26" s="13">
        <v>24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79"/>
    </row>
    <row r="27" spans="1:17" x14ac:dyDescent="0.25">
      <c r="A27" s="13">
        <v>25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79"/>
    </row>
    <row r="28" spans="1:17" x14ac:dyDescent="0.25">
      <c r="A28" s="15">
        <v>26</v>
      </c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79"/>
    </row>
    <row r="29" spans="1:17" x14ac:dyDescent="0.25">
      <c r="A29" s="15">
        <v>27</v>
      </c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79"/>
    </row>
    <row r="30" spans="1:17" x14ac:dyDescent="0.25">
      <c r="A30" s="13">
        <v>28</v>
      </c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79"/>
    </row>
    <row r="31" spans="1:17" x14ac:dyDescent="0.25">
      <c r="A31" s="13">
        <v>29</v>
      </c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79"/>
    </row>
    <row r="32" spans="1:17" x14ac:dyDescent="0.25">
      <c r="A32" s="13">
        <v>30</v>
      </c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79"/>
    </row>
    <row r="33" spans="1:17" x14ac:dyDescent="0.25">
      <c r="A33" s="13">
        <v>31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79"/>
    </row>
    <row r="34" spans="1:17" x14ac:dyDescent="0.25">
      <c r="A34" s="13">
        <v>32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79"/>
    </row>
    <row r="35" spans="1:17" x14ac:dyDescent="0.25">
      <c r="A35" s="15">
        <v>33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79"/>
    </row>
    <row r="36" spans="1:17" x14ac:dyDescent="0.25">
      <c r="A36" s="15">
        <v>34</v>
      </c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79"/>
    </row>
    <row r="37" spans="1:17" x14ac:dyDescent="0.25">
      <c r="A37" s="13">
        <v>35</v>
      </c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79"/>
    </row>
    <row r="38" spans="1:17" x14ac:dyDescent="0.25">
      <c r="A38" s="13">
        <v>36</v>
      </c>
      <c r="B38" s="162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79"/>
    </row>
    <row r="39" spans="1:17" x14ac:dyDescent="0.25">
      <c r="A39" s="13">
        <v>37</v>
      </c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79"/>
    </row>
    <row r="40" spans="1:17" x14ac:dyDescent="0.25">
      <c r="A40" s="13">
        <v>38</v>
      </c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79"/>
    </row>
    <row r="41" spans="1:17" x14ac:dyDescent="0.25">
      <c r="A41" s="15">
        <v>39</v>
      </c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79"/>
    </row>
    <row r="42" spans="1:17" ht="15.75" thickBot="1" x14ac:dyDescent="0.3">
      <c r="A42" s="15">
        <v>40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80"/>
    </row>
    <row r="43" spans="1:17" ht="15.75" thickTop="1" x14ac:dyDescent="0.25">
      <c r="A43" s="16" t="s">
        <v>13</v>
      </c>
      <c r="B43" s="164" t="e">
        <f>AVERAGE(B3:B42)</f>
        <v>#DIV/0!</v>
      </c>
      <c r="C43" s="164" t="e">
        <f t="shared" ref="C43:P43" si="0">AVERAGE(C3:C42)</f>
        <v>#DIV/0!</v>
      </c>
      <c r="D43" s="164" t="e">
        <f t="shared" si="0"/>
        <v>#DIV/0!</v>
      </c>
      <c r="E43" s="164" t="e">
        <f t="shared" si="0"/>
        <v>#DIV/0!</v>
      </c>
      <c r="F43" s="164" t="e">
        <f t="shared" si="0"/>
        <v>#DIV/0!</v>
      </c>
      <c r="G43" s="164" t="e">
        <f t="shared" si="0"/>
        <v>#DIV/0!</v>
      </c>
      <c r="H43" s="164" t="e">
        <f t="shared" si="0"/>
        <v>#DIV/0!</v>
      </c>
      <c r="I43" s="164" t="e">
        <f t="shared" si="0"/>
        <v>#DIV/0!</v>
      </c>
      <c r="J43" s="164" t="e">
        <f t="shared" si="0"/>
        <v>#DIV/0!</v>
      </c>
      <c r="K43" s="164" t="e">
        <f t="shared" si="0"/>
        <v>#DIV/0!</v>
      </c>
      <c r="L43" s="164" t="e">
        <f t="shared" si="0"/>
        <v>#DIV/0!</v>
      </c>
      <c r="M43" s="164" t="e">
        <f t="shared" si="0"/>
        <v>#DIV/0!</v>
      </c>
      <c r="N43" s="164" t="e">
        <f t="shared" si="0"/>
        <v>#DIV/0!</v>
      </c>
      <c r="O43" s="164" t="e">
        <f t="shared" si="0"/>
        <v>#DIV/0!</v>
      </c>
      <c r="P43" s="164" t="e">
        <f t="shared" si="0"/>
        <v>#DIV/0!</v>
      </c>
      <c r="Q43" s="17"/>
    </row>
    <row r="44" spans="1:17" x14ac:dyDescent="0.25">
      <c r="A44" s="18" t="s">
        <v>174</v>
      </c>
      <c r="B44" s="162" t="e">
        <f>AVERAGEIF(B43:P43, "&lt;&gt;#DIV/0!")</f>
        <v>#DIV/0!</v>
      </c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4"/>
    </row>
    <row r="45" spans="1:17" x14ac:dyDescent="0.25">
      <c r="A45" s="18" t="s">
        <v>175</v>
      </c>
      <c r="B45" s="14">
        <f>COUNTIF(B3:B42, "&lt;&gt;")</f>
        <v>0</v>
      </c>
      <c r="C45" s="14">
        <f t="shared" ref="C45:P45" si="1">COUNTIF(C3:C42, "&lt;&gt;")</f>
        <v>0</v>
      </c>
      <c r="D45" s="14">
        <f t="shared" si="1"/>
        <v>0</v>
      </c>
      <c r="E45" s="14">
        <f t="shared" si="1"/>
        <v>0</v>
      </c>
      <c r="F45" s="14">
        <f t="shared" si="1"/>
        <v>0</v>
      </c>
      <c r="G45" s="14">
        <f t="shared" si="1"/>
        <v>0</v>
      </c>
      <c r="H45" s="14">
        <f t="shared" si="1"/>
        <v>0</v>
      </c>
      <c r="I45" s="14">
        <f t="shared" si="1"/>
        <v>0</v>
      </c>
      <c r="J45" s="14">
        <f t="shared" si="1"/>
        <v>0</v>
      </c>
      <c r="K45" s="14">
        <f t="shared" si="1"/>
        <v>0</v>
      </c>
      <c r="L45" s="14">
        <f t="shared" si="1"/>
        <v>0</v>
      </c>
      <c r="M45" s="14">
        <f t="shared" si="1"/>
        <v>0</v>
      </c>
      <c r="N45" s="14">
        <f t="shared" si="1"/>
        <v>0</v>
      </c>
      <c r="O45" s="14">
        <f t="shared" si="1"/>
        <v>0</v>
      </c>
      <c r="P45" s="14">
        <f t="shared" si="1"/>
        <v>0</v>
      </c>
      <c r="Q45" s="21"/>
    </row>
    <row r="47" spans="1:17" x14ac:dyDescent="0.25">
      <c r="B47" s="91" t="s">
        <v>176</v>
      </c>
      <c r="C47" s="19" t="s">
        <v>177</v>
      </c>
      <c r="D47" s="19" t="s">
        <v>178</v>
      </c>
      <c r="E47" s="19" t="s">
        <v>179</v>
      </c>
      <c r="F47" s="19" t="s">
        <v>180</v>
      </c>
      <c r="G47" s="19" t="s">
        <v>181</v>
      </c>
      <c r="H47" s="20" t="s">
        <v>182</v>
      </c>
      <c r="I47" s="20" t="s">
        <v>60</v>
      </c>
    </row>
    <row r="48" spans="1:17" x14ac:dyDescent="0.25">
      <c r="A48" s="101" t="s">
        <v>183</v>
      </c>
      <c r="B48" s="160">
        <f>COUNTIF($C$2:$F$2, "A") + COUNTIF($H$2:$I$2, "A")</f>
        <v>0</v>
      </c>
      <c r="C48" s="160">
        <f>COUNTIF($C$2:$F$2, "Q") + COUNTIF($H$2:$I$2, "Q")</f>
        <v>0</v>
      </c>
      <c r="D48" s="160">
        <f>COUNTIF($C$2:$F$2, "M") + COUNTIF($H$2:$I$2, "M")</f>
        <v>0</v>
      </c>
      <c r="E48" s="160">
        <f>COUNTIF($C$2:$F$2, "F") + COUNTIF($H$2:$I$2, "F")</f>
        <v>0</v>
      </c>
      <c r="F48" s="160">
        <f>COUNTIF($C$2:$F$2, "P") + COUNTIF($H$2:$I$2, "P")</f>
        <v>0</v>
      </c>
      <c r="G48" s="160">
        <f>COUNTIF($C$2:$F$2, "L") + COUNTIF($H$2:$I$2, "L")</f>
        <v>0</v>
      </c>
      <c r="H48" s="160">
        <f>COUNTIF($C$2:$F$2, "OT") + COUNTIF($H$2:$I$2, "OT")</f>
        <v>0</v>
      </c>
      <c r="I48" s="161">
        <f>SUM(B48:H48)</f>
        <v>0</v>
      </c>
    </row>
    <row r="49" spans="1:17" x14ac:dyDescent="0.25">
      <c r="A49" s="102" t="s">
        <v>184</v>
      </c>
      <c r="B49" s="160">
        <f>COUNTIF($G$2, "A") + COUNTIF($K$2:$L$2, "A") + COUNTIF($N$2, "A")</f>
        <v>0</v>
      </c>
      <c r="C49" s="160">
        <f>COUNTIF($G$2, "Q") + COUNTIF($K$2:$L$2, "Q") + COUNTIF($N$2, "Q")</f>
        <v>0</v>
      </c>
      <c r="D49" s="160">
        <f>COUNTIF($G$2, "M") + COUNTIF($K$2:$L$2, "M") + COUNTIF($N$2, "M")</f>
        <v>0</v>
      </c>
      <c r="E49" s="160">
        <f>COUNTIF($G$2, "F") + COUNTIF($K$2:$L$2, "F") + COUNTIF($N$2, "F")</f>
        <v>0</v>
      </c>
      <c r="F49" s="160">
        <f>COUNTIF($G$2, "P") + COUNTIF($K$2:$L$2, "P") + COUNTIF($N$2, "P")</f>
        <v>0</v>
      </c>
      <c r="G49" s="160">
        <f>COUNTIF($G$2, "L") + COUNTIF($K$2:$L$2, "L") + COUNTIF($N$2, "L")</f>
        <v>0</v>
      </c>
      <c r="H49" s="160">
        <f>COUNTIF($G$2, "OT") + COUNTIF($K$2:$L$2, "OT") + COUNTIF($N$2, "OT")</f>
        <v>0</v>
      </c>
      <c r="I49" s="161">
        <f>SUM(B49:H49)</f>
        <v>0</v>
      </c>
    </row>
    <row r="50" spans="1:17" x14ac:dyDescent="0.25">
      <c r="A50" s="103" t="s">
        <v>185</v>
      </c>
      <c r="B50" s="160">
        <f>COUNTIF($J$2, "A") + COUNTIF($M$2, "A") + COUNTIF($O$2:$P$2, "A")</f>
        <v>0</v>
      </c>
      <c r="C50" s="160">
        <f>COUNTIF($J$2, "Q") + COUNTIF($M$2, "Q") + COUNTIF($O$2:$P$2, "Q")</f>
        <v>0</v>
      </c>
      <c r="D50" s="160">
        <f>COUNTIF($J$2, "M") + COUNTIF($M$2, "M") + COUNTIF($O$2:$P$2, "M")</f>
        <v>0</v>
      </c>
      <c r="E50" s="160">
        <f>COUNTIF($J$2, "F") + COUNTIF($M$2, "F") + COUNTIF($O$2:$P$2, "F")</f>
        <v>0</v>
      </c>
      <c r="F50" s="160">
        <f>COUNTIF($J$2, "P") + COUNTIF($M$2, "P") + COUNTIF($O$2:$P$2, "P")</f>
        <v>0</v>
      </c>
      <c r="G50" s="160">
        <f>COUNTIF($J$2, "L") + COUNTIF($M$2, "L") + COUNTIF($O$2:$P$2, "L")</f>
        <v>0</v>
      </c>
      <c r="H50" s="160">
        <f>COUNTIF($J$2, "OT") + COUNTIF($M$2, "OT") + COUNTIF($O$2:$P$2, "AOT")</f>
        <v>0</v>
      </c>
      <c r="I50" s="161">
        <f>SUM(B50:H50)</f>
        <v>0</v>
      </c>
    </row>
    <row r="51" spans="1:17" x14ac:dyDescent="0.25">
      <c r="A51" s="19" t="s">
        <v>60</v>
      </c>
      <c r="B51" s="9">
        <f>SUM(B48:B50)</f>
        <v>0</v>
      </c>
      <c r="C51" s="9">
        <f>SUM(C48:C50)</f>
        <v>0</v>
      </c>
      <c r="D51" s="9">
        <f>SUM(D48:D50)</f>
        <v>0</v>
      </c>
      <c r="E51" s="9">
        <f t="shared" ref="E51:H51" si="2">SUM(E48:E50)</f>
        <v>0</v>
      </c>
      <c r="F51" s="9">
        <f t="shared" si="2"/>
        <v>0</v>
      </c>
      <c r="G51" s="9">
        <f t="shared" si="2"/>
        <v>0</v>
      </c>
      <c r="H51" s="9">
        <f t="shared" si="2"/>
        <v>0</v>
      </c>
      <c r="I51" s="9">
        <f>SUM(B51:H51)</f>
        <v>0</v>
      </c>
    </row>
    <row r="53" spans="1:17" ht="18.75" thickBot="1" x14ac:dyDescent="0.3">
      <c r="A53" s="24" t="s">
        <v>186</v>
      </c>
      <c r="B53" s="119"/>
      <c r="C53" s="119"/>
      <c r="D53" s="119"/>
      <c r="E53" s="119"/>
      <c r="F53" s="119"/>
      <c r="G53" s="119"/>
      <c r="H53" s="21"/>
      <c r="I53" s="21"/>
      <c r="J53" s="21"/>
      <c r="K53" s="21"/>
      <c r="L53" s="21"/>
      <c r="M53" s="21"/>
      <c r="N53" s="21"/>
      <c r="O53" s="21"/>
      <c r="P53" s="21"/>
    </row>
    <row r="54" spans="1:17" ht="16.5" thickBot="1" x14ac:dyDescent="0.3">
      <c r="A54" s="22" t="s">
        <v>25</v>
      </c>
      <c r="B54" s="152" t="s">
        <v>32</v>
      </c>
      <c r="C54" s="150" t="s">
        <v>16</v>
      </c>
      <c r="D54" s="150" t="s">
        <v>18</v>
      </c>
      <c r="E54" s="150" t="s">
        <v>4</v>
      </c>
      <c r="F54" s="149" t="s">
        <v>22</v>
      </c>
      <c r="G54" s="151" t="s">
        <v>24</v>
      </c>
      <c r="H54" s="150" t="s">
        <v>14</v>
      </c>
      <c r="I54" s="150" t="s">
        <v>20</v>
      </c>
      <c r="J54" s="152" t="s">
        <v>30</v>
      </c>
      <c r="K54" s="151" t="s">
        <v>26</v>
      </c>
      <c r="L54" s="151" t="s">
        <v>28</v>
      </c>
      <c r="M54" s="152" t="s">
        <v>34</v>
      </c>
      <c r="N54" s="151" t="s">
        <v>36</v>
      </c>
      <c r="O54" s="152" t="s">
        <v>38</v>
      </c>
      <c r="P54" s="152" t="s">
        <v>40</v>
      </c>
      <c r="Q54" s="118" t="s">
        <v>13</v>
      </c>
    </row>
    <row r="55" spans="1:17" ht="16.5" thickBot="1" x14ac:dyDescent="0.3">
      <c r="A55" s="104" t="s">
        <v>27</v>
      </c>
      <c r="B55" s="117" t="e">
        <f>(COUNTIF(B3:B42, "&lt;=59%"))/B45</f>
        <v>#DIV/0!</v>
      </c>
      <c r="C55" s="117" t="e">
        <f t="shared" ref="C55:P55" si="3">(COUNTIF(C3:C42, "&lt;=59%"))/C45</f>
        <v>#DIV/0!</v>
      </c>
      <c r="D55" s="117" t="e">
        <f t="shared" si="3"/>
        <v>#DIV/0!</v>
      </c>
      <c r="E55" s="117" t="e">
        <f t="shared" si="3"/>
        <v>#DIV/0!</v>
      </c>
      <c r="F55" s="117" t="e">
        <f t="shared" si="3"/>
        <v>#DIV/0!</v>
      </c>
      <c r="G55" s="117" t="e">
        <f t="shared" si="3"/>
        <v>#DIV/0!</v>
      </c>
      <c r="H55" s="117" t="e">
        <f t="shared" si="3"/>
        <v>#DIV/0!</v>
      </c>
      <c r="I55" s="117" t="e">
        <f t="shared" si="3"/>
        <v>#DIV/0!</v>
      </c>
      <c r="J55" s="117" t="e">
        <f t="shared" si="3"/>
        <v>#DIV/0!</v>
      </c>
      <c r="K55" s="117" t="e">
        <f t="shared" si="3"/>
        <v>#DIV/0!</v>
      </c>
      <c r="L55" s="117" t="e">
        <f t="shared" si="3"/>
        <v>#DIV/0!</v>
      </c>
      <c r="M55" s="117" t="e">
        <f t="shared" si="3"/>
        <v>#DIV/0!</v>
      </c>
      <c r="N55" s="117" t="e">
        <f t="shared" si="3"/>
        <v>#DIV/0!</v>
      </c>
      <c r="O55" s="117" t="e">
        <f t="shared" si="3"/>
        <v>#DIV/0!</v>
      </c>
      <c r="P55" s="117" t="e">
        <f t="shared" si="3"/>
        <v>#DIV/0!</v>
      </c>
      <c r="Q55" s="88" t="e">
        <f>AVERAGEIF(B55:P55, "&lt;&gt;#DIV/0!")</f>
        <v>#DIV/0!</v>
      </c>
    </row>
    <row r="56" spans="1:17" ht="16.5" thickBot="1" x14ac:dyDescent="0.3">
      <c r="A56" s="105" t="s">
        <v>29</v>
      </c>
      <c r="B56" s="120" t="e">
        <f>(COUNTIFS(B3:B42, "&gt;= 60%", B3:B42, "&lt;=69%" ))/B45</f>
        <v>#DIV/0!</v>
      </c>
      <c r="C56" s="120" t="e">
        <f t="shared" ref="C56:P56" si="4">(COUNTIFS(C3:C42, "&gt;= 60%", C3:C42, "&lt;=69%" ))/C45</f>
        <v>#DIV/0!</v>
      </c>
      <c r="D56" s="120" t="e">
        <f t="shared" si="4"/>
        <v>#DIV/0!</v>
      </c>
      <c r="E56" s="120" t="e">
        <f t="shared" si="4"/>
        <v>#DIV/0!</v>
      </c>
      <c r="F56" s="120" t="e">
        <f t="shared" si="4"/>
        <v>#DIV/0!</v>
      </c>
      <c r="G56" s="120" t="e">
        <f t="shared" si="4"/>
        <v>#DIV/0!</v>
      </c>
      <c r="H56" s="120" t="e">
        <f t="shared" si="4"/>
        <v>#DIV/0!</v>
      </c>
      <c r="I56" s="120" t="e">
        <f t="shared" si="4"/>
        <v>#DIV/0!</v>
      </c>
      <c r="J56" s="120" t="e">
        <f t="shared" si="4"/>
        <v>#DIV/0!</v>
      </c>
      <c r="K56" s="120" t="e">
        <f t="shared" si="4"/>
        <v>#DIV/0!</v>
      </c>
      <c r="L56" s="120" t="e">
        <f t="shared" si="4"/>
        <v>#DIV/0!</v>
      </c>
      <c r="M56" s="120" t="e">
        <f t="shared" si="4"/>
        <v>#DIV/0!</v>
      </c>
      <c r="N56" s="120" t="e">
        <f t="shared" si="4"/>
        <v>#DIV/0!</v>
      </c>
      <c r="O56" s="120" t="e">
        <f t="shared" si="4"/>
        <v>#DIV/0!</v>
      </c>
      <c r="P56" s="120" t="e">
        <f t="shared" si="4"/>
        <v>#DIV/0!</v>
      </c>
      <c r="Q56" s="88" t="e">
        <f>AVERAGEIF(B56:P56, "&lt;&gt;#DIV/0!")</f>
        <v>#DIV/0!</v>
      </c>
    </row>
    <row r="57" spans="1:17" ht="16.5" thickBot="1" x14ac:dyDescent="0.3">
      <c r="A57" s="100" t="s">
        <v>31</v>
      </c>
      <c r="B57" s="120" t="e">
        <f>(COUNTIFS(B3:B42, "&gt;= 70%", B3:B42, "&lt;=79%" ))/B45</f>
        <v>#DIV/0!</v>
      </c>
      <c r="C57" s="120" t="e">
        <f t="shared" ref="C57:P57" si="5">(COUNTIFS(C3:C42, "&gt;= 70%", C3:C42, "&lt;=79%" ))/C45</f>
        <v>#DIV/0!</v>
      </c>
      <c r="D57" s="120" t="e">
        <f t="shared" si="5"/>
        <v>#DIV/0!</v>
      </c>
      <c r="E57" s="120" t="e">
        <f t="shared" si="5"/>
        <v>#DIV/0!</v>
      </c>
      <c r="F57" s="120" t="e">
        <f t="shared" si="5"/>
        <v>#DIV/0!</v>
      </c>
      <c r="G57" s="120" t="e">
        <f t="shared" si="5"/>
        <v>#DIV/0!</v>
      </c>
      <c r="H57" s="120" t="e">
        <f t="shared" si="5"/>
        <v>#DIV/0!</v>
      </c>
      <c r="I57" s="120" t="e">
        <f t="shared" si="5"/>
        <v>#DIV/0!</v>
      </c>
      <c r="J57" s="120" t="e">
        <f t="shared" si="5"/>
        <v>#DIV/0!</v>
      </c>
      <c r="K57" s="120" t="e">
        <f t="shared" si="5"/>
        <v>#DIV/0!</v>
      </c>
      <c r="L57" s="120" t="e">
        <f t="shared" si="5"/>
        <v>#DIV/0!</v>
      </c>
      <c r="M57" s="120" t="e">
        <f t="shared" si="5"/>
        <v>#DIV/0!</v>
      </c>
      <c r="N57" s="120" t="e">
        <f t="shared" si="5"/>
        <v>#DIV/0!</v>
      </c>
      <c r="O57" s="120" t="e">
        <f t="shared" si="5"/>
        <v>#DIV/0!</v>
      </c>
      <c r="P57" s="120" t="e">
        <f t="shared" si="5"/>
        <v>#DIV/0!</v>
      </c>
      <c r="Q57" s="88" t="e">
        <f>AVERAGEIF(B57:P57, "&lt;&gt;#DIV/0!")</f>
        <v>#DIV/0!</v>
      </c>
    </row>
    <row r="58" spans="1:17" ht="16.5" thickBot="1" x14ac:dyDescent="0.3">
      <c r="A58" s="106" t="s">
        <v>33</v>
      </c>
      <c r="B58" s="120" t="e">
        <f>(COUNTIF(B3:B42,"&gt;= 80%")/B45)</f>
        <v>#DIV/0!</v>
      </c>
      <c r="C58" s="120" t="e">
        <f t="shared" ref="C58:P58" si="6">(COUNTIF(C3:C42,"&gt;= 80%")/C45)</f>
        <v>#DIV/0!</v>
      </c>
      <c r="D58" s="120" t="e">
        <f t="shared" si="6"/>
        <v>#DIV/0!</v>
      </c>
      <c r="E58" s="120" t="e">
        <f t="shared" si="6"/>
        <v>#DIV/0!</v>
      </c>
      <c r="F58" s="120" t="e">
        <f t="shared" si="6"/>
        <v>#DIV/0!</v>
      </c>
      <c r="G58" s="120" t="e">
        <f t="shared" si="6"/>
        <v>#DIV/0!</v>
      </c>
      <c r="H58" s="120" t="e">
        <f t="shared" si="6"/>
        <v>#DIV/0!</v>
      </c>
      <c r="I58" s="120" t="e">
        <f t="shared" si="6"/>
        <v>#DIV/0!</v>
      </c>
      <c r="J58" s="120" t="e">
        <f t="shared" si="6"/>
        <v>#DIV/0!</v>
      </c>
      <c r="K58" s="120" t="e">
        <f t="shared" si="6"/>
        <v>#DIV/0!</v>
      </c>
      <c r="L58" s="120" t="e">
        <f t="shared" si="6"/>
        <v>#DIV/0!</v>
      </c>
      <c r="M58" s="120" t="e">
        <f t="shared" si="6"/>
        <v>#DIV/0!</v>
      </c>
      <c r="N58" s="120" t="e">
        <f t="shared" si="6"/>
        <v>#DIV/0!</v>
      </c>
      <c r="O58" s="120" t="e">
        <f t="shared" si="6"/>
        <v>#DIV/0!</v>
      </c>
      <c r="P58" s="120" t="e">
        <f t="shared" si="6"/>
        <v>#DIV/0!</v>
      </c>
      <c r="Q58" s="88" t="e">
        <f>AVERAGEIF(B58:P58, "&lt;&gt;#DIV/0!")</f>
        <v>#DIV/0!</v>
      </c>
    </row>
    <row r="59" spans="1:17" ht="15.75" thickBot="1" x14ac:dyDescent="0.3">
      <c r="A59" s="23"/>
      <c r="B59" s="121">
        <f>SUMIF(B55:B58, "&lt;&gt;#DIV/0!")</f>
        <v>0</v>
      </c>
      <c r="C59" s="97">
        <f>SUMIF(C55:C58, "&lt;&gt;#DIV/0!")</f>
        <v>0</v>
      </c>
      <c r="D59" s="97">
        <f t="shared" ref="D59:P59" si="7">SUMIF(D55:D58, "&lt;&gt;#DIV/0!")</f>
        <v>0</v>
      </c>
      <c r="E59" s="97">
        <f t="shared" si="7"/>
        <v>0</v>
      </c>
      <c r="F59" s="97">
        <f t="shared" si="7"/>
        <v>0</v>
      </c>
      <c r="G59" s="97">
        <f t="shared" si="7"/>
        <v>0</v>
      </c>
      <c r="H59" s="97">
        <f t="shared" si="7"/>
        <v>0</v>
      </c>
      <c r="I59" s="97">
        <f t="shared" si="7"/>
        <v>0</v>
      </c>
      <c r="J59" s="97">
        <f t="shared" si="7"/>
        <v>0</v>
      </c>
      <c r="K59" s="97">
        <f t="shared" si="7"/>
        <v>0</v>
      </c>
      <c r="L59" s="97">
        <f t="shared" si="7"/>
        <v>0</v>
      </c>
      <c r="M59" s="97">
        <f t="shared" si="7"/>
        <v>0</v>
      </c>
      <c r="N59" s="97">
        <f t="shared" si="7"/>
        <v>0</v>
      </c>
      <c r="O59" s="97">
        <f t="shared" si="7"/>
        <v>0</v>
      </c>
      <c r="P59" s="97">
        <f t="shared" si="7"/>
        <v>0</v>
      </c>
      <c r="Q59" s="88">
        <f>AVERAGEIF(B59:P59, "&lt;&gt;#DIV/0!")</f>
        <v>0</v>
      </c>
    </row>
    <row r="60" spans="1:17" ht="15.75" thickBot="1" x14ac:dyDescent="0.3"/>
    <row r="61" spans="1:17" ht="15.75" thickBot="1" x14ac:dyDescent="0.3">
      <c r="A61" s="25"/>
      <c r="B61" s="27" t="s">
        <v>187</v>
      </c>
      <c r="C61" s="27" t="s">
        <v>188</v>
      </c>
    </row>
    <row r="62" spans="1:17" ht="16.5" thickBot="1" x14ac:dyDescent="0.3">
      <c r="A62" s="26" t="s">
        <v>33</v>
      </c>
      <c r="B62" s="29" t="s">
        <v>189</v>
      </c>
      <c r="C62" s="28">
        <v>100</v>
      </c>
    </row>
    <row r="63" spans="1:17" ht="16.5" thickBot="1" x14ac:dyDescent="0.3">
      <c r="A63" s="26" t="s">
        <v>31</v>
      </c>
      <c r="B63" s="29" t="s">
        <v>190</v>
      </c>
      <c r="C63" s="28">
        <v>79</v>
      </c>
    </row>
    <row r="64" spans="1:17" ht="16.5" thickBot="1" x14ac:dyDescent="0.3">
      <c r="A64" s="26" t="s">
        <v>29</v>
      </c>
      <c r="B64" s="29" t="s">
        <v>191</v>
      </c>
      <c r="C64" s="28">
        <v>69</v>
      </c>
    </row>
    <row r="65" spans="1:3" ht="16.5" thickBot="1" x14ac:dyDescent="0.3">
      <c r="A65" s="26" t="s">
        <v>27</v>
      </c>
      <c r="B65" s="29" t="s">
        <v>192</v>
      </c>
      <c r="C65" s="28">
        <v>59</v>
      </c>
    </row>
  </sheetData>
  <mergeCells count="1">
    <mergeCell ref="Q3:Q42"/>
  </mergeCells>
  <phoneticPr fontId="11" type="noConversion"/>
  <conditionalFormatting sqref="B3:P22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9" priority="562" operator="greaterThanOrEqual">
      <formula>80</formula>
    </cfRule>
    <cfRule type="containsBlanks" dxfId="238" priority="563" stopIfTrue="1">
      <formula>LEN(TRIM(B3))=0</formula>
    </cfRule>
    <cfRule type="cellIs" dxfId="237" priority="564" operator="greaterThanOrEqual">
      <formula>80</formula>
    </cfRule>
    <cfRule type="cellIs" dxfId="236" priority="565" operator="between">
      <formula>70</formula>
      <formula>79</formula>
    </cfRule>
    <cfRule type="cellIs" dxfId="235" priority="566" operator="between">
      <formula>60</formula>
      <formula>69</formula>
    </cfRule>
    <cfRule type="cellIs" dxfId="234" priority="567" operator="between">
      <formula>0</formula>
      <formula>59</formula>
    </cfRule>
  </conditionalFormatting>
  <conditionalFormatting sqref="B23:P23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3" priority="569" operator="greaterThanOrEqual">
      <formula>80</formula>
    </cfRule>
    <cfRule type="containsBlanks" dxfId="232" priority="570" stopIfTrue="1">
      <formula>LEN(TRIM(B23))=0</formula>
    </cfRule>
    <cfRule type="cellIs" dxfId="231" priority="571" operator="greaterThanOrEqual">
      <formula>80</formula>
    </cfRule>
    <cfRule type="cellIs" dxfId="230" priority="572" operator="between">
      <formula>70</formula>
      <formula>79</formula>
    </cfRule>
    <cfRule type="cellIs" dxfId="229" priority="573" operator="between">
      <formula>60</formula>
      <formula>69</formula>
    </cfRule>
    <cfRule type="cellIs" dxfId="228" priority="574" operator="between">
      <formula>0</formula>
      <formula>59</formula>
    </cfRule>
  </conditionalFormatting>
  <conditionalFormatting sqref="B24:P28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27" priority="576" operator="greaterThanOrEqual">
      <formula>80</formula>
    </cfRule>
    <cfRule type="containsBlanks" dxfId="226" priority="577" stopIfTrue="1">
      <formula>LEN(TRIM(B24))=0</formula>
    </cfRule>
    <cfRule type="cellIs" dxfId="225" priority="578" operator="greaterThanOrEqual">
      <formula>80</formula>
    </cfRule>
    <cfRule type="cellIs" dxfId="224" priority="579" operator="between">
      <formula>70</formula>
      <formula>79</formula>
    </cfRule>
    <cfRule type="cellIs" dxfId="223" priority="580" operator="between">
      <formula>60</formula>
      <formula>69</formula>
    </cfRule>
    <cfRule type="cellIs" dxfId="222" priority="581" operator="between">
      <formula>0</formula>
      <formula>59</formula>
    </cfRule>
  </conditionalFormatting>
  <conditionalFormatting sqref="B29:P29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21" priority="583" operator="greaterThanOrEqual">
      <formula>80</formula>
    </cfRule>
    <cfRule type="containsBlanks" dxfId="220" priority="584" stopIfTrue="1">
      <formula>LEN(TRIM(B29))=0</formula>
    </cfRule>
    <cfRule type="cellIs" dxfId="219" priority="585" operator="greaterThanOrEqual">
      <formula>80</formula>
    </cfRule>
    <cfRule type="cellIs" dxfId="218" priority="586" operator="between">
      <formula>70</formula>
      <formula>79</formula>
    </cfRule>
    <cfRule type="cellIs" dxfId="217" priority="587" operator="between">
      <formula>60</formula>
      <formula>69</formula>
    </cfRule>
    <cfRule type="cellIs" dxfId="216" priority="588" operator="between">
      <formula>0</formula>
      <formula>59</formula>
    </cfRule>
  </conditionalFormatting>
  <conditionalFormatting sqref="B30:P35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15" priority="590" operator="greaterThanOrEqual">
      <formula>80</formula>
    </cfRule>
    <cfRule type="containsBlanks" dxfId="214" priority="591" stopIfTrue="1">
      <formula>LEN(TRIM(B30))=0</formula>
    </cfRule>
    <cfRule type="cellIs" dxfId="213" priority="592" operator="greaterThanOrEqual">
      <formula>80</formula>
    </cfRule>
    <cfRule type="cellIs" dxfId="212" priority="593" operator="between">
      <formula>70</formula>
      <formula>79</formula>
    </cfRule>
    <cfRule type="cellIs" dxfId="211" priority="594" operator="between">
      <formula>60</formula>
      <formula>69</formula>
    </cfRule>
    <cfRule type="cellIs" dxfId="210" priority="595" operator="between">
      <formula>0</formula>
      <formula>59</formula>
    </cfRule>
  </conditionalFormatting>
  <conditionalFormatting sqref="B36:P36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09" priority="597" operator="greaterThanOrEqual">
      <formula>80</formula>
    </cfRule>
    <cfRule type="containsBlanks" dxfId="208" priority="598" stopIfTrue="1">
      <formula>LEN(TRIM(B36))=0</formula>
    </cfRule>
    <cfRule type="cellIs" dxfId="207" priority="599" operator="greaterThanOrEqual">
      <formula>80</formula>
    </cfRule>
    <cfRule type="cellIs" dxfId="206" priority="600" operator="between">
      <formula>70</formula>
      <formula>79</formula>
    </cfRule>
    <cfRule type="cellIs" dxfId="205" priority="601" operator="between">
      <formula>60</formula>
      <formula>69</formula>
    </cfRule>
    <cfRule type="cellIs" dxfId="204" priority="602" operator="between">
      <formula>0</formula>
      <formula>59</formula>
    </cfRule>
  </conditionalFormatting>
  <conditionalFormatting sqref="B37:P41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03" priority="604" operator="greaterThanOrEqual">
      <formula>80</formula>
    </cfRule>
    <cfRule type="containsBlanks" dxfId="202" priority="605" stopIfTrue="1">
      <formula>LEN(TRIM(B37))=0</formula>
    </cfRule>
    <cfRule type="cellIs" dxfId="201" priority="606" operator="greaterThanOrEqual">
      <formula>80</formula>
    </cfRule>
    <cfRule type="cellIs" dxfId="200" priority="607" operator="between">
      <formula>70</formula>
      <formula>79</formula>
    </cfRule>
    <cfRule type="cellIs" dxfId="199" priority="608" operator="between">
      <formula>60</formula>
      <formula>69</formula>
    </cfRule>
    <cfRule type="cellIs" dxfId="198" priority="609" operator="between">
      <formula>0</formula>
      <formula>59</formula>
    </cfRule>
  </conditionalFormatting>
  <conditionalFormatting sqref="B42:P42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7" priority="611" operator="greaterThanOrEqual">
      <formula>80</formula>
    </cfRule>
    <cfRule type="containsBlanks" dxfId="196" priority="612" stopIfTrue="1">
      <formula>LEN(TRIM(B42))=0</formula>
    </cfRule>
    <cfRule type="cellIs" dxfId="195" priority="613" operator="greaterThanOrEqual">
      <formula>80</formula>
    </cfRule>
    <cfRule type="cellIs" dxfId="194" priority="614" operator="between">
      <formula>70</formula>
      <formula>79</formula>
    </cfRule>
    <cfRule type="cellIs" dxfId="193" priority="615" operator="between">
      <formula>60</formula>
      <formula>69</formula>
    </cfRule>
    <cfRule type="cellIs" dxfId="192" priority="616" operator="between">
      <formula>0</formula>
      <formula>59</formula>
    </cfRule>
  </conditionalFormatting>
  <dataValidations count="1">
    <dataValidation type="list" allowBlank="1" showInputMessage="1" showErrorMessage="1" sqref="B2:P2" xr:uid="{3DE80BE3-E999-4C58-A25E-C60AF2D1D99A}">
      <formula1>$U$3:$U$10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308B-E3A9-4B1E-A418-545F57350095}">
  <dimension ref="A1:U65"/>
  <sheetViews>
    <sheetView topLeftCell="A33" zoomScale="70" zoomScaleNormal="70" workbookViewId="0">
      <selection activeCell="B55" sqref="B55:B58"/>
    </sheetView>
  </sheetViews>
  <sheetFormatPr defaultColWidth="16.5703125" defaultRowHeight="15" x14ac:dyDescent="0.25"/>
  <cols>
    <col min="1" max="1" width="44.85546875" bestFit="1" customWidth="1"/>
    <col min="2" max="2" width="18.85546875" bestFit="1" customWidth="1"/>
    <col min="3" max="3" width="15" bestFit="1" customWidth="1"/>
    <col min="4" max="4" width="15.85546875" bestFit="1" customWidth="1"/>
    <col min="5" max="5" width="17.7109375" bestFit="1" customWidth="1"/>
    <col min="6" max="7" width="15.42578125" bestFit="1" customWidth="1"/>
    <col min="8" max="17" width="15.42578125" customWidth="1"/>
    <col min="18" max="18" width="16.7109375" customWidth="1"/>
    <col min="21" max="21" width="16.5703125" style="108"/>
  </cols>
  <sheetData>
    <row r="1" spans="1:21" x14ac:dyDescent="0.25">
      <c r="A1" s="9" t="s">
        <v>165</v>
      </c>
      <c r="B1" s="150" t="s">
        <v>48</v>
      </c>
      <c r="C1" s="151" t="s">
        <v>54</v>
      </c>
      <c r="D1" s="151" t="s">
        <v>55</v>
      </c>
      <c r="E1" s="152" t="s">
        <v>63</v>
      </c>
      <c r="F1" s="152" t="s">
        <v>57</v>
      </c>
      <c r="G1" s="149" t="s">
        <v>46</v>
      </c>
      <c r="H1" s="151" t="s">
        <v>50</v>
      </c>
      <c r="I1" s="150" t="s">
        <v>42</v>
      </c>
      <c r="J1" s="150" t="s">
        <v>44</v>
      </c>
      <c r="K1" s="151" t="s">
        <v>52</v>
      </c>
      <c r="L1" s="152" t="s">
        <v>61</v>
      </c>
      <c r="M1" s="151" t="s">
        <v>56</v>
      </c>
      <c r="N1" s="152" t="s">
        <v>65</v>
      </c>
      <c r="O1" s="152" t="s">
        <v>67</v>
      </c>
      <c r="P1" s="152" t="s">
        <v>69</v>
      </c>
      <c r="Q1" s="152" t="s">
        <v>71</v>
      </c>
      <c r="R1" s="30">
        <f>COUNTA(B1:G1)</f>
        <v>6</v>
      </c>
    </row>
    <row r="2" spans="1:21" ht="30" x14ac:dyDescent="0.25">
      <c r="A2" s="12" t="s">
        <v>166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30">
        <f>COUNTIF(B2:Q2, "&lt;&gt;")</f>
        <v>0</v>
      </c>
    </row>
    <row r="3" spans="1:21" x14ac:dyDescent="0.25">
      <c r="A3" s="31">
        <v>1</v>
      </c>
      <c r="B3" s="162"/>
      <c r="C3" s="162"/>
      <c r="D3" s="162"/>
      <c r="E3" s="162"/>
      <c r="F3" s="162"/>
      <c r="G3" s="162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81"/>
    </row>
    <row r="4" spans="1:21" x14ac:dyDescent="0.25">
      <c r="A4" s="31">
        <v>2</v>
      </c>
      <c r="B4" s="162"/>
      <c r="C4" s="162"/>
      <c r="D4" s="162"/>
      <c r="E4" s="162"/>
      <c r="F4" s="162"/>
      <c r="G4" s="162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82"/>
    </row>
    <row r="5" spans="1:21" x14ac:dyDescent="0.25">
      <c r="A5" s="31">
        <v>3</v>
      </c>
      <c r="B5" s="162"/>
      <c r="C5" s="162"/>
      <c r="D5" s="162"/>
      <c r="E5" s="162"/>
      <c r="F5" s="162"/>
      <c r="G5" s="162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82"/>
      <c r="U5" s="108" t="s">
        <v>167</v>
      </c>
    </row>
    <row r="6" spans="1:21" x14ac:dyDescent="0.25">
      <c r="A6" s="31">
        <v>4</v>
      </c>
      <c r="B6" s="162"/>
      <c r="C6" s="162"/>
      <c r="D6" s="162"/>
      <c r="E6" s="162"/>
      <c r="F6" s="162"/>
      <c r="G6" s="162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82"/>
      <c r="U6" s="108" t="s">
        <v>168</v>
      </c>
    </row>
    <row r="7" spans="1:21" x14ac:dyDescent="0.25">
      <c r="A7" s="31">
        <v>5</v>
      </c>
      <c r="B7" s="162"/>
      <c r="C7" s="162"/>
      <c r="D7" s="162"/>
      <c r="E7" s="162"/>
      <c r="F7" s="162"/>
      <c r="G7" s="162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82"/>
      <c r="U7" s="108" t="s">
        <v>169</v>
      </c>
    </row>
    <row r="8" spans="1:21" x14ac:dyDescent="0.25">
      <c r="A8" s="31">
        <v>6</v>
      </c>
      <c r="B8" s="162"/>
      <c r="C8" s="162"/>
      <c r="D8" s="162"/>
      <c r="E8" s="162"/>
      <c r="F8" s="162"/>
      <c r="G8" s="162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82"/>
      <c r="U8" s="108" t="s">
        <v>170</v>
      </c>
    </row>
    <row r="9" spans="1:21" x14ac:dyDescent="0.25">
      <c r="A9" s="31">
        <v>7</v>
      </c>
      <c r="B9" s="162"/>
      <c r="C9" s="162"/>
      <c r="D9" s="162"/>
      <c r="E9" s="162"/>
      <c r="F9" s="162"/>
      <c r="G9" s="162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82"/>
      <c r="U9" s="108" t="s">
        <v>171</v>
      </c>
    </row>
    <row r="10" spans="1:21" x14ac:dyDescent="0.25">
      <c r="A10" s="31">
        <v>8</v>
      </c>
      <c r="B10" s="162"/>
      <c r="C10" s="162"/>
      <c r="D10" s="162"/>
      <c r="E10" s="162"/>
      <c r="F10" s="162"/>
      <c r="G10" s="162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82"/>
      <c r="U10" s="108" t="s">
        <v>172</v>
      </c>
    </row>
    <row r="11" spans="1:21" x14ac:dyDescent="0.25">
      <c r="A11" s="31">
        <v>9</v>
      </c>
      <c r="B11" s="162"/>
      <c r="C11" s="162"/>
      <c r="D11" s="162"/>
      <c r="E11" s="162"/>
      <c r="F11" s="162"/>
      <c r="G11" s="162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82"/>
      <c r="U11" s="108" t="s">
        <v>173</v>
      </c>
    </row>
    <row r="12" spans="1:21" x14ac:dyDescent="0.25">
      <c r="A12" s="31">
        <v>10</v>
      </c>
      <c r="B12" s="162"/>
      <c r="C12" s="162"/>
      <c r="D12" s="162"/>
      <c r="E12" s="162"/>
      <c r="F12" s="162"/>
      <c r="G12" s="162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82"/>
    </row>
    <row r="13" spans="1:21" x14ac:dyDescent="0.25">
      <c r="A13" s="31">
        <v>11</v>
      </c>
      <c r="B13" s="162"/>
      <c r="C13" s="162"/>
      <c r="D13" s="162"/>
      <c r="E13" s="162"/>
      <c r="F13" s="162"/>
      <c r="G13" s="162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82"/>
    </row>
    <row r="14" spans="1:21" x14ac:dyDescent="0.25">
      <c r="A14" s="31">
        <v>12</v>
      </c>
      <c r="B14" s="162"/>
      <c r="C14" s="162"/>
      <c r="D14" s="162"/>
      <c r="E14" s="162"/>
      <c r="F14" s="162"/>
      <c r="G14" s="162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82"/>
    </row>
    <row r="15" spans="1:21" x14ac:dyDescent="0.25">
      <c r="A15" s="31">
        <v>13</v>
      </c>
      <c r="B15" s="162"/>
      <c r="C15" s="162"/>
      <c r="D15" s="162"/>
      <c r="E15" s="162"/>
      <c r="F15" s="162"/>
      <c r="G15" s="162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82"/>
    </row>
    <row r="16" spans="1:21" x14ac:dyDescent="0.25">
      <c r="A16" s="31">
        <v>14</v>
      </c>
      <c r="B16" s="162"/>
      <c r="C16" s="162"/>
      <c r="D16" s="162"/>
      <c r="E16" s="162"/>
      <c r="F16" s="162"/>
      <c r="G16" s="162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82"/>
    </row>
    <row r="17" spans="1:18" x14ac:dyDescent="0.25">
      <c r="A17" s="31">
        <v>15</v>
      </c>
      <c r="B17" s="162"/>
      <c r="C17" s="162"/>
      <c r="D17" s="162"/>
      <c r="E17" s="162"/>
      <c r="F17" s="162"/>
      <c r="G17" s="162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82"/>
    </row>
    <row r="18" spans="1:18" x14ac:dyDescent="0.25">
      <c r="A18" s="31">
        <v>16</v>
      </c>
      <c r="B18" s="162"/>
      <c r="C18" s="162"/>
      <c r="D18" s="162"/>
      <c r="E18" s="162"/>
      <c r="F18" s="162"/>
      <c r="G18" s="162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82"/>
    </row>
    <row r="19" spans="1:18" x14ac:dyDescent="0.25">
      <c r="A19" s="31">
        <v>17</v>
      </c>
      <c r="B19" s="162"/>
      <c r="C19" s="162"/>
      <c r="D19" s="162"/>
      <c r="E19" s="162"/>
      <c r="F19" s="162"/>
      <c r="G19" s="162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82"/>
    </row>
    <row r="20" spans="1:18" x14ac:dyDescent="0.25">
      <c r="A20" s="31">
        <v>18</v>
      </c>
      <c r="B20" s="162"/>
      <c r="C20" s="162"/>
      <c r="D20" s="162"/>
      <c r="E20" s="162"/>
      <c r="F20" s="162"/>
      <c r="G20" s="162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82"/>
    </row>
    <row r="21" spans="1:18" x14ac:dyDescent="0.25">
      <c r="A21" s="31">
        <v>19</v>
      </c>
      <c r="B21" s="162"/>
      <c r="C21" s="162"/>
      <c r="D21" s="162"/>
      <c r="E21" s="162"/>
      <c r="F21" s="162"/>
      <c r="G21" s="162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82"/>
    </row>
    <row r="22" spans="1:18" x14ac:dyDescent="0.25">
      <c r="A22" s="31">
        <v>20</v>
      </c>
      <c r="B22" s="162"/>
      <c r="C22" s="162"/>
      <c r="D22" s="162"/>
      <c r="E22" s="162"/>
      <c r="F22" s="162"/>
      <c r="G22" s="162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82"/>
    </row>
    <row r="23" spans="1:18" x14ac:dyDescent="0.25">
      <c r="A23" s="33">
        <v>21</v>
      </c>
      <c r="B23" s="162"/>
      <c r="C23" s="162"/>
      <c r="D23" s="162"/>
      <c r="E23" s="162"/>
      <c r="F23" s="162"/>
      <c r="G23" s="162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82"/>
    </row>
    <row r="24" spans="1:18" x14ac:dyDescent="0.25">
      <c r="A24" s="33">
        <v>22</v>
      </c>
      <c r="B24" s="162"/>
      <c r="C24" s="162"/>
      <c r="D24" s="162"/>
      <c r="E24" s="162"/>
      <c r="F24" s="162"/>
      <c r="G24" s="162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82"/>
    </row>
    <row r="25" spans="1:18" x14ac:dyDescent="0.25">
      <c r="A25" s="33">
        <v>23</v>
      </c>
      <c r="B25" s="162"/>
      <c r="C25" s="162"/>
      <c r="D25" s="162"/>
      <c r="E25" s="162"/>
      <c r="F25" s="162"/>
      <c r="G25" s="162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82"/>
    </row>
    <row r="26" spans="1:18" x14ac:dyDescent="0.25">
      <c r="A26" s="33">
        <v>24</v>
      </c>
      <c r="B26" s="162"/>
      <c r="C26" s="162"/>
      <c r="D26" s="162"/>
      <c r="E26" s="162"/>
      <c r="F26" s="162"/>
      <c r="G26" s="162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82"/>
    </row>
    <row r="27" spans="1:18" x14ac:dyDescent="0.25">
      <c r="A27" s="33">
        <v>25</v>
      </c>
      <c r="B27" s="162"/>
      <c r="C27" s="162"/>
      <c r="D27" s="162"/>
      <c r="E27" s="162"/>
      <c r="F27" s="162"/>
      <c r="G27" s="162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82"/>
    </row>
    <row r="28" spans="1:18" x14ac:dyDescent="0.25">
      <c r="A28" s="33">
        <v>26</v>
      </c>
      <c r="B28" s="162"/>
      <c r="C28" s="162"/>
      <c r="D28" s="162"/>
      <c r="E28" s="162"/>
      <c r="F28" s="162"/>
      <c r="G28" s="162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82"/>
    </row>
    <row r="29" spans="1:18" x14ac:dyDescent="0.25">
      <c r="A29" s="33">
        <v>27</v>
      </c>
      <c r="B29" s="162"/>
      <c r="C29" s="162"/>
      <c r="D29" s="162"/>
      <c r="E29" s="162"/>
      <c r="F29" s="162"/>
      <c r="G29" s="162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82"/>
    </row>
    <row r="30" spans="1:18" x14ac:dyDescent="0.25">
      <c r="A30" s="33">
        <v>28</v>
      </c>
      <c r="B30" s="162"/>
      <c r="C30" s="162"/>
      <c r="D30" s="162"/>
      <c r="E30" s="162"/>
      <c r="F30" s="162"/>
      <c r="G30" s="162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82"/>
    </row>
    <row r="31" spans="1:18" x14ac:dyDescent="0.25">
      <c r="A31" s="33">
        <v>29</v>
      </c>
      <c r="B31" s="162"/>
      <c r="C31" s="162"/>
      <c r="D31" s="162"/>
      <c r="E31" s="162"/>
      <c r="F31" s="162"/>
      <c r="G31" s="162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82"/>
    </row>
    <row r="32" spans="1:18" x14ac:dyDescent="0.25">
      <c r="A32" s="33">
        <v>30</v>
      </c>
      <c r="B32" s="162"/>
      <c r="C32" s="162"/>
      <c r="D32" s="162"/>
      <c r="E32" s="162"/>
      <c r="F32" s="162"/>
      <c r="G32" s="162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82"/>
    </row>
    <row r="33" spans="1:18" x14ac:dyDescent="0.25">
      <c r="A33" s="33">
        <v>31</v>
      </c>
      <c r="B33" s="162"/>
      <c r="C33" s="162"/>
      <c r="D33" s="162"/>
      <c r="E33" s="162"/>
      <c r="F33" s="162"/>
      <c r="G33" s="162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82"/>
    </row>
    <row r="34" spans="1:18" x14ac:dyDescent="0.25">
      <c r="A34" s="33">
        <v>32</v>
      </c>
      <c r="B34" s="162"/>
      <c r="C34" s="162"/>
      <c r="D34" s="162"/>
      <c r="E34" s="162"/>
      <c r="F34" s="162"/>
      <c r="G34" s="162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82"/>
    </row>
    <row r="35" spans="1:18" x14ac:dyDescent="0.25">
      <c r="A35" s="33">
        <v>33</v>
      </c>
      <c r="B35" s="162"/>
      <c r="C35" s="162"/>
      <c r="D35" s="162"/>
      <c r="E35" s="162"/>
      <c r="F35" s="162"/>
      <c r="G35" s="162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82"/>
    </row>
    <row r="36" spans="1:18" x14ac:dyDescent="0.25">
      <c r="A36" s="33">
        <v>34</v>
      </c>
      <c r="B36" s="162"/>
      <c r="C36" s="162"/>
      <c r="D36" s="162"/>
      <c r="E36" s="162"/>
      <c r="F36" s="162"/>
      <c r="G36" s="162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82"/>
    </row>
    <row r="37" spans="1:18" x14ac:dyDescent="0.25">
      <c r="A37" s="33">
        <v>35</v>
      </c>
      <c r="B37" s="162"/>
      <c r="C37" s="162"/>
      <c r="D37" s="162"/>
      <c r="E37" s="162"/>
      <c r="F37" s="162"/>
      <c r="G37" s="162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82"/>
    </row>
    <row r="38" spans="1:18" x14ac:dyDescent="0.25">
      <c r="A38" s="33">
        <v>36</v>
      </c>
      <c r="B38" s="162"/>
      <c r="C38" s="162"/>
      <c r="D38" s="162"/>
      <c r="E38" s="162"/>
      <c r="F38" s="162"/>
      <c r="G38" s="162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82"/>
    </row>
    <row r="39" spans="1:18" x14ac:dyDescent="0.25">
      <c r="A39" s="33">
        <v>37</v>
      </c>
      <c r="B39" s="162"/>
      <c r="C39" s="162"/>
      <c r="D39" s="162"/>
      <c r="E39" s="162"/>
      <c r="F39" s="162"/>
      <c r="G39" s="162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82"/>
    </row>
    <row r="40" spans="1:18" x14ac:dyDescent="0.25">
      <c r="A40" s="33">
        <v>38</v>
      </c>
      <c r="B40" s="162"/>
      <c r="C40" s="162"/>
      <c r="D40" s="162"/>
      <c r="E40" s="162"/>
      <c r="F40" s="162"/>
      <c r="G40" s="162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82"/>
    </row>
    <row r="41" spans="1:18" x14ac:dyDescent="0.25">
      <c r="A41" s="33">
        <v>39</v>
      </c>
      <c r="B41" s="162"/>
      <c r="C41" s="162"/>
      <c r="D41" s="162"/>
      <c r="E41" s="162"/>
      <c r="F41" s="162"/>
      <c r="G41" s="162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82"/>
    </row>
    <row r="42" spans="1:18" ht="15.75" thickBot="1" x14ac:dyDescent="0.3">
      <c r="A42" s="33">
        <v>40</v>
      </c>
      <c r="B42" s="162"/>
      <c r="C42" s="162"/>
      <c r="D42" s="162"/>
      <c r="E42" s="162"/>
      <c r="F42" s="162"/>
      <c r="G42" s="162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83"/>
    </row>
    <row r="43" spans="1:18" ht="15.75" thickTop="1" x14ac:dyDescent="0.25">
      <c r="A43" s="34" t="s">
        <v>13</v>
      </c>
      <c r="B43" s="166" t="e">
        <f>AVERAGE(B3:B42)</f>
        <v>#DIV/0!</v>
      </c>
      <c r="C43" s="166" t="e">
        <f t="shared" ref="C43:Q43" si="0">AVERAGE(C3:C42)</f>
        <v>#DIV/0!</v>
      </c>
      <c r="D43" s="166" t="e">
        <f t="shared" si="0"/>
        <v>#DIV/0!</v>
      </c>
      <c r="E43" s="166" t="e">
        <f t="shared" si="0"/>
        <v>#DIV/0!</v>
      </c>
      <c r="F43" s="166" t="e">
        <f t="shared" si="0"/>
        <v>#DIV/0!</v>
      </c>
      <c r="G43" s="166" t="e">
        <f t="shared" si="0"/>
        <v>#DIV/0!</v>
      </c>
      <c r="H43" s="166" t="e">
        <f t="shared" si="0"/>
        <v>#DIV/0!</v>
      </c>
      <c r="I43" s="166" t="e">
        <f t="shared" si="0"/>
        <v>#DIV/0!</v>
      </c>
      <c r="J43" s="166" t="e">
        <f t="shared" si="0"/>
        <v>#DIV/0!</v>
      </c>
      <c r="K43" s="166" t="e">
        <f t="shared" si="0"/>
        <v>#DIV/0!</v>
      </c>
      <c r="L43" s="166" t="e">
        <f t="shared" si="0"/>
        <v>#DIV/0!</v>
      </c>
      <c r="M43" s="166" t="e">
        <f t="shared" si="0"/>
        <v>#DIV/0!</v>
      </c>
      <c r="N43" s="166" t="e">
        <f t="shared" si="0"/>
        <v>#DIV/0!</v>
      </c>
      <c r="O43" s="166" t="e">
        <f t="shared" si="0"/>
        <v>#DIV/0!</v>
      </c>
      <c r="P43" s="166" t="e">
        <f t="shared" si="0"/>
        <v>#DIV/0!</v>
      </c>
      <c r="Q43" s="166" t="e">
        <f t="shared" si="0"/>
        <v>#DIV/0!</v>
      </c>
      <c r="R43" s="35"/>
    </row>
    <row r="44" spans="1:18" x14ac:dyDescent="0.25">
      <c r="A44" s="36" t="s">
        <v>174</v>
      </c>
      <c r="B44" s="167" t="e">
        <f>AVERAGEIF(B43:Q43, "&lt;&gt;#DIV/0!")</f>
        <v>#DIV/0!</v>
      </c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31"/>
    </row>
    <row r="45" spans="1:18" x14ac:dyDescent="0.25">
      <c r="A45" s="36" t="s">
        <v>175</v>
      </c>
      <c r="B45" s="32">
        <f>COUNTIF(B3:B42, "&lt;&gt;")</f>
        <v>0</v>
      </c>
      <c r="C45" s="32">
        <f t="shared" ref="C45:Q45" si="1">COUNTIF(C3:C42, "&lt;&gt;")</f>
        <v>0</v>
      </c>
      <c r="D45" s="32">
        <f t="shared" si="1"/>
        <v>0</v>
      </c>
      <c r="E45" s="32">
        <f t="shared" si="1"/>
        <v>0</v>
      </c>
      <c r="F45" s="32">
        <f t="shared" si="1"/>
        <v>0</v>
      </c>
      <c r="G45" s="32">
        <f t="shared" si="1"/>
        <v>0</v>
      </c>
      <c r="H45" s="32">
        <f t="shared" si="1"/>
        <v>0</v>
      </c>
      <c r="I45" s="32">
        <f t="shared" si="1"/>
        <v>0</v>
      </c>
      <c r="J45" s="32">
        <f t="shared" si="1"/>
        <v>0</v>
      </c>
      <c r="K45" s="32">
        <f t="shared" si="1"/>
        <v>0</v>
      </c>
      <c r="L45" s="32">
        <f t="shared" si="1"/>
        <v>0</v>
      </c>
      <c r="M45" s="32">
        <f t="shared" si="1"/>
        <v>0</v>
      </c>
      <c r="N45" s="32">
        <f t="shared" si="1"/>
        <v>0</v>
      </c>
      <c r="O45" s="32">
        <f t="shared" si="1"/>
        <v>0</v>
      </c>
      <c r="P45" s="32">
        <f t="shared" si="1"/>
        <v>0</v>
      </c>
      <c r="Q45" s="32">
        <f t="shared" si="1"/>
        <v>0</v>
      </c>
      <c r="R45" s="31"/>
    </row>
    <row r="47" spans="1:18" x14ac:dyDescent="0.25">
      <c r="B47" s="91" t="s">
        <v>176</v>
      </c>
      <c r="C47" s="19" t="s">
        <v>177</v>
      </c>
      <c r="D47" s="19" t="s">
        <v>178</v>
      </c>
      <c r="E47" s="19" t="s">
        <v>179</v>
      </c>
      <c r="F47" s="19" t="s">
        <v>180</v>
      </c>
      <c r="G47" s="19" t="s">
        <v>181</v>
      </c>
      <c r="H47" s="20" t="s">
        <v>182</v>
      </c>
      <c r="I47" s="20" t="s">
        <v>60</v>
      </c>
      <c r="J47" s="148"/>
      <c r="K47" s="148"/>
      <c r="L47" s="148"/>
      <c r="M47" s="148"/>
      <c r="N47" s="148"/>
      <c r="O47" s="148"/>
      <c r="P47" s="148"/>
    </row>
    <row r="48" spans="1:18" x14ac:dyDescent="0.25">
      <c r="A48" s="101" t="s">
        <v>183</v>
      </c>
      <c r="B48" s="13">
        <f>COUNTIF($B$2, "A") + COUNTIF($G$2, "A") + COUNTIF($I$2:$J$2, "A")</f>
        <v>0</v>
      </c>
      <c r="C48" s="13">
        <f>COUNTIF($B$2, "Q") + COUNTIF($G$2, "Q") + COUNTIF($I$2:$J$2, "Q")</f>
        <v>0</v>
      </c>
      <c r="D48" s="13">
        <f>COUNTIF($B$2, "M") + COUNTIF($G$2, "M") + COUNTIF($I$2:$J$2, "M")</f>
        <v>0</v>
      </c>
      <c r="E48" s="13">
        <f>COUNTIF($B$2, "F") + COUNTIF($G$2, "F") + COUNTIF($I$2:$J$2, "F")</f>
        <v>0</v>
      </c>
      <c r="F48" s="13">
        <f>COUNTIF($B$2, "P") + COUNTIF($G$2, "P") + COUNTIF($I$2:$J$2, "P")</f>
        <v>0</v>
      </c>
      <c r="G48" s="13">
        <f>COUNTIF($B$2, "L") + COUNTIF($G$2, "L") + COUNTIF($I$2:$J$2, "L")</f>
        <v>0</v>
      </c>
      <c r="H48" s="13">
        <f>COUNTIF($B$2, "OT") + COUNTIF($G$2, "OT") + COUNTIF($I$2:$J$2, "OT")</f>
        <v>0</v>
      </c>
      <c r="I48" s="9">
        <f>SUM(B48:H48)</f>
        <v>0</v>
      </c>
      <c r="J48" s="25"/>
      <c r="K48" s="25"/>
      <c r="L48" s="25"/>
      <c r="M48" s="25"/>
      <c r="N48" s="25"/>
      <c r="O48" s="25"/>
      <c r="P48" s="25"/>
    </row>
    <row r="49" spans="1:19" x14ac:dyDescent="0.25">
      <c r="A49" s="102" t="s">
        <v>184</v>
      </c>
      <c r="B49" s="13">
        <f>COUNTIF($C$2:$D$2, "A") + COUNTIF($H$2, "A") + COUNTIF($K$2, "A") + COUNTIF($M$2,"A")</f>
        <v>0</v>
      </c>
      <c r="C49" s="13">
        <f>COUNTIF($C$2:$D$2, "Q") + COUNTIF($H$2, "Q") + COUNTIF($K$2, "Q") + COUNTIF($M$2,"Q")</f>
        <v>0</v>
      </c>
      <c r="D49" s="13">
        <f>COUNTIF($C$2:$D$2, "M") + COUNTIF($H$2, "M") + COUNTIF($K$2, "M") + COUNTIF($M$2,"M")</f>
        <v>0</v>
      </c>
      <c r="E49" s="13">
        <f>COUNTIF($C$2:$D$2, "F") + COUNTIF($H$2, "F") + COUNTIF($K$2, "F") + COUNTIF($M$2,"F")</f>
        <v>0</v>
      </c>
      <c r="F49" s="13">
        <f>COUNTIF($C$2:$D$2, "P") + COUNTIF($H$2, "P") + COUNTIF($K$2, "P") + COUNTIF($M$2,"P")</f>
        <v>0</v>
      </c>
      <c r="G49" s="13">
        <f>COUNTIF($C$2:$D$2, "L") + COUNTIF($H$2, "L") + COUNTIF($K$2, "L") + COUNTIF($M$2,"L")</f>
        <v>0</v>
      </c>
      <c r="H49" s="13">
        <f>COUNTIF($C$2:$D$2, "OT") + COUNTIF($H$2, "OT") + COUNTIF($K$2, "OT") + COUNTIF($M$2,"OT")</f>
        <v>0</v>
      </c>
      <c r="I49" s="9">
        <f>SUM(B49:H49)</f>
        <v>0</v>
      </c>
      <c r="J49" s="25"/>
      <c r="K49" s="25"/>
      <c r="L49" s="25"/>
      <c r="M49" s="25"/>
      <c r="N49" s="25"/>
      <c r="O49" s="25"/>
      <c r="P49" s="25"/>
    </row>
    <row r="50" spans="1:19" x14ac:dyDescent="0.25">
      <c r="A50" s="103" t="s">
        <v>185</v>
      </c>
      <c r="B50" s="13">
        <f>COUNTIF($E$2:$F$2, "A") + COUNTIF($L$2, "A") + COUNTIF($N$2:$Q$2, "A")</f>
        <v>0</v>
      </c>
      <c r="C50" s="13">
        <f>COUNTIF($E$2:$F$2, "Q") + COUNTIF($L$2, "Q") + COUNTIF($N$2:$Q$2, "Q")</f>
        <v>0</v>
      </c>
      <c r="D50" s="13">
        <f>COUNTIF($E$2:$F$2, "M") + COUNTIF($L$2, "M") + COUNTIF($N$2:$Q$2, "M")</f>
        <v>0</v>
      </c>
      <c r="E50" s="13">
        <f>COUNTIF($E$2:$F$2, "F") + COUNTIF($L$2, "F") + COUNTIF($N$2:$Q$2, "F")</f>
        <v>0</v>
      </c>
      <c r="F50" s="13">
        <f>COUNTIF($E$2:$F$2, "P") + COUNTIF($L$2, "P") + COUNTIF($N$2:$Q$2, "P")</f>
        <v>0</v>
      </c>
      <c r="G50" s="13">
        <f>COUNTIF($E$2:$F$2, "L") + COUNTIF($L$2, "L") + COUNTIF($N$2:$Q$2, "L")</f>
        <v>0</v>
      </c>
      <c r="H50" s="13">
        <f>COUNTIF($E$2:$F$2, "OT") + COUNTIF($L$2, "OT") + COUNTIF($N$2:$Q$2, "OT")</f>
        <v>0</v>
      </c>
      <c r="I50" s="9">
        <f>SUM(B50:H50)</f>
        <v>0</v>
      </c>
      <c r="J50" s="25"/>
      <c r="K50" s="25"/>
      <c r="L50" s="25"/>
      <c r="M50" s="25"/>
      <c r="N50" s="25"/>
      <c r="O50" s="25"/>
      <c r="P50" s="25"/>
    </row>
    <row r="51" spans="1:19" x14ac:dyDescent="0.25">
      <c r="A51" s="19" t="s">
        <v>60</v>
      </c>
      <c r="B51" s="9">
        <f>SUM(B48:B50)</f>
        <v>0</v>
      </c>
      <c r="C51" s="9">
        <f t="shared" ref="C51:G51" si="2">SUM(C48:C50)</f>
        <v>0</v>
      </c>
      <c r="D51" s="9">
        <f t="shared" si="2"/>
        <v>0</v>
      </c>
      <c r="E51" s="9">
        <f t="shared" si="2"/>
        <v>0</v>
      </c>
      <c r="F51" s="9">
        <f t="shared" si="2"/>
        <v>0</v>
      </c>
      <c r="G51" s="9">
        <f t="shared" si="2"/>
        <v>0</v>
      </c>
      <c r="H51" s="9">
        <f>SUM(H48:H50)</f>
        <v>0</v>
      </c>
      <c r="I51" s="9">
        <f>SUM(B51:H51)</f>
        <v>0</v>
      </c>
      <c r="J51" s="25"/>
      <c r="K51" s="25"/>
      <c r="L51" s="25"/>
      <c r="M51" s="25"/>
      <c r="N51" s="25"/>
      <c r="O51" s="25"/>
      <c r="P51" s="25"/>
    </row>
    <row r="52" spans="1:19" x14ac:dyDescent="0.25">
      <c r="A52" s="86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ht="18.75" thickBot="1" x14ac:dyDescent="0.3">
      <c r="A53" s="24" t="s">
        <v>186</v>
      </c>
    </row>
    <row r="54" spans="1:19" ht="16.5" thickBot="1" x14ac:dyDescent="0.3">
      <c r="A54" s="111" t="s">
        <v>25</v>
      </c>
      <c r="B54" s="150" t="s">
        <v>48</v>
      </c>
      <c r="C54" s="151" t="s">
        <v>54</v>
      </c>
      <c r="D54" s="151" t="s">
        <v>55</v>
      </c>
      <c r="E54" s="152" t="s">
        <v>63</v>
      </c>
      <c r="F54" s="152" t="s">
        <v>57</v>
      </c>
      <c r="G54" s="149" t="s">
        <v>46</v>
      </c>
      <c r="H54" s="151" t="s">
        <v>50</v>
      </c>
      <c r="I54" s="150" t="s">
        <v>42</v>
      </c>
      <c r="J54" s="150" t="s">
        <v>44</v>
      </c>
      <c r="K54" s="151" t="s">
        <v>52</v>
      </c>
      <c r="L54" s="152" t="s">
        <v>193</v>
      </c>
      <c r="M54" s="151" t="s">
        <v>56</v>
      </c>
      <c r="N54" s="152" t="s">
        <v>65</v>
      </c>
      <c r="O54" s="152" t="s">
        <v>67</v>
      </c>
      <c r="P54" s="152" t="s">
        <v>69</v>
      </c>
      <c r="Q54" s="152" t="s">
        <v>71</v>
      </c>
      <c r="R54" s="40" t="s">
        <v>13</v>
      </c>
    </row>
    <row r="55" spans="1:19" ht="16.5" thickBot="1" x14ac:dyDescent="0.3">
      <c r="A55" s="112" t="s">
        <v>27</v>
      </c>
      <c r="B55" s="117" t="e">
        <f>(COUNTIF(B3:B42, "&lt;=59%"))/B45</f>
        <v>#DIV/0!</v>
      </c>
      <c r="C55" s="117" t="e">
        <f t="shared" ref="C55:Q55" si="3">(COUNTIF(C3:C42, "&lt;=59%"))/C45</f>
        <v>#DIV/0!</v>
      </c>
      <c r="D55" s="117" t="e">
        <f t="shared" si="3"/>
        <v>#DIV/0!</v>
      </c>
      <c r="E55" s="117" t="e">
        <f t="shared" si="3"/>
        <v>#DIV/0!</v>
      </c>
      <c r="F55" s="117" t="e">
        <f t="shared" si="3"/>
        <v>#DIV/0!</v>
      </c>
      <c r="G55" s="117" t="e">
        <f t="shared" si="3"/>
        <v>#DIV/0!</v>
      </c>
      <c r="H55" s="117" t="e">
        <f t="shared" si="3"/>
        <v>#DIV/0!</v>
      </c>
      <c r="I55" s="117" t="e">
        <f t="shared" si="3"/>
        <v>#DIV/0!</v>
      </c>
      <c r="J55" s="117" t="e">
        <f t="shared" si="3"/>
        <v>#DIV/0!</v>
      </c>
      <c r="K55" s="117" t="e">
        <f t="shared" si="3"/>
        <v>#DIV/0!</v>
      </c>
      <c r="L55" s="117" t="e">
        <f t="shared" si="3"/>
        <v>#DIV/0!</v>
      </c>
      <c r="M55" s="117" t="e">
        <f t="shared" si="3"/>
        <v>#DIV/0!</v>
      </c>
      <c r="N55" s="117" t="e">
        <f t="shared" si="3"/>
        <v>#DIV/0!</v>
      </c>
      <c r="O55" s="117" t="e">
        <f t="shared" si="3"/>
        <v>#DIV/0!</v>
      </c>
      <c r="P55" s="117" t="e">
        <f t="shared" si="3"/>
        <v>#DIV/0!</v>
      </c>
      <c r="Q55" s="117" t="e">
        <f t="shared" si="3"/>
        <v>#DIV/0!</v>
      </c>
      <c r="R55" s="41" t="e">
        <f>AVERAGEIF(B55:Q55, "&lt;&gt;#DIV/0!")</f>
        <v>#DIV/0!</v>
      </c>
    </row>
    <row r="56" spans="1:19" ht="16.5" thickBot="1" x14ac:dyDescent="0.3">
      <c r="A56" s="113" t="s">
        <v>29</v>
      </c>
      <c r="B56" s="120" t="e">
        <f>(COUNTIFS(B3:B42, "&gt;= 60%", B3:B42, "&lt;=69%" ))/B45</f>
        <v>#DIV/0!</v>
      </c>
      <c r="C56" s="120" t="e">
        <f t="shared" ref="C56:Q56" si="4">(COUNTIFS(C3:C42, "&gt;= 60%", C3:C42, "&lt;=69%" ))/C45</f>
        <v>#DIV/0!</v>
      </c>
      <c r="D56" s="120" t="e">
        <f t="shared" si="4"/>
        <v>#DIV/0!</v>
      </c>
      <c r="E56" s="120" t="e">
        <f t="shared" si="4"/>
        <v>#DIV/0!</v>
      </c>
      <c r="F56" s="120" t="e">
        <f t="shared" si="4"/>
        <v>#DIV/0!</v>
      </c>
      <c r="G56" s="120" t="e">
        <f t="shared" si="4"/>
        <v>#DIV/0!</v>
      </c>
      <c r="H56" s="120" t="e">
        <f t="shared" si="4"/>
        <v>#DIV/0!</v>
      </c>
      <c r="I56" s="120" t="e">
        <f t="shared" si="4"/>
        <v>#DIV/0!</v>
      </c>
      <c r="J56" s="120" t="e">
        <f t="shared" si="4"/>
        <v>#DIV/0!</v>
      </c>
      <c r="K56" s="120" t="e">
        <f t="shared" si="4"/>
        <v>#DIV/0!</v>
      </c>
      <c r="L56" s="120" t="e">
        <f t="shared" si="4"/>
        <v>#DIV/0!</v>
      </c>
      <c r="M56" s="120" t="e">
        <f t="shared" si="4"/>
        <v>#DIV/0!</v>
      </c>
      <c r="N56" s="120" t="e">
        <f t="shared" si="4"/>
        <v>#DIV/0!</v>
      </c>
      <c r="O56" s="120" t="e">
        <f t="shared" si="4"/>
        <v>#DIV/0!</v>
      </c>
      <c r="P56" s="120" t="e">
        <f t="shared" si="4"/>
        <v>#DIV/0!</v>
      </c>
      <c r="Q56" s="120" t="e">
        <f t="shared" si="4"/>
        <v>#DIV/0!</v>
      </c>
      <c r="R56" s="41" t="e">
        <f>AVERAGEIF(B56:Q56, "&lt;&gt;#DIV/0!")</f>
        <v>#DIV/0!</v>
      </c>
    </row>
    <row r="57" spans="1:19" ht="16.5" thickBot="1" x14ac:dyDescent="0.3">
      <c r="A57" s="114" t="s">
        <v>31</v>
      </c>
      <c r="B57" s="120" t="e">
        <f>(COUNTIFS(B3:B42, "&gt;= 70%", B3:B42, "&lt;=79%" ))/B45</f>
        <v>#DIV/0!</v>
      </c>
      <c r="C57" s="120" t="e">
        <f t="shared" ref="C57:Q57" si="5">(COUNTIFS(C3:C42, "&gt;= 70%", C3:C42, "&lt;=79%" ))/C45</f>
        <v>#DIV/0!</v>
      </c>
      <c r="D57" s="120" t="e">
        <f t="shared" si="5"/>
        <v>#DIV/0!</v>
      </c>
      <c r="E57" s="120" t="e">
        <f t="shared" si="5"/>
        <v>#DIV/0!</v>
      </c>
      <c r="F57" s="120" t="e">
        <f t="shared" si="5"/>
        <v>#DIV/0!</v>
      </c>
      <c r="G57" s="120" t="e">
        <f t="shared" si="5"/>
        <v>#DIV/0!</v>
      </c>
      <c r="H57" s="120" t="e">
        <f t="shared" si="5"/>
        <v>#DIV/0!</v>
      </c>
      <c r="I57" s="120" t="e">
        <f t="shared" si="5"/>
        <v>#DIV/0!</v>
      </c>
      <c r="J57" s="120" t="e">
        <f t="shared" si="5"/>
        <v>#DIV/0!</v>
      </c>
      <c r="K57" s="120" t="e">
        <f t="shared" si="5"/>
        <v>#DIV/0!</v>
      </c>
      <c r="L57" s="120" t="e">
        <f t="shared" si="5"/>
        <v>#DIV/0!</v>
      </c>
      <c r="M57" s="120" t="e">
        <f t="shared" si="5"/>
        <v>#DIV/0!</v>
      </c>
      <c r="N57" s="120" t="e">
        <f t="shared" si="5"/>
        <v>#DIV/0!</v>
      </c>
      <c r="O57" s="120" t="e">
        <f t="shared" si="5"/>
        <v>#DIV/0!</v>
      </c>
      <c r="P57" s="120" t="e">
        <f t="shared" si="5"/>
        <v>#DIV/0!</v>
      </c>
      <c r="Q57" s="120" t="e">
        <f t="shared" si="5"/>
        <v>#DIV/0!</v>
      </c>
      <c r="R57" s="41" t="e">
        <f>AVERAGEIF(B57:Q57, "&lt;&gt;#DIV/0!")</f>
        <v>#DIV/0!</v>
      </c>
    </row>
    <row r="58" spans="1:19" ht="16.5" thickBot="1" x14ac:dyDescent="0.3">
      <c r="A58" s="115" t="s">
        <v>33</v>
      </c>
      <c r="B58" s="120" t="e">
        <f>(COUNTIF(B3:B42,"&gt;= 80%")/B45)</f>
        <v>#DIV/0!</v>
      </c>
      <c r="C58" s="120" t="e">
        <f t="shared" ref="C58:Q58" si="6">(COUNTIF(C3:C42,"&gt;= 80%")/C45)</f>
        <v>#DIV/0!</v>
      </c>
      <c r="D58" s="120" t="e">
        <f t="shared" si="6"/>
        <v>#DIV/0!</v>
      </c>
      <c r="E58" s="120" t="e">
        <f t="shared" si="6"/>
        <v>#DIV/0!</v>
      </c>
      <c r="F58" s="120" t="e">
        <f t="shared" si="6"/>
        <v>#DIV/0!</v>
      </c>
      <c r="G58" s="120" t="e">
        <f t="shared" si="6"/>
        <v>#DIV/0!</v>
      </c>
      <c r="H58" s="120" t="e">
        <f t="shared" si="6"/>
        <v>#DIV/0!</v>
      </c>
      <c r="I58" s="120" t="e">
        <f t="shared" si="6"/>
        <v>#DIV/0!</v>
      </c>
      <c r="J58" s="120" t="e">
        <f t="shared" si="6"/>
        <v>#DIV/0!</v>
      </c>
      <c r="K58" s="120" t="e">
        <f t="shared" si="6"/>
        <v>#DIV/0!</v>
      </c>
      <c r="L58" s="120" t="e">
        <f t="shared" si="6"/>
        <v>#DIV/0!</v>
      </c>
      <c r="M58" s="120" t="e">
        <f t="shared" si="6"/>
        <v>#DIV/0!</v>
      </c>
      <c r="N58" s="120" t="e">
        <f t="shared" si="6"/>
        <v>#DIV/0!</v>
      </c>
      <c r="O58" s="120" t="e">
        <f t="shared" si="6"/>
        <v>#DIV/0!</v>
      </c>
      <c r="P58" s="120" t="e">
        <f t="shared" si="6"/>
        <v>#DIV/0!</v>
      </c>
      <c r="Q58" s="120" t="e">
        <f t="shared" si="6"/>
        <v>#DIV/0!</v>
      </c>
      <c r="R58" s="41" t="e">
        <f>AVERAGEIF(B58:Q58, "&lt;&gt;#DIV/0!")</f>
        <v>#DIV/0!</v>
      </c>
    </row>
    <row r="59" spans="1:19" ht="16.5" thickTop="1" thickBot="1" x14ac:dyDescent="0.3">
      <c r="A59" s="116"/>
      <c r="B59" s="89">
        <f>SUMIF(B55:B58, "&lt;&gt;#DIV/0!")</f>
        <v>0</v>
      </c>
      <c r="C59" s="39">
        <f t="shared" ref="C59:G59" si="7">SUMIF(C55:C58, "&lt;&gt;#DIV/0!")</f>
        <v>0</v>
      </c>
      <c r="D59" s="39">
        <f t="shared" si="7"/>
        <v>0</v>
      </c>
      <c r="E59" s="39">
        <f t="shared" si="7"/>
        <v>0</v>
      </c>
      <c r="F59" s="39">
        <f t="shared" si="7"/>
        <v>0</v>
      </c>
      <c r="G59" s="39">
        <f t="shared" si="7"/>
        <v>0</v>
      </c>
      <c r="H59" s="39">
        <f t="shared" ref="H59:R59" si="8">SUMIF(H55:H58, "&lt;&gt;#DIV/0!")</f>
        <v>0</v>
      </c>
      <c r="I59" s="39">
        <f t="shared" si="8"/>
        <v>0</v>
      </c>
      <c r="J59" s="39">
        <f t="shared" si="8"/>
        <v>0</v>
      </c>
      <c r="K59" s="39">
        <f t="shared" si="8"/>
        <v>0</v>
      </c>
      <c r="L59" s="39">
        <f t="shared" si="8"/>
        <v>0</v>
      </c>
      <c r="M59" s="39">
        <f t="shared" si="8"/>
        <v>0</v>
      </c>
      <c r="N59" s="39">
        <f t="shared" si="8"/>
        <v>0</v>
      </c>
      <c r="O59" s="39">
        <f t="shared" si="8"/>
        <v>0</v>
      </c>
      <c r="P59" s="39">
        <f t="shared" si="8"/>
        <v>0</v>
      </c>
      <c r="Q59" s="39">
        <f t="shared" si="8"/>
        <v>0</v>
      </c>
      <c r="R59" s="39">
        <f t="shared" si="8"/>
        <v>0</v>
      </c>
    </row>
    <row r="60" spans="1:19" ht="15.75" thickBot="1" x14ac:dyDescent="0.3"/>
    <row r="61" spans="1:19" ht="15.75" thickBot="1" x14ac:dyDescent="0.3">
      <c r="A61" s="25"/>
      <c r="B61" s="42" t="s">
        <v>187</v>
      </c>
      <c r="C61" s="42" t="s">
        <v>188</v>
      </c>
    </row>
    <row r="62" spans="1:19" ht="16.5" thickBot="1" x14ac:dyDescent="0.3">
      <c r="A62" s="38" t="s">
        <v>33</v>
      </c>
      <c r="B62" s="44" t="s">
        <v>189</v>
      </c>
      <c r="C62" s="43">
        <v>100</v>
      </c>
    </row>
    <row r="63" spans="1:19" ht="16.5" thickBot="1" x14ac:dyDescent="0.3">
      <c r="A63" s="38" t="s">
        <v>31</v>
      </c>
      <c r="B63" s="44" t="s">
        <v>190</v>
      </c>
      <c r="C63" s="43">
        <v>79</v>
      </c>
    </row>
    <row r="64" spans="1:19" ht="16.5" thickBot="1" x14ac:dyDescent="0.3">
      <c r="A64" s="38" t="s">
        <v>29</v>
      </c>
      <c r="B64" s="44" t="s">
        <v>191</v>
      </c>
      <c r="C64" s="43">
        <v>69</v>
      </c>
    </row>
    <row r="65" spans="1:3" ht="16.5" thickBot="1" x14ac:dyDescent="0.3">
      <c r="A65" s="38" t="s">
        <v>27</v>
      </c>
      <c r="B65" s="44" t="s">
        <v>192</v>
      </c>
      <c r="C65" s="43">
        <v>59</v>
      </c>
    </row>
  </sheetData>
  <mergeCells count="1">
    <mergeCell ref="R3:R42"/>
  </mergeCells>
  <phoneticPr fontId="11" type="noConversion"/>
  <conditionalFormatting sqref="B3:Q23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1" priority="366" operator="greaterThanOrEqual">
      <formula>80</formula>
    </cfRule>
    <cfRule type="containsBlanks" dxfId="190" priority="367" stopIfTrue="1">
      <formula>LEN(TRIM(B3))=0</formula>
    </cfRule>
    <cfRule type="cellIs" dxfId="189" priority="368" operator="greaterThanOrEqual">
      <formula>80</formula>
    </cfRule>
    <cfRule type="cellIs" dxfId="188" priority="369" operator="between">
      <formula>70</formula>
      <formula>79</formula>
    </cfRule>
    <cfRule type="cellIs" dxfId="187" priority="370" operator="between">
      <formula>60</formula>
      <formula>69</formula>
    </cfRule>
    <cfRule type="cellIs" dxfId="186" priority="371" operator="between">
      <formula>0</formula>
      <formula>59</formula>
    </cfRule>
  </conditionalFormatting>
  <conditionalFormatting sqref="B24:Q24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5" priority="373" operator="greaterThanOrEqual">
      <formula>80</formula>
    </cfRule>
    <cfRule type="containsBlanks" dxfId="184" priority="374" stopIfTrue="1">
      <formula>LEN(TRIM(B24))=0</formula>
    </cfRule>
    <cfRule type="cellIs" dxfId="183" priority="375" operator="greaterThanOrEqual">
      <formula>80</formula>
    </cfRule>
    <cfRule type="cellIs" dxfId="182" priority="376" operator="between">
      <formula>70</formula>
      <formula>79</formula>
    </cfRule>
    <cfRule type="cellIs" dxfId="181" priority="377" operator="between">
      <formula>60</formula>
      <formula>69</formula>
    </cfRule>
    <cfRule type="cellIs" dxfId="180" priority="378" operator="between">
      <formula>0</formula>
      <formula>59</formula>
    </cfRule>
  </conditionalFormatting>
  <conditionalFormatting sqref="B25:Q25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9" priority="380" operator="greaterThanOrEqual">
      <formula>80</formula>
    </cfRule>
    <cfRule type="containsBlanks" dxfId="178" priority="381" stopIfTrue="1">
      <formula>LEN(TRIM(B25))=0</formula>
    </cfRule>
    <cfRule type="cellIs" dxfId="177" priority="382" operator="greaterThanOrEqual">
      <formula>80</formula>
    </cfRule>
    <cfRule type="cellIs" dxfId="176" priority="383" operator="between">
      <formula>70</formula>
      <formula>79</formula>
    </cfRule>
    <cfRule type="cellIs" dxfId="175" priority="384" operator="between">
      <formula>60</formula>
      <formula>69</formula>
    </cfRule>
    <cfRule type="cellIs" dxfId="174" priority="385" operator="between">
      <formula>0</formula>
      <formula>59</formula>
    </cfRule>
  </conditionalFormatting>
  <conditionalFormatting sqref="B26:Q26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3" priority="387" operator="greaterThanOrEqual">
      <formula>80</formula>
    </cfRule>
    <cfRule type="containsBlanks" dxfId="172" priority="388" stopIfTrue="1">
      <formula>LEN(TRIM(B26))=0</formula>
    </cfRule>
    <cfRule type="cellIs" dxfId="171" priority="389" operator="greaterThanOrEqual">
      <formula>80</formula>
    </cfRule>
    <cfRule type="cellIs" dxfId="170" priority="390" operator="between">
      <formula>70</formula>
      <formula>79</formula>
    </cfRule>
    <cfRule type="cellIs" dxfId="169" priority="391" operator="between">
      <formula>60</formula>
      <formula>69</formula>
    </cfRule>
    <cfRule type="cellIs" dxfId="168" priority="392" operator="between">
      <formula>0</formula>
      <formula>59</formula>
    </cfRule>
  </conditionalFormatting>
  <conditionalFormatting sqref="B27:Q27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7" priority="394" operator="greaterThanOrEqual">
      <formula>80</formula>
    </cfRule>
    <cfRule type="containsBlanks" dxfId="166" priority="395" stopIfTrue="1">
      <formula>LEN(TRIM(B27))=0</formula>
    </cfRule>
    <cfRule type="cellIs" dxfId="165" priority="396" operator="greaterThanOrEqual">
      <formula>80</formula>
    </cfRule>
    <cfRule type="cellIs" dxfId="164" priority="397" operator="between">
      <formula>70</formula>
      <formula>79</formula>
    </cfRule>
    <cfRule type="cellIs" dxfId="163" priority="398" operator="between">
      <formula>60</formula>
      <formula>69</formula>
    </cfRule>
    <cfRule type="cellIs" dxfId="162" priority="399" operator="between">
      <formula>0</formula>
      <formula>59</formula>
    </cfRule>
  </conditionalFormatting>
  <conditionalFormatting sqref="B28:Q28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1" priority="401" operator="greaterThanOrEqual">
      <formula>80</formula>
    </cfRule>
    <cfRule type="containsBlanks" dxfId="160" priority="402" stopIfTrue="1">
      <formula>LEN(TRIM(B28))=0</formula>
    </cfRule>
    <cfRule type="cellIs" dxfId="159" priority="403" operator="greaterThanOrEqual">
      <formula>80</formula>
    </cfRule>
    <cfRule type="cellIs" dxfId="158" priority="404" operator="between">
      <formula>70</formula>
      <formula>79</formula>
    </cfRule>
    <cfRule type="cellIs" dxfId="157" priority="405" operator="between">
      <formula>60</formula>
      <formula>69</formula>
    </cfRule>
    <cfRule type="cellIs" dxfId="156" priority="406" operator="between">
      <formula>0</formula>
      <formula>59</formula>
    </cfRule>
  </conditionalFormatting>
  <conditionalFormatting sqref="B29:Q29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5" priority="408" operator="greaterThanOrEqual">
      <formula>80</formula>
    </cfRule>
    <cfRule type="containsBlanks" dxfId="154" priority="409" stopIfTrue="1">
      <formula>LEN(TRIM(B29))=0</formula>
    </cfRule>
    <cfRule type="cellIs" dxfId="153" priority="410" operator="greaterThanOrEqual">
      <formula>80</formula>
    </cfRule>
    <cfRule type="cellIs" dxfId="152" priority="411" operator="between">
      <formula>70</formula>
      <formula>79</formula>
    </cfRule>
    <cfRule type="cellIs" dxfId="151" priority="412" operator="between">
      <formula>60</formula>
      <formula>69</formula>
    </cfRule>
    <cfRule type="cellIs" dxfId="150" priority="413" operator="between">
      <formula>0</formula>
      <formula>59</formula>
    </cfRule>
  </conditionalFormatting>
  <conditionalFormatting sqref="B30:Q30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9" priority="415" operator="greaterThanOrEqual">
      <formula>80</formula>
    </cfRule>
    <cfRule type="containsBlanks" dxfId="148" priority="416" stopIfTrue="1">
      <formula>LEN(TRIM(B30))=0</formula>
    </cfRule>
    <cfRule type="cellIs" dxfId="147" priority="417" operator="greaterThanOrEqual">
      <formula>80</formula>
    </cfRule>
    <cfRule type="cellIs" dxfId="146" priority="418" operator="between">
      <formula>70</formula>
      <formula>79</formula>
    </cfRule>
    <cfRule type="cellIs" dxfId="145" priority="419" operator="between">
      <formula>60</formula>
      <formula>69</formula>
    </cfRule>
    <cfRule type="cellIs" dxfId="144" priority="420" operator="between">
      <formula>0</formula>
      <formula>59</formula>
    </cfRule>
  </conditionalFormatting>
  <conditionalFormatting sqref="B31:Q31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3" priority="422" operator="greaterThanOrEqual">
      <formula>80</formula>
    </cfRule>
    <cfRule type="containsBlanks" dxfId="142" priority="423" stopIfTrue="1">
      <formula>LEN(TRIM(B31))=0</formula>
    </cfRule>
    <cfRule type="cellIs" dxfId="141" priority="424" operator="greaterThanOrEqual">
      <formula>80</formula>
    </cfRule>
    <cfRule type="cellIs" dxfId="140" priority="425" operator="between">
      <formula>70</formula>
      <formula>79</formula>
    </cfRule>
    <cfRule type="cellIs" dxfId="139" priority="426" operator="between">
      <formula>60</formula>
      <formula>69</formula>
    </cfRule>
    <cfRule type="cellIs" dxfId="138" priority="427" operator="between">
      <formula>0</formula>
      <formula>59</formula>
    </cfRule>
  </conditionalFormatting>
  <conditionalFormatting sqref="B32:Q32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7" priority="429" operator="greaterThanOrEqual">
      <formula>80</formula>
    </cfRule>
    <cfRule type="containsBlanks" dxfId="136" priority="430" stopIfTrue="1">
      <formula>LEN(TRIM(B32))=0</formula>
    </cfRule>
    <cfRule type="cellIs" dxfId="135" priority="431" operator="greaterThanOrEqual">
      <formula>80</formula>
    </cfRule>
    <cfRule type="cellIs" dxfId="134" priority="432" operator="between">
      <formula>70</formula>
      <formula>79</formula>
    </cfRule>
    <cfRule type="cellIs" dxfId="133" priority="433" operator="between">
      <formula>60</formula>
      <formula>69</formula>
    </cfRule>
    <cfRule type="cellIs" dxfId="132" priority="434" operator="between">
      <formula>0</formula>
      <formula>59</formula>
    </cfRule>
  </conditionalFormatting>
  <conditionalFormatting sqref="B33:Q3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1" priority="436" operator="greaterThanOrEqual">
      <formula>80</formula>
    </cfRule>
    <cfRule type="containsBlanks" dxfId="130" priority="437" stopIfTrue="1">
      <formula>LEN(TRIM(B33))=0</formula>
    </cfRule>
    <cfRule type="cellIs" dxfId="129" priority="438" operator="greaterThanOrEqual">
      <formula>80</formula>
    </cfRule>
    <cfRule type="cellIs" dxfId="128" priority="439" operator="between">
      <formula>70</formula>
      <formula>79</formula>
    </cfRule>
    <cfRule type="cellIs" dxfId="127" priority="440" operator="between">
      <formula>60</formula>
      <formula>69</formula>
    </cfRule>
    <cfRule type="cellIs" dxfId="126" priority="441" operator="between">
      <formula>0</formula>
      <formula>59</formula>
    </cfRule>
  </conditionalFormatting>
  <conditionalFormatting sqref="B34:Q34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5" priority="443" operator="greaterThanOrEqual">
      <formula>80</formula>
    </cfRule>
    <cfRule type="containsBlanks" dxfId="124" priority="444" stopIfTrue="1">
      <formula>LEN(TRIM(B34))=0</formula>
    </cfRule>
    <cfRule type="cellIs" dxfId="123" priority="445" operator="greaterThanOrEqual">
      <formula>80</formula>
    </cfRule>
    <cfRule type="cellIs" dxfId="122" priority="446" operator="between">
      <formula>70</formula>
      <formula>79</formula>
    </cfRule>
    <cfRule type="cellIs" dxfId="121" priority="447" operator="between">
      <formula>60</formula>
      <formula>69</formula>
    </cfRule>
    <cfRule type="cellIs" dxfId="120" priority="448" operator="between">
      <formula>0</formula>
      <formula>59</formula>
    </cfRule>
  </conditionalFormatting>
  <conditionalFormatting sqref="B35:Q35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9" priority="450" operator="greaterThanOrEqual">
      <formula>80</formula>
    </cfRule>
    <cfRule type="containsBlanks" dxfId="118" priority="451" stopIfTrue="1">
      <formula>LEN(TRIM(B35))=0</formula>
    </cfRule>
    <cfRule type="cellIs" dxfId="117" priority="452" operator="greaterThanOrEqual">
      <formula>80</formula>
    </cfRule>
    <cfRule type="cellIs" dxfId="116" priority="453" operator="between">
      <formula>70</formula>
      <formula>79</formula>
    </cfRule>
    <cfRule type="cellIs" dxfId="115" priority="454" operator="between">
      <formula>60</formula>
      <formula>69</formula>
    </cfRule>
    <cfRule type="cellIs" dxfId="114" priority="455" operator="between">
      <formula>0</formula>
      <formula>59</formula>
    </cfRule>
  </conditionalFormatting>
  <conditionalFormatting sqref="B36:Q3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3" priority="457" operator="greaterThanOrEqual">
      <formula>80</formula>
    </cfRule>
    <cfRule type="containsBlanks" dxfId="112" priority="458" stopIfTrue="1">
      <formula>LEN(TRIM(B36))=0</formula>
    </cfRule>
    <cfRule type="cellIs" dxfId="111" priority="459" operator="greaterThanOrEqual">
      <formula>80</formula>
    </cfRule>
    <cfRule type="cellIs" dxfId="110" priority="460" operator="between">
      <formula>70</formula>
      <formula>79</formula>
    </cfRule>
    <cfRule type="cellIs" dxfId="109" priority="461" operator="between">
      <formula>60</formula>
      <formula>69</formula>
    </cfRule>
    <cfRule type="cellIs" dxfId="108" priority="462" operator="between">
      <formula>0</formula>
      <formula>59</formula>
    </cfRule>
  </conditionalFormatting>
  <conditionalFormatting sqref="B37:Q37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7" priority="464" operator="greaterThanOrEqual">
      <formula>80</formula>
    </cfRule>
    <cfRule type="containsBlanks" dxfId="106" priority="465" stopIfTrue="1">
      <formula>LEN(TRIM(B37))=0</formula>
    </cfRule>
    <cfRule type="cellIs" dxfId="105" priority="466" operator="greaterThanOrEqual">
      <formula>80</formula>
    </cfRule>
    <cfRule type="cellIs" dxfId="104" priority="467" operator="between">
      <formula>70</formula>
      <formula>79</formula>
    </cfRule>
    <cfRule type="cellIs" dxfId="103" priority="468" operator="between">
      <formula>60</formula>
      <formula>69</formula>
    </cfRule>
    <cfRule type="cellIs" dxfId="102" priority="469" operator="between">
      <formula>0</formula>
      <formula>59</formula>
    </cfRule>
  </conditionalFormatting>
  <conditionalFormatting sqref="B38:Q38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1" priority="471" operator="greaterThanOrEqual">
      <formula>80</formula>
    </cfRule>
    <cfRule type="containsBlanks" dxfId="100" priority="472" stopIfTrue="1">
      <formula>LEN(TRIM(B38))=0</formula>
    </cfRule>
    <cfRule type="cellIs" dxfId="99" priority="473" operator="greaterThanOrEqual">
      <formula>80</formula>
    </cfRule>
    <cfRule type="cellIs" dxfId="98" priority="474" operator="between">
      <formula>70</formula>
      <formula>79</formula>
    </cfRule>
    <cfRule type="cellIs" dxfId="97" priority="475" operator="between">
      <formula>60</formula>
      <formula>69</formula>
    </cfRule>
    <cfRule type="cellIs" dxfId="96" priority="476" operator="between">
      <formula>0</formula>
      <formula>59</formula>
    </cfRule>
  </conditionalFormatting>
  <conditionalFormatting sqref="B39:Q39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5" priority="478" operator="greaterThanOrEqual">
      <formula>80</formula>
    </cfRule>
    <cfRule type="containsBlanks" dxfId="94" priority="479" stopIfTrue="1">
      <formula>LEN(TRIM(B39))=0</formula>
    </cfRule>
    <cfRule type="cellIs" dxfId="93" priority="480" operator="greaterThanOrEqual">
      <formula>80</formula>
    </cfRule>
    <cfRule type="cellIs" dxfId="92" priority="481" operator="between">
      <formula>70</formula>
      <formula>79</formula>
    </cfRule>
    <cfRule type="cellIs" dxfId="91" priority="482" operator="between">
      <formula>60</formula>
      <formula>69</formula>
    </cfRule>
    <cfRule type="cellIs" dxfId="90" priority="483" operator="between">
      <formula>0</formula>
      <formula>59</formula>
    </cfRule>
  </conditionalFormatting>
  <conditionalFormatting sqref="B40:Q40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9" priority="485" operator="greaterThanOrEqual">
      <formula>80</formula>
    </cfRule>
    <cfRule type="containsBlanks" dxfId="88" priority="486" stopIfTrue="1">
      <formula>LEN(TRIM(B40))=0</formula>
    </cfRule>
    <cfRule type="cellIs" dxfId="87" priority="487" operator="greaterThanOrEqual">
      <formula>80</formula>
    </cfRule>
    <cfRule type="cellIs" dxfId="86" priority="488" operator="between">
      <formula>70</formula>
      <formula>79</formula>
    </cfRule>
    <cfRule type="cellIs" dxfId="85" priority="489" operator="between">
      <formula>60</formula>
      <formula>69</formula>
    </cfRule>
    <cfRule type="cellIs" dxfId="84" priority="490" operator="between">
      <formula>0</formula>
      <formula>59</formula>
    </cfRule>
  </conditionalFormatting>
  <conditionalFormatting sqref="B41:Q41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3" priority="492" operator="greaterThanOrEqual">
      <formula>80</formula>
    </cfRule>
    <cfRule type="containsBlanks" dxfId="82" priority="493" stopIfTrue="1">
      <formula>LEN(TRIM(B41))=0</formula>
    </cfRule>
    <cfRule type="cellIs" dxfId="81" priority="494" operator="greaterThanOrEqual">
      <formula>80</formula>
    </cfRule>
    <cfRule type="cellIs" dxfId="80" priority="495" operator="between">
      <formula>70</formula>
      <formula>79</formula>
    </cfRule>
    <cfRule type="cellIs" dxfId="79" priority="496" operator="between">
      <formula>60</formula>
      <formula>69</formula>
    </cfRule>
    <cfRule type="cellIs" dxfId="78" priority="497" operator="between">
      <formula>0</formula>
      <formula>59</formula>
    </cfRule>
  </conditionalFormatting>
  <conditionalFormatting sqref="B42:Q42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7" priority="499" operator="greaterThanOrEqual">
      <formula>80</formula>
    </cfRule>
    <cfRule type="containsBlanks" dxfId="76" priority="500" stopIfTrue="1">
      <formula>LEN(TRIM(B42))=0</formula>
    </cfRule>
    <cfRule type="cellIs" dxfId="75" priority="501" operator="greaterThanOrEqual">
      <formula>80</formula>
    </cfRule>
    <cfRule type="cellIs" dxfId="74" priority="502" operator="between">
      <formula>70</formula>
      <formula>79</formula>
    </cfRule>
    <cfRule type="cellIs" dxfId="73" priority="503" operator="between">
      <formula>60</formula>
      <formula>69</formula>
    </cfRule>
    <cfRule type="cellIs" dxfId="72" priority="504" operator="between">
      <formula>0</formula>
      <formula>59</formula>
    </cfRule>
  </conditionalFormatting>
  <dataValidations count="1">
    <dataValidation type="list" allowBlank="1" showInputMessage="1" showErrorMessage="1" sqref="B2:Q2" xr:uid="{17547D07-4344-4B84-A7BB-E38656B50A7D}">
      <formula1>$U$5:$U$11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B6764-8917-48B5-929F-5DD2FA4256E4}">
  <dimension ref="A1:P65"/>
  <sheetViews>
    <sheetView topLeftCell="A28" zoomScale="70" zoomScaleNormal="70" workbookViewId="0">
      <selection activeCell="B55" sqref="B55:B58"/>
    </sheetView>
  </sheetViews>
  <sheetFormatPr defaultColWidth="9.28515625" defaultRowHeight="15" x14ac:dyDescent="0.25"/>
  <cols>
    <col min="1" max="1" width="44.85546875" bestFit="1" customWidth="1"/>
    <col min="2" max="2" width="18.85546875" bestFit="1" customWidth="1"/>
    <col min="3" max="3" width="15.42578125" bestFit="1" customWidth="1"/>
    <col min="4" max="4" width="15.85546875" bestFit="1" customWidth="1"/>
    <col min="5" max="5" width="17.7109375" bestFit="1" customWidth="1"/>
    <col min="6" max="6" width="14.5703125" bestFit="1" customWidth="1"/>
    <col min="7" max="7" width="15" bestFit="1" customWidth="1"/>
    <col min="8" max="8" width="17.7109375" bestFit="1" customWidth="1"/>
    <col min="9" max="9" width="15.42578125" bestFit="1" customWidth="1"/>
    <col min="10" max="13" width="15.42578125" customWidth="1"/>
    <col min="14" max="14" width="9.28515625" bestFit="1" customWidth="1"/>
  </cols>
  <sheetData>
    <row r="1" spans="1:16" x14ac:dyDescent="0.25">
      <c r="A1" s="9" t="s">
        <v>165</v>
      </c>
      <c r="B1" s="151" t="s">
        <v>81</v>
      </c>
      <c r="C1" s="152" t="s">
        <v>85</v>
      </c>
      <c r="D1" s="152" t="s">
        <v>87</v>
      </c>
      <c r="E1" s="151" t="s">
        <v>75</v>
      </c>
      <c r="F1" s="151" t="s">
        <v>77</v>
      </c>
      <c r="G1" s="150" t="s">
        <v>73</v>
      </c>
      <c r="H1" s="151" t="s">
        <v>79</v>
      </c>
      <c r="I1" s="151" t="s">
        <v>83</v>
      </c>
      <c r="J1" s="152" t="s">
        <v>89</v>
      </c>
      <c r="K1" s="151" t="s">
        <v>91</v>
      </c>
      <c r="L1" s="152" t="s">
        <v>93</v>
      </c>
      <c r="M1" s="30">
        <f>COUNTA(B1:L1)</f>
        <v>11</v>
      </c>
    </row>
    <row r="2" spans="1:16" ht="30" x14ac:dyDescent="0.25">
      <c r="A2" s="12" t="s">
        <v>166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30">
        <f>COUNTIF(B2:L2, "&lt;&gt;")</f>
        <v>0</v>
      </c>
    </row>
    <row r="3" spans="1:16" x14ac:dyDescent="0.25">
      <c r="A3" s="31">
        <v>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81"/>
    </row>
    <row r="4" spans="1:16" x14ac:dyDescent="0.25">
      <c r="A4" s="31">
        <v>2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82"/>
      <c r="P4" s="108" t="s">
        <v>167</v>
      </c>
    </row>
    <row r="5" spans="1:16" x14ac:dyDescent="0.25">
      <c r="A5" s="31">
        <v>3</v>
      </c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82"/>
      <c r="P5" s="108" t="s">
        <v>168</v>
      </c>
    </row>
    <row r="6" spans="1:16" x14ac:dyDescent="0.25">
      <c r="A6" s="31">
        <v>4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82"/>
      <c r="P6" s="108" t="s">
        <v>169</v>
      </c>
    </row>
    <row r="7" spans="1:16" x14ac:dyDescent="0.25">
      <c r="A7" s="31">
        <v>5</v>
      </c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82"/>
      <c r="P7" s="108" t="s">
        <v>170</v>
      </c>
    </row>
    <row r="8" spans="1:16" x14ac:dyDescent="0.25">
      <c r="A8" s="31">
        <v>6</v>
      </c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82"/>
      <c r="P8" s="108" t="s">
        <v>171</v>
      </c>
    </row>
    <row r="9" spans="1:16" x14ac:dyDescent="0.25">
      <c r="A9" s="31">
        <v>7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82"/>
      <c r="P9" s="108" t="s">
        <v>172</v>
      </c>
    </row>
    <row r="10" spans="1:16" x14ac:dyDescent="0.25">
      <c r="A10" s="31">
        <v>8</v>
      </c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82"/>
      <c r="P10" s="108" t="s">
        <v>173</v>
      </c>
    </row>
    <row r="11" spans="1:16" x14ac:dyDescent="0.25">
      <c r="A11" s="31">
        <v>9</v>
      </c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82"/>
    </row>
    <row r="12" spans="1:16" x14ac:dyDescent="0.25">
      <c r="A12" s="31">
        <v>10</v>
      </c>
      <c r="B12" s="162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82"/>
    </row>
    <row r="13" spans="1:16" x14ac:dyDescent="0.25">
      <c r="A13" s="31">
        <v>11</v>
      </c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82"/>
    </row>
    <row r="14" spans="1:16" x14ac:dyDescent="0.25">
      <c r="A14" s="31">
        <v>12</v>
      </c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82"/>
    </row>
    <row r="15" spans="1:16" x14ac:dyDescent="0.25">
      <c r="A15" s="31">
        <v>13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82"/>
    </row>
    <row r="16" spans="1:16" x14ac:dyDescent="0.25">
      <c r="A16" s="31">
        <v>14</v>
      </c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82"/>
    </row>
    <row r="17" spans="1:13" x14ac:dyDescent="0.25">
      <c r="A17" s="31">
        <v>15</v>
      </c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82"/>
    </row>
    <row r="18" spans="1:13" x14ac:dyDescent="0.25">
      <c r="A18" s="31">
        <v>16</v>
      </c>
      <c r="B18" s="162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82"/>
    </row>
    <row r="19" spans="1:13" x14ac:dyDescent="0.25">
      <c r="A19" s="31">
        <v>17</v>
      </c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82"/>
    </row>
    <row r="20" spans="1:13" x14ac:dyDescent="0.25">
      <c r="A20" s="31">
        <v>18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82"/>
    </row>
    <row r="21" spans="1:13" x14ac:dyDescent="0.25">
      <c r="A21" s="31">
        <v>19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82"/>
    </row>
    <row r="22" spans="1:13" x14ac:dyDescent="0.25">
      <c r="A22" s="31">
        <v>20</v>
      </c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82"/>
    </row>
    <row r="23" spans="1:13" x14ac:dyDescent="0.25">
      <c r="A23" s="31">
        <v>21</v>
      </c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82"/>
    </row>
    <row r="24" spans="1:13" x14ac:dyDescent="0.25">
      <c r="A24" s="31">
        <v>22</v>
      </c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82"/>
    </row>
    <row r="25" spans="1:13" x14ac:dyDescent="0.25">
      <c r="A25" s="31">
        <v>23</v>
      </c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82"/>
    </row>
    <row r="26" spans="1:13" x14ac:dyDescent="0.25">
      <c r="A26" s="31">
        <v>24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82"/>
    </row>
    <row r="27" spans="1:13" x14ac:dyDescent="0.25">
      <c r="A27" s="31">
        <v>25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82"/>
    </row>
    <row r="28" spans="1:13" x14ac:dyDescent="0.25">
      <c r="A28" s="31">
        <v>26</v>
      </c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82"/>
    </row>
    <row r="29" spans="1:13" x14ac:dyDescent="0.25">
      <c r="A29" s="31">
        <v>27</v>
      </c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82"/>
    </row>
    <row r="30" spans="1:13" x14ac:dyDescent="0.25">
      <c r="A30" s="31">
        <v>28</v>
      </c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82"/>
    </row>
    <row r="31" spans="1:13" x14ac:dyDescent="0.25">
      <c r="A31" s="31">
        <v>29</v>
      </c>
      <c r="B31" s="168"/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82"/>
    </row>
    <row r="32" spans="1:13" x14ac:dyDescent="0.25">
      <c r="A32" s="31">
        <v>30</v>
      </c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82"/>
    </row>
    <row r="33" spans="1:13" x14ac:dyDescent="0.25">
      <c r="A33" s="31">
        <v>31</v>
      </c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82"/>
    </row>
    <row r="34" spans="1:13" x14ac:dyDescent="0.25">
      <c r="A34" s="31">
        <v>32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82"/>
    </row>
    <row r="35" spans="1:13" x14ac:dyDescent="0.25">
      <c r="A35" s="31">
        <v>33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82"/>
    </row>
    <row r="36" spans="1:13" x14ac:dyDescent="0.25">
      <c r="A36" s="31">
        <v>34</v>
      </c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82"/>
    </row>
    <row r="37" spans="1:13" x14ac:dyDescent="0.25">
      <c r="A37" s="31">
        <v>35</v>
      </c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82"/>
    </row>
    <row r="38" spans="1:13" x14ac:dyDescent="0.25">
      <c r="A38" s="31">
        <v>36</v>
      </c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82"/>
    </row>
    <row r="39" spans="1:13" x14ac:dyDescent="0.25">
      <c r="A39" s="31">
        <v>37</v>
      </c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82"/>
    </row>
    <row r="40" spans="1:13" x14ac:dyDescent="0.25">
      <c r="A40" s="31">
        <v>38</v>
      </c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82"/>
    </row>
    <row r="41" spans="1:13" x14ac:dyDescent="0.25">
      <c r="A41" s="31">
        <v>39</v>
      </c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82"/>
    </row>
    <row r="42" spans="1:13" ht="15.75" thickBot="1" x14ac:dyDescent="0.3">
      <c r="A42" s="31">
        <v>40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83"/>
    </row>
    <row r="43" spans="1:13" ht="15.75" thickTop="1" x14ac:dyDescent="0.25">
      <c r="A43" s="109" t="s">
        <v>13</v>
      </c>
      <c r="B43" s="166" t="e">
        <f>AVERAGE(B3:B42)</f>
        <v>#DIV/0!</v>
      </c>
      <c r="C43" s="166" t="e">
        <f t="shared" ref="C43:L43" si="0">AVERAGE(C3:C42)</f>
        <v>#DIV/0!</v>
      </c>
      <c r="D43" s="166" t="e">
        <f t="shared" si="0"/>
        <v>#DIV/0!</v>
      </c>
      <c r="E43" s="166" t="e">
        <f t="shared" si="0"/>
        <v>#DIV/0!</v>
      </c>
      <c r="F43" s="166" t="e">
        <f t="shared" si="0"/>
        <v>#DIV/0!</v>
      </c>
      <c r="G43" s="166" t="e">
        <f t="shared" si="0"/>
        <v>#DIV/0!</v>
      </c>
      <c r="H43" s="166" t="e">
        <f t="shared" si="0"/>
        <v>#DIV/0!</v>
      </c>
      <c r="I43" s="166" t="e">
        <f t="shared" si="0"/>
        <v>#DIV/0!</v>
      </c>
      <c r="J43" s="166" t="e">
        <f t="shared" si="0"/>
        <v>#DIV/0!</v>
      </c>
      <c r="K43" s="166" t="e">
        <f t="shared" si="0"/>
        <v>#DIV/0!</v>
      </c>
      <c r="L43" s="166" t="e">
        <f t="shared" si="0"/>
        <v>#DIV/0!</v>
      </c>
      <c r="M43" s="35"/>
    </row>
    <row r="44" spans="1:13" x14ac:dyDescent="0.25">
      <c r="A44" s="36" t="s">
        <v>174</v>
      </c>
      <c r="B44" s="167" t="e">
        <f>AVERAGEIF(B43:L43, "&lt;&gt;#DIV/0!")</f>
        <v>#DIV/0!</v>
      </c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32"/>
    </row>
    <row r="45" spans="1:13" x14ac:dyDescent="0.25">
      <c r="A45" s="36" t="s">
        <v>175</v>
      </c>
      <c r="B45" s="32">
        <f>COUNTIF(B3:B42, "&lt;&gt;")</f>
        <v>0</v>
      </c>
      <c r="C45" s="32">
        <f t="shared" ref="C45:L45" si="1">COUNTIF(C3:C42, "&lt;&gt;")</f>
        <v>0</v>
      </c>
      <c r="D45" s="32">
        <f t="shared" si="1"/>
        <v>0</v>
      </c>
      <c r="E45" s="32">
        <f t="shared" si="1"/>
        <v>0</v>
      </c>
      <c r="F45" s="32">
        <f t="shared" si="1"/>
        <v>0</v>
      </c>
      <c r="G45" s="32">
        <f t="shared" si="1"/>
        <v>0</v>
      </c>
      <c r="H45" s="32">
        <f t="shared" si="1"/>
        <v>0</v>
      </c>
      <c r="I45" s="32">
        <f t="shared" si="1"/>
        <v>0</v>
      </c>
      <c r="J45" s="32">
        <f t="shared" si="1"/>
        <v>0</v>
      </c>
      <c r="K45" s="32">
        <f t="shared" si="1"/>
        <v>0</v>
      </c>
      <c r="L45" s="32">
        <f t="shared" si="1"/>
        <v>0</v>
      </c>
      <c r="M45" s="32"/>
    </row>
    <row r="47" spans="1:13" x14ac:dyDescent="0.25">
      <c r="B47" s="91" t="s">
        <v>176</v>
      </c>
      <c r="C47" s="19" t="s">
        <v>177</v>
      </c>
      <c r="D47" s="19" t="s">
        <v>178</v>
      </c>
      <c r="E47" s="19" t="s">
        <v>179</v>
      </c>
      <c r="F47" s="19" t="s">
        <v>180</v>
      </c>
      <c r="G47" s="19" t="s">
        <v>181</v>
      </c>
      <c r="H47" s="20" t="s">
        <v>182</v>
      </c>
      <c r="I47" s="20" t="s">
        <v>60</v>
      </c>
      <c r="J47" s="148"/>
      <c r="K47" s="148"/>
      <c r="L47" s="148"/>
    </row>
    <row r="48" spans="1:13" x14ac:dyDescent="0.25">
      <c r="A48" s="101" t="s">
        <v>183</v>
      </c>
      <c r="B48" s="13">
        <f>COUNTIF($G$2, "A")</f>
        <v>0</v>
      </c>
      <c r="C48" s="13">
        <f>COUNTIF($G$2, "Q")</f>
        <v>0</v>
      </c>
      <c r="D48" s="13">
        <f>COUNTIF($G$2, "M")</f>
        <v>0</v>
      </c>
      <c r="E48" s="13">
        <f>COUNTIF($G$2, "F")</f>
        <v>0</v>
      </c>
      <c r="F48" s="13">
        <f>COUNTIF($G$2, "P")</f>
        <v>0</v>
      </c>
      <c r="G48" s="13">
        <f>COUNTIF($G$2, "L")</f>
        <v>0</v>
      </c>
      <c r="H48" s="13">
        <f>COUNTIF($G$2, "OT")</f>
        <v>0</v>
      </c>
      <c r="I48" s="9">
        <f>SUM(B48:H48)</f>
        <v>0</v>
      </c>
      <c r="J48" s="25"/>
      <c r="K48" s="25"/>
      <c r="L48" s="25"/>
    </row>
    <row r="49" spans="1:14" x14ac:dyDescent="0.25">
      <c r="A49" s="107" t="s">
        <v>184</v>
      </c>
      <c r="B49" s="13">
        <f>COUNTIF($B$2, "A") + COUNTIF($E$2:$F$2, "A") + COUNTIF($H$2:$I$2, "A") + COUNTIF($K$2, "A")</f>
        <v>0</v>
      </c>
      <c r="C49" s="13">
        <f>COUNTIF($B$2, "Q") + COUNTIF($E$2:$F$2, "Q") + COUNTIF($H$2:$I$2, "Q") + COUNTIF($K$2, "Q")</f>
        <v>0</v>
      </c>
      <c r="D49" s="13">
        <f>COUNTIF($B$2, "M") + COUNTIF($E$2:$F$2, "M") + COUNTIF($H$2:$I$2, "M") + COUNTIF($K$2, "M")</f>
        <v>0</v>
      </c>
      <c r="E49" s="13">
        <f>COUNTIF($B$2, "F") + COUNTIF($E$2:$F$2, "F") + COUNTIF($H$2:$I$2, "F") + COUNTIF($K$2, "F")</f>
        <v>0</v>
      </c>
      <c r="F49" s="13">
        <f>COUNTIF($B$2, "P") + COUNTIF($E$2:$F$2, "P") + COUNTIF($H$2:$I$2, "P") + COUNTIF($K$2, "P")</f>
        <v>0</v>
      </c>
      <c r="G49" s="13">
        <f>COUNTIF($B$2, "L") + COUNTIF($E$2:$F$2, "L") + COUNTIF($H$2:$I$2, "L") + COUNTIF($K$2, "L")</f>
        <v>0</v>
      </c>
      <c r="H49" s="13">
        <f>COUNTIF($B$2, "OT") + COUNTIF($E$2:$F$2, "OT") + COUNTIF($H$2:$I$2, "OT") + COUNTIF($K$2, "OT")</f>
        <v>0</v>
      </c>
      <c r="I49" s="9">
        <f t="shared" ref="I49:I50" si="2">SUM(B49:H49)</f>
        <v>0</v>
      </c>
      <c r="J49" s="25"/>
      <c r="K49" s="25"/>
      <c r="L49" s="25"/>
    </row>
    <row r="50" spans="1:14" x14ac:dyDescent="0.25">
      <c r="A50" s="103" t="s">
        <v>185</v>
      </c>
      <c r="B50" s="13">
        <f>COUNTIF($C$2:$D$2, "A") + COUNTIF($J$2, "A") + COUNTIF($L$2, "A")</f>
        <v>0</v>
      </c>
      <c r="C50" s="13">
        <f>COUNTIF($C$2:$D$2, "Q") + COUNTIF($J$2, "Q") + COUNTIF($L$2, "Q")</f>
        <v>0</v>
      </c>
      <c r="D50" s="13">
        <f>COUNTIF($C$2:$D$2, "M") + COUNTIF($J$2, "M") + COUNTIF($L$2, "M")</f>
        <v>0</v>
      </c>
      <c r="E50" s="13">
        <f>COUNTIF($C$2:$D$2, "F") + COUNTIF($J$2, "F") + COUNTIF($L$2, "F")</f>
        <v>0</v>
      </c>
      <c r="F50" s="13">
        <f>COUNTIF($C$2:$D$2, "P") + COUNTIF($J$2, "P") + COUNTIF($L$2, "P")</f>
        <v>0</v>
      </c>
      <c r="G50" s="13">
        <f>COUNTIF($C$2:$D$2, "L") + COUNTIF($J$2, "L") + COUNTIF($L$2, "L")</f>
        <v>0</v>
      </c>
      <c r="H50" s="13">
        <f>COUNTIF($C$2:$D$2, "OT") + COUNTIF($J$2, "OT") + COUNTIF($L$2, "OT")</f>
        <v>0</v>
      </c>
      <c r="I50" s="9">
        <f t="shared" si="2"/>
        <v>0</v>
      </c>
      <c r="J50" s="25"/>
      <c r="K50" s="25"/>
      <c r="L50" s="25"/>
    </row>
    <row r="51" spans="1:14" x14ac:dyDescent="0.25">
      <c r="A51" s="19" t="s">
        <v>60</v>
      </c>
      <c r="B51" s="9">
        <f>SUM(B48:B50)</f>
        <v>0</v>
      </c>
      <c r="C51" s="9">
        <f t="shared" ref="C51:H51" si="3">SUM(C48:C50)</f>
        <v>0</v>
      </c>
      <c r="D51" s="9">
        <f t="shared" si="3"/>
        <v>0</v>
      </c>
      <c r="E51" s="9">
        <f t="shared" si="3"/>
        <v>0</v>
      </c>
      <c r="F51" s="9">
        <f t="shared" si="3"/>
        <v>0</v>
      </c>
      <c r="G51" s="9">
        <f t="shared" si="3"/>
        <v>0</v>
      </c>
      <c r="H51" s="9">
        <f t="shared" si="3"/>
        <v>0</v>
      </c>
      <c r="I51" s="9">
        <f>SUM(I48:I50)</f>
        <v>0</v>
      </c>
      <c r="J51" s="25"/>
      <c r="K51" s="25"/>
      <c r="L51" s="25"/>
    </row>
    <row r="53" spans="1:14" ht="18.75" thickBot="1" x14ac:dyDescent="0.3">
      <c r="A53" s="87" t="s">
        <v>186</v>
      </c>
      <c r="C53" s="87"/>
      <c r="D53" s="87"/>
      <c r="E53" s="87"/>
      <c r="F53" s="87"/>
      <c r="G53" s="87"/>
      <c r="H53" s="85"/>
      <c r="I53" s="85"/>
      <c r="J53" s="85"/>
      <c r="K53" s="85"/>
      <c r="L53" s="85"/>
      <c r="M53" s="85"/>
      <c r="N53" s="85"/>
    </row>
    <row r="54" spans="1:14" ht="16.5" thickBot="1" x14ac:dyDescent="0.3">
      <c r="A54" s="37" t="s">
        <v>25</v>
      </c>
      <c r="B54" s="151" t="s">
        <v>81</v>
      </c>
      <c r="C54" s="152" t="s">
        <v>85</v>
      </c>
      <c r="D54" s="152" t="s">
        <v>87</v>
      </c>
      <c r="E54" s="151" t="s">
        <v>75</v>
      </c>
      <c r="F54" s="151" t="s">
        <v>77</v>
      </c>
      <c r="G54" s="150" t="s">
        <v>73</v>
      </c>
      <c r="H54" s="151" t="s">
        <v>79</v>
      </c>
      <c r="I54" s="151" t="s">
        <v>83</v>
      </c>
      <c r="J54" s="152" t="s">
        <v>89</v>
      </c>
      <c r="K54" s="151" t="s">
        <v>91</v>
      </c>
      <c r="L54" s="152" t="s">
        <v>93</v>
      </c>
      <c r="M54" s="122" t="s">
        <v>13</v>
      </c>
    </row>
    <row r="55" spans="1:14" ht="16.5" thickBot="1" x14ac:dyDescent="0.3">
      <c r="A55" s="104" t="s">
        <v>27</v>
      </c>
      <c r="B55" s="117" t="e">
        <f>(COUNTIF(B3:B42, "&lt;=59%"))/B45</f>
        <v>#DIV/0!</v>
      </c>
      <c r="C55" s="117" t="e">
        <f t="shared" ref="C55:L55" si="4">(COUNTIF(C3:C42, "&lt;=59%"))/C45</f>
        <v>#DIV/0!</v>
      </c>
      <c r="D55" s="117" t="e">
        <f t="shared" si="4"/>
        <v>#DIV/0!</v>
      </c>
      <c r="E55" s="117" t="e">
        <f t="shared" si="4"/>
        <v>#DIV/0!</v>
      </c>
      <c r="F55" s="117" t="e">
        <f t="shared" si="4"/>
        <v>#DIV/0!</v>
      </c>
      <c r="G55" s="117" t="e">
        <f t="shared" si="4"/>
        <v>#DIV/0!</v>
      </c>
      <c r="H55" s="117" t="e">
        <f t="shared" si="4"/>
        <v>#DIV/0!</v>
      </c>
      <c r="I55" s="117" t="e">
        <f t="shared" si="4"/>
        <v>#DIV/0!</v>
      </c>
      <c r="J55" s="117" t="e">
        <f t="shared" si="4"/>
        <v>#DIV/0!</v>
      </c>
      <c r="K55" s="117" t="e">
        <f t="shared" si="4"/>
        <v>#DIV/0!</v>
      </c>
      <c r="L55" s="117" t="e">
        <f t="shared" si="4"/>
        <v>#DIV/0!</v>
      </c>
      <c r="M55" s="41" t="e">
        <f>AVERAGEIF(B55:L55, "&lt;&gt;#DIV/0!")</f>
        <v>#DIV/0!</v>
      </c>
    </row>
    <row r="56" spans="1:14" ht="16.5" thickBot="1" x14ac:dyDescent="0.3">
      <c r="A56" s="105" t="s">
        <v>29</v>
      </c>
      <c r="B56" s="120" t="e">
        <f>(COUNTIFS(B3:B42, "&gt;= 60%", B3:B42, "&lt;=69%" ))/B45</f>
        <v>#DIV/0!</v>
      </c>
      <c r="C56" s="120" t="e">
        <f t="shared" ref="C56:L56" si="5">(COUNTIFS(C3:C42, "&gt;= 60%", C3:C42, "&lt;=69%" ))/C45</f>
        <v>#DIV/0!</v>
      </c>
      <c r="D56" s="120" t="e">
        <f t="shared" si="5"/>
        <v>#DIV/0!</v>
      </c>
      <c r="E56" s="120" t="e">
        <f t="shared" si="5"/>
        <v>#DIV/0!</v>
      </c>
      <c r="F56" s="120" t="e">
        <f t="shared" si="5"/>
        <v>#DIV/0!</v>
      </c>
      <c r="G56" s="120" t="e">
        <f t="shared" si="5"/>
        <v>#DIV/0!</v>
      </c>
      <c r="H56" s="120" t="e">
        <f t="shared" si="5"/>
        <v>#DIV/0!</v>
      </c>
      <c r="I56" s="120" t="e">
        <f t="shared" si="5"/>
        <v>#DIV/0!</v>
      </c>
      <c r="J56" s="120" t="e">
        <f t="shared" si="5"/>
        <v>#DIV/0!</v>
      </c>
      <c r="K56" s="120" t="e">
        <f t="shared" si="5"/>
        <v>#DIV/0!</v>
      </c>
      <c r="L56" s="120" t="e">
        <f t="shared" si="5"/>
        <v>#DIV/0!</v>
      </c>
      <c r="M56" s="41" t="e">
        <f>AVERAGEIF(B56:L56, "&lt;&gt;#DIV/0!")</f>
        <v>#DIV/0!</v>
      </c>
    </row>
    <row r="57" spans="1:14" ht="16.5" thickBot="1" x14ac:dyDescent="0.3">
      <c r="A57" s="100" t="s">
        <v>31</v>
      </c>
      <c r="B57" s="120" t="e">
        <f>(COUNTIFS(B3:B42, "&gt;= 70%", B3:B42, "&lt;=79%" ))/B45</f>
        <v>#DIV/0!</v>
      </c>
      <c r="C57" s="120" t="e">
        <f t="shared" ref="C57:L57" si="6">(COUNTIFS(C3:C42, "&gt;= 70%", C3:C42, "&lt;=79%" ))/C45</f>
        <v>#DIV/0!</v>
      </c>
      <c r="D57" s="120" t="e">
        <f t="shared" si="6"/>
        <v>#DIV/0!</v>
      </c>
      <c r="E57" s="120" t="e">
        <f t="shared" si="6"/>
        <v>#DIV/0!</v>
      </c>
      <c r="F57" s="120" t="e">
        <f t="shared" si="6"/>
        <v>#DIV/0!</v>
      </c>
      <c r="G57" s="120" t="e">
        <f t="shared" si="6"/>
        <v>#DIV/0!</v>
      </c>
      <c r="H57" s="120" t="e">
        <f t="shared" si="6"/>
        <v>#DIV/0!</v>
      </c>
      <c r="I57" s="120" t="e">
        <f t="shared" si="6"/>
        <v>#DIV/0!</v>
      </c>
      <c r="J57" s="120" t="e">
        <f t="shared" si="6"/>
        <v>#DIV/0!</v>
      </c>
      <c r="K57" s="120" t="e">
        <f t="shared" si="6"/>
        <v>#DIV/0!</v>
      </c>
      <c r="L57" s="120" t="e">
        <f t="shared" si="6"/>
        <v>#DIV/0!</v>
      </c>
      <c r="M57" s="41" t="e">
        <f>AVERAGEIF(B57:L57, "&lt;&gt;#DIV/0!")</f>
        <v>#DIV/0!</v>
      </c>
    </row>
    <row r="58" spans="1:14" ht="16.5" thickBot="1" x14ac:dyDescent="0.3">
      <c r="A58" s="106" t="s">
        <v>33</v>
      </c>
      <c r="B58" s="120" t="e">
        <f>(COUNTIF(B3:B42,"&gt;= 80%")/B45)</f>
        <v>#DIV/0!</v>
      </c>
      <c r="C58" s="120" t="e">
        <f t="shared" ref="C58:L58" si="7">(COUNTIF(C3:C42,"&gt;= 80%")/C45)</f>
        <v>#DIV/0!</v>
      </c>
      <c r="D58" s="120" t="e">
        <f t="shared" si="7"/>
        <v>#DIV/0!</v>
      </c>
      <c r="E58" s="120" t="e">
        <f t="shared" si="7"/>
        <v>#DIV/0!</v>
      </c>
      <c r="F58" s="120" t="e">
        <f t="shared" si="7"/>
        <v>#DIV/0!</v>
      </c>
      <c r="G58" s="120" t="e">
        <f t="shared" si="7"/>
        <v>#DIV/0!</v>
      </c>
      <c r="H58" s="120" t="e">
        <f t="shared" si="7"/>
        <v>#DIV/0!</v>
      </c>
      <c r="I58" s="120" t="e">
        <f t="shared" si="7"/>
        <v>#DIV/0!</v>
      </c>
      <c r="J58" s="120" t="e">
        <f t="shared" si="7"/>
        <v>#DIV/0!</v>
      </c>
      <c r="K58" s="120" t="e">
        <f t="shared" si="7"/>
        <v>#DIV/0!</v>
      </c>
      <c r="L58" s="120" t="e">
        <f t="shared" si="7"/>
        <v>#DIV/0!</v>
      </c>
      <c r="M58" s="41" t="e">
        <f>AVERAGEIF(B58:L58, "&lt;&gt;#DIV/0!")</f>
        <v>#DIV/0!</v>
      </c>
    </row>
    <row r="59" spans="1:14" ht="16.5" thickTop="1" thickBot="1" x14ac:dyDescent="0.3">
      <c r="A59" s="44"/>
      <c r="B59" s="89">
        <f>SUMIF(B55:B58, "&lt;&gt;#DIV/0!")</f>
        <v>0</v>
      </c>
      <c r="C59" s="89">
        <f t="shared" ref="C59:L59" si="8">SUMIF(C55:C58, "&lt;&gt;#DIV/0!")</f>
        <v>0</v>
      </c>
      <c r="D59" s="89">
        <f t="shared" si="8"/>
        <v>0</v>
      </c>
      <c r="E59" s="89">
        <f t="shared" si="8"/>
        <v>0</v>
      </c>
      <c r="F59" s="89">
        <f t="shared" si="8"/>
        <v>0</v>
      </c>
      <c r="G59" s="89">
        <f t="shared" si="8"/>
        <v>0</v>
      </c>
      <c r="H59" s="89">
        <f t="shared" si="8"/>
        <v>0</v>
      </c>
      <c r="I59" s="89">
        <f t="shared" si="8"/>
        <v>0</v>
      </c>
      <c r="J59" s="89">
        <f t="shared" si="8"/>
        <v>0</v>
      </c>
      <c r="K59" s="89">
        <f t="shared" si="8"/>
        <v>0</v>
      </c>
      <c r="L59" s="89">
        <f t="shared" si="8"/>
        <v>0</v>
      </c>
      <c r="M59" s="123"/>
    </row>
    <row r="60" spans="1:14" ht="15.75" thickBot="1" x14ac:dyDescent="0.3"/>
    <row r="61" spans="1:14" ht="15.75" thickBot="1" x14ac:dyDescent="0.3">
      <c r="A61" s="25"/>
      <c r="B61" s="42" t="s">
        <v>187</v>
      </c>
      <c r="C61" s="42" t="s">
        <v>188</v>
      </c>
    </row>
    <row r="62" spans="1:14" ht="16.5" thickBot="1" x14ac:dyDescent="0.3">
      <c r="A62" s="38" t="s">
        <v>33</v>
      </c>
      <c r="B62" s="44" t="s">
        <v>189</v>
      </c>
      <c r="C62" s="43">
        <v>100</v>
      </c>
    </row>
    <row r="63" spans="1:14" ht="16.5" thickBot="1" x14ac:dyDescent="0.3">
      <c r="A63" s="38" t="s">
        <v>31</v>
      </c>
      <c r="B63" s="44" t="s">
        <v>190</v>
      </c>
      <c r="C63" s="43">
        <v>79</v>
      </c>
    </row>
    <row r="64" spans="1:14" ht="16.5" thickBot="1" x14ac:dyDescent="0.3">
      <c r="A64" s="38" t="s">
        <v>29</v>
      </c>
      <c r="B64" s="44" t="s">
        <v>191</v>
      </c>
      <c r="C64" s="43">
        <v>69</v>
      </c>
    </row>
    <row r="65" spans="1:3" ht="16.5" thickBot="1" x14ac:dyDescent="0.3">
      <c r="A65" s="38" t="s">
        <v>27</v>
      </c>
      <c r="B65" s="44" t="s">
        <v>192</v>
      </c>
      <c r="C65" s="43">
        <v>59</v>
      </c>
    </row>
  </sheetData>
  <mergeCells count="1">
    <mergeCell ref="M3:M42"/>
  </mergeCells>
  <phoneticPr fontId="11" type="noConversion"/>
  <conditionalFormatting sqref="B3:L42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1" priority="618" operator="greaterThanOrEqual">
      <formula>80</formula>
    </cfRule>
    <cfRule type="containsBlanks" dxfId="70" priority="619" stopIfTrue="1">
      <formula>LEN(TRIM(B3))=0</formula>
    </cfRule>
    <cfRule type="cellIs" dxfId="69" priority="620" operator="greaterThanOrEqual">
      <formula>80</formula>
    </cfRule>
    <cfRule type="cellIs" dxfId="68" priority="621" operator="between">
      <formula>70</formula>
      <formula>79</formula>
    </cfRule>
    <cfRule type="cellIs" dxfId="67" priority="622" operator="between">
      <formula>60</formula>
      <formula>69</formula>
    </cfRule>
    <cfRule type="cellIs" dxfId="66" priority="623" operator="between">
      <formula>0</formula>
      <formula>59</formula>
    </cfRule>
  </conditionalFormatting>
  <dataValidations count="1">
    <dataValidation type="list" allowBlank="1" showInputMessage="1" showErrorMessage="1" sqref="B2:L2" xr:uid="{EAD6C5CF-A7AB-4638-ABA8-4CF4E0B7A10F}">
      <formula1>$P$4:$P$11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E450-C302-4C5A-8CEF-33676752C026}">
  <dimension ref="A1:M65"/>
  <sheetViews>
    <sheetView topLeftCell="A33" zoomScale="70" zoomScaleNormal="70" workbookViewId="0">
      <selection activeCell="B55" sqref="B55:B58"/>
    </sheetView>
  </sheetViews>
  <sheetFormatPr defaultRowHeight="15" x14ac:dyDescent="0.25"/>
  <cols>
    <col min="1" max="1" width="44.85546875" bestFit="1" customWidth="1"/>
    <col min="2" max="2" width="18.85546875" bestFit="1" customWidth="1"/>
    <col min="3" max="3" width="16.28515625" bestFit="1" customWidth="1"/>
    <col min="4" max="4" width="15.85546875" bestFit="1" customWidth="1"/>
    <col min="5" max="5" width="17.7109375" bestFit="1" customWidth="1"/>
    <col min="6" max="7" width="14.42578125" bestFit="1" customWidth="1"/>
    <col min="8" max="8" width="17.7109375" bestFit="1" customWidth="1"/>
    <col min="9" max="9" width="7.42578125" bestFit="1" customWidth="1"/>
    <col min="10" max="10" width="15.28515625" customWidth="1"/>
    <col min="11" max="11" width="9.28515625" bestFit="1" customWidth="1"/>
    <col min="13" max="13" width="4.28515625" style="108" bestFit="1" customWidth="1"/>
  </cols>
  <sheetData>
    <row r="1" spans="1:13" ht="15" customHeight="1" x14ac:dyDescent="0.25">
      <c r="A1" s="9" t="s">
        <v>165</v>
      </c>
      <c r="B1" s="152" t="s">
        <v>103</v>
      </c>
      <c r="C1" s="152" t="s">
        <v>99</v>
      </c>
      <c r="D1" s="152" t="s">
        <v>101</v>
      </c>
      <c r="E1" s="150" t="s">
        <v>95</v>
      </c>
      <c r="F1" s="151" t="s">
        <v>97</v>
      </c>
      <c r="G1" s="152" t="s">
        <v>105</v>
      </c>
      <c r="H1" s="30">
        <f>COUNTA(B1:G1)</f>
        <v>6</v>
      </c>
    </row>
    <row r="2" spans="1:13" ht="30" x14ac:dyDescent="0.25">
      <c r="A2" s="12" t="s">
        <v>166</v>
      </c>
      <c r="B2" s="12"/>
      <c r="C2" s="9"/>
      <c r="D2" s="9"/>
      <c r="E2" s="9"/>
      <c r="F2" s="9"/>
      <c r="G2" s="9"/>
      <c r="H2" s="30">
        <f>COUNTIF(B2:G2, "&lt;&gt;")</f>
        <v>0</v>
      </c>
    </row>
    <row r="3" spans="1:13" x14ac:dyDescent="0.25">
      <c r="A3" s="13">
        <v>1</v>
      </c>
      <c r="B3" s="162"/>
      <c r="C3" s="162"/>
      <c r="D3" s="162"/>
      <c r="E3" s="162"/>
      <c r="F3" s="162"/>
      <c r="G3" s="162"/>
      <c r="H3" s="178"/>
    </row>
    <row r="4" spans="1:13" x14ac:dyDescent="0.25">
      <c r="A4" s="13">
        <v>2</v>
      </c>
      <c r="B4" s="162"/>
      <c r="C4" s="162"/>
      <c r="D4" s="162"/>
      <c r="E4" s="162"/>
      <c r="F4" s="162"/>
      <c r="G4" s="162"/>
      <c r="H4" s="179"/>
    </row>
    <row r="5" spans="1:13" x14ac:dyDescent="0.25">
      <c r="A5" s="13">
        <v>3</v>
      </c>
      <c r="B5" s="162"/>
      <c r="C5" s="162"/>
      <c r="D5" s="162"/>
      <c r="E5" s="162"/>
      <c r="F5" s="162"/>
      <c r="G5" s="162"/>
      <c r="H5" s="179"/>
    </row>
    <row r="6" spans="1:13" x14ac:dyDescent="0.25">
      <c r="A6" s="13">
        <v>4</v>
      </c>
      <c r="B6" s="162"/>
      <c r="C6" s="162"/>
      <c r="D6" s="162"/>
      <c r="E6" s="162"/>
      <c r="F6" s="162"/>
      <c r="G6" s="162"/>
      <c r="H6" s="179"/>
      <c r="M6" s="108" t="s">
        <v>167</v>
      </c>
    </row>
    <row r="7" spans="1:13" x14ac:dyDescent="0.25">
      <c r="A7" s="13">
        <v>5</v>
      </c>
      <c r="B7" s="162"/>
      <c r="C7" s="162"/>
      <c r="D7" s="162"/>
      <c r="E7" s="162"/>
      <c r="F7" s="162"/>
      <c r="G7" s="162"/>
      <c r="H7" s="179"/>
      <c r="M7" s="108" t="s">
        <v>168</v>
      </c>
    </row>
    <row r="8" spans="1:13" x14ac:dyDescent="0.25">
      <c r="A8" s="13">
        <v>6</v>
      </c>
      <c r="B8" s="162"/>
      <c r="C8" s="162"/>
      <c r="D8" s="162"/>
      <c r="E8" s="162"/>
      <c r="F8" s="162"/>
      <c r="G8" s="162"/>
      <c r="H8" s="179"/>
      <c r="M8" s="108" t="s">
        <v>169</v>
      </c>
    </row>
    <row r="9" spans="1:13" x14ac:dyDescent="0.25">
      <c r="A9" s="13">
        <v>7</v>
      </c>
      <c r="B9" s="162"/>
      <c r="C9" s="162"/>
      <c r="D9" s="162"/>
      <c r="E9" s="162"/>
      <c r="F9" s="162"/>
      <c r="G9" s="162"/>
      <c r="H9" s="179"/>
      <c r="M9" s="108" t="s">
        <v>170</v>
      </c>
    </row>
    <row r="10" spans="1:13" x14ac:dyDescent="0.25">
      <c r="A10" s="13">
        <v>8</v>
      </c>
      <c r="B10" s="162"/>
      <c r="C10" s="162"/>
      <c r="D10" s="162"/>
      <c r="E10" s="162"/>
      <c r="F10" s="162"/>
      <c r="G10" s="162"/>
      <c r="H10" s="179"/>
      <c r="M10" s="108" t="s">
        <v>171</v>
      </c>
    </row>
    <row r="11" spans="1:13" x14ac:dyDescent="0.25">
      <c r="A11" s="13">
        <v>9</v>
      </c>
      <c r="B11" s="162"/>
      <c r="C11" s="162"/>
      <c r="D11" s="162"/>
      <c r="E11" s="162"/>
      <c r="F11" s="162"/>
      <c r="G11" s="162"/>
      <c r="H11" s="179"/>
      <c r="M11" s="108" t="s">
        <v>172</v>
      </c>
    </row>
    <row r="12" spans="1:13" x14ac:dyDescent="0.25">
      <c r="A12" s="13">
        <v>10</v>
      </c>
      <c r="B12" s="162"/>
      <c r="C12" s="162"/>
      <c r="D12" s="162"/>
      <c r="E12" s="162"/>
      <c r="F12" s="162"/>
      <c r="G12" s="162"/>
      <c r="H12" s="179"/>
      <c r="M12" s="108" t="s">
        <v>173</v>
      </c>
    </row>
    <row r="13" spans="1:13" x14ac:dyDescent="0.25">
      <c r="A13" s="13">
        <v>11</v>
      </c>
      <c r="B13" s="162"/>
      <c r="C13" s="162"/>
      <c r="D13" s="162"/>
      <c r="E13" s="162"/>
      <c r="F13" s="162"/>
      <c r="G13" s="162"/>
      <c r="H13" s="179"/>
    </row>
    <row r="14" spans="1:13" x14ac:dyDescent="0.25">
      <c r="A14" s="13">
        <v>12</v>
      </c>
      <c r="B14" s="162"/>
      <c r="C14" s="162"/>
      <c r="D14" s="162"/>
      <c r="E14" s="162"/>
      <c r="F14" s="162"/>
      <c r="G14" s="162"/>
      <c r="H14" s="179"/>
    </row>
    <row r="15" spans="1:13" x14ac:dyDescent="0.25">
      <c r="A15" s="13">
        <v>13</v>
      </c>
      <c r="B15" s="162"/>
      <c r="C15" s="162"/>
      <c r="D15" s="162"/>
      <c r="E15" s="162"/>
      <c r="F15" s="162"/>
      <c r="G15" s="162"/>
      <c r="H15" s="179"/>
    </row>
    <row r="16" spans="1:13" x14ac:dyDescent="0.25">
      <c r="A16" s="13">
        <v>14</v>
      </c>
      <c r="B16" s="162"/>
      <c r="C16" s="162"/>
      <c r="D16" s="162"/>
      <c r="E16" s="162"/>
      <c r="F16" s="162"/>
      <c r="G16" s="162"/>
      <c r="H16" s="179"/>
    </row>
    <row r="17" spans="1:8" x14ac:dyDescent="0.25">
      <c r="A17" s="13">
        <v>15</v>
      </c>
      <c r="B17" s="162"/>
      <c r="C17" s="162"/>
      <c r="D17" s="162"/>
      <c r="E17" s="162"/>
      <c r="F17" s="162"/>
      <c r="G17" s="162"/>
      <c r="H17" s="179"/>
    </row>
    <row r="18" spans="1:8" x14ac:dyDescent="0.25">
      <c r="A18" s="13">
        <v>16</v>
      </c>
      <c r="B18" s="162"/>
      <c r="C18" s="162"/>
      <c r="D18" s="162"/>
      <c r="E18" s="162"/>
      <c r="F18" s="162"/>
      <c r="G18" s="162"/>
      <c r="H18" s="179"/>
    </row>
    <row r="19" spans="1:8" x14ac:dyDescent="0.25">
      <c r="A19" s="13">
        <v>17</v>
      </c>
      <c r="B19" s="162"/>
      <c r="C19" s="162"/>
      <c r="D19" s="162"/>
      <c r="E19" s="162"/>
      <c r="F19" s="162"/>
      <c r="G19" s="162"/>
      <c r="H19" s="179"/>
    </row>
    <row r="20" spans="1:8" x14ac:dyDescent="0.25">
      <c r="A20" s="13">
        <v>18</v>
      </c>
      <c r="B20" s="162"/>
      <c r="C20" s="162"/>
      <c r="D20" s="162"/>
      <c r="E20" s="162"/>
      <c r="F20" s="162"/>
      <c r="G20" s="162"/>
      <c r="H20" s="179"/>
    </row>
    <row r="21" spans="1:8" x14ac:dyDescent="0.25">
      <c r="A21" s="13">
        <v>19</v>
      </c>
      <c r="B21" s="162"/>
      <c r="C21" s="162"/>
      <c r="D21" s="162"/>
      <c r="E21" s="162"/>
      <c r="F21" s="162"/>
      <c r="G21" s="162"/>
      <c r="H21" s="179"/>
    </row>
    <row r="22" spans="1:8" x14ac:dyDescent="0.25">
      <c r="A22" s="13">
        <v>20</v>
      </c>
      <c r="B22" s="162"/>
      <c r="C22" s="162"/>
      <c r="D22" s="162"/>
      <c r="E22" s="162"/>
      <c r="F22" s="162"/>
      <c r="G22" s="162"/>
      <c r="H22" s="179"/>
    </row>
    <row r="23" spans="1:8" x14ac:dyDescent="0.25">
      <c r="A23" s="110">
        <v>21</v>
      </c>
      <c r="B23" s="168"/>
      <c r="C23" s="168"/>
      <c r="D23" s="168"/>
      <c r="E23" s="168"/>
      <c r="F23" s="168"/>
      <c r="G23" s="168"/>
      <c r="H23" s="179"/>
    </row>
    <row r="24" spans="1:8" x14ac:dyDescent="0.25">
      <c r="A24" s="110">
        <v>22</v>
      </c>
      <c r="B24" s="168"/>
      <c r="C24" s="168"/>
      <c r="D24" s="168"/>
      <c r="E24" s="168"/>
      <c r="F24" s="168"/>
      <c r="G24" s="168"/>
      <c r="H24" s="179"/>
    </row>
    <row r="25" spans="1:8" x14ac:dyDescent="0.25">
      <c r="A25" s="110">
        <v>23</v>
      </c>
      <c r="B25" s="168"/>
      <c r="C25" s="168"/>
      <c r="D25" s="168"/>
      <c r="E25" s="168"/>
      <c r="F25" s="168"/>
      <c r="G25" s="168"/>
      <c r="H25" s="179"/>
    </row>
    <row r="26" spans="1:8" x14ac:dyDescent="0.25">
      <c r="A26" s="110">
        <v>24</v>
      </c>
      <c r="B26" s="168"/>
      <c r="C26" s="168"/>
      <c r="D26" s="168"/>
      <c r="E26" s="168"/>
      <c r="F26" s="168"/>
      <c r="G26" s="168"/>
      <c r="H26" s="179"/>
    </row>
    <row r="27" spans="1:8" x14ac:dyDescent="0.25">
      <c r="A27" s="110">
        <v>25</v>
      </c>
      <c r="B27" s="168"/>
      <c r="C27" s="168"/>
      <c r="D27" s="168"/>
      <c r="E27" s="168"/>
      <c r="F27" s="168"/>
      <c r="G27" s="168"/>
      <c r="H27" s="179"/>
    </row>
    <row r="28" spans="1:8" x14ac:dyDescent="0.25">
      <c r="A28" s="110">
        <v>26</v>
      </c>
      <c r="B28" s="168"/>
      <c r="C28" s="168"/>
      <c r="D28" s="168"/>
      <c r="E28" s="168"/>
      <c r="F28" s="168"/>
      <c r="G28" s="168"/>
      <c r="H28" s="179"/>
    </row>
    <row r="29" spans="1:8" x14ac:dyDescent="0.25">
      <c r="A29" s="110">
        <v>27</v>
      </c>
      <c r="B29" s="168"/>
      <c r="C29" s="168"/>
      <c r="D29" s="168"/>
      <c r="E29" s="168"/>
      <c r="F29" s="168"/>
      <c r="G29" s="168"/>
      <c r="H29" s="179"/>
    </row>
    <row r="30" spans="1:8" x14ac:dyDescent="0.25">
      <c r="A30" s="110">
        <v>28</v>
      </c>
      <c r="B30" s="168"/>
      <c r="C30" s="168"/>
      <c r="D30" s="168"/>
      <c r="E30" s="168"/>
      <c r="F30" s="168"/>
      <c r="G30" s="168"/>
      <c r="H30" s="179"/>
    </row>
    <row r="31" spans="1:8" x14ac:dyDescent="0.25">
      <c r="A31" s="110">
        <v>29</v>
      </c>
      <c r="B31" s="168"/>
      <c r="C31" s="168"/>
      <c r="D31" s="168"/>
      <c r="E31" s="168"/>
      <c r="F31" s="168"/>
      <c r="G31" s="168"/>
      <c r="H31" s="179"/>
    </row>
    <row r="32" spans="1:8" x14ac:dyDescent="0.25">
      <c r="A32" s="110">
        <v>30</v>
      </c>
      <c r="B32" s="168"/>
      <c r="C32" s="168"/>
      <c r="D32" s="168"/>
      <c r="E32" s="168"/>
      <c r="F32" s="168"/>
      <c r="G32" s="168"/>
      <c r="H32" s="179"/>
    </row>
    <row r="33" spans="1:11" x14ac:dyDescent="0.25">
      <c r="A33" s="110">
        <v>31</v>
      </c>
      <c r="B33" s="168"/>
      <c r="C33" s="168"/>
      <c r="D33" s="168"/>
      <c r="E33" s="168"/>
      <c r="F33" s="168"/>
      <c r="G33" s="168"/>
      <c r="H33" s="179"/>
    </row>
    <row r="34" spans="1:11" x14ac:dyDescent="0.25">
      <c r="A34" s="110">
        <v>32</v>
      </c>
      <c r="B34" s="168"/>
      <c r="C34" s="168"/>
      <c r="D34" s="168"/>
      <c r="E34" s="168"/>
      <c r="F34" s="168"/>
      <c r="G34" s="168"/>
      <c r="H34" s="179"/>
    </row>
    <row r="35" spans="1:11" x14ac:dyDescent="0.25">
      <c r="A35" s="110">
        <v>33</v>
      </c>
      <c r="B35" s="168"/>
      <c r="C35" s="168"/>
      <c r="D35" s="168"/>
      <c r="E35" s="168"/>
      <c r="F35" s="168"/>
      <c r="G35" s="168"/>
      <c r="H35" s="179"/>
    </row>
    <row r="36" spans="1:11" x14ac:dyDescent="0.25">
      <c r="A36" s="110">
        <v>34</v>
      </c>
      <c r="B36" s="168"/>
      <c r="C36" s="168"/>
      <c r="D36" s="168"/>
      <c r="E36" s="168"/>
      <c r="F36" s="168"/>
      <c r="G36" s="168"/>
      <c r="H36" s="179"/>
    </row>
    <row r="37" spans="1:11" x14ac:dyDescent="0.25">
      <c r="A37" s="110">
        <v>35</v>
      </c>
      <c r="B37" s="168"/>
      <c r="C37" s="168"/>
      <c r="D37" s="168"/>
      <c r="E37" s="168"/>
      <c r="F37" s="168"/>
      <c r="G37" s="168"/>
      <c r="H37" s="179"/>
    </row>
    <row r="38" spans="1:11" x14ac:dyDescent="0.25">
      <c r="A38" s="110">
        <v>36</v>
      </c>
      <c r="B38" s="168"/>
      <c r="C38" s="168"/>
      <c r="D38" s="168"/>
      <c r="E38" s="168"/>
      <c r="F38" s="168"/>
      <c r="G38" s="168"/>
      <c r="H38" s="179"/>
    </row>
    <row r="39" spans="1:11" x14ac:dyDescent="0.25">
      <c r="A39" s="110">
        <v>37</v>
      </c>
      <c r="B39" s="168"/>
      <c r="C39" s="168"/>
      <c r="D39" s="168"/>
      <c r="E39" s="168"/>
      <c r="F39" s="168"/>
      <c r="G39" s="168"/>
      <c r="H39" s="179"/>
    </row>
    <row r="40" spans="1:11" x14ac:dyDescent="0.25">
      <c r="A40" s="110">
        <v>38</v>
      </c>
      <c r="B40" s="168"/>
      <c r="C40" s="168"/>
      <c r="D40" s="168"/>
      <c r="E40" s="168"/>
      <c r="F40" s="168"/>
      <c r="G40" s="168"/>
      <c r="H40" s="179"/>
    </row>
    <row r="41" spans="1:11" x14ac:dyDescent="0.25">
      <c r="A41" s="110">
        <v>39</v>
      </c>
      <c r="B41" s="168"/>
      <c r="C41" s="168"/>
      <c r="D41" s="168"/>
      <c r="E41" s="168"/>
      <c r="F41" s="168"/>
      <c r="G41" s="168"/>
      <c r="H41" s="179"/>
    </row>
    <row r="42" spans="1:11" ht="15.75" thickBot="1" x14ac:dyDescent="0.3">
      <c r="A42" s="110">
        <v>40</v>
      </c>
      <c r="B42" s="168"/>
      <c r="C42" s="168"/>
      <c r="D42" s="168"/>
      <c r="E42" s="168"/>
      <c r="F42" s="168"/>
      <c r="G42" s="168"/>
      <c r="H42" s="180"/>
    </row>
    <row r="43" spans="1:11" ht="15.75" thickTop="1" x14ac:dyDescent="0.25">
      <c r="A43" s="34" t="s">
        <v>13</v>
      </c>
      <c r="B43" s="164" t="e">
        <f>AVERAGE(B3:B42)</f>
        <v>#DIV/0!</v>
      </c>
      <c r="C43" s="164" t="e">
        <f t="shared" ref="C43:G43" si="0">AVERAGE(C3:C42)</f>
        <v>#DIV/0!</v>
      </c>
      <c r="D43" s="164" t="e">
        <f t="shared" si="0"/>
        <v>#DIV/0!</v>
      </c>
      <c r="E43" s="164" t="e">
        <f t="shared" si="0"/>
        <v>#DIV/0!</v>
      </c>
      <c r="F43" s="164" t="e">
        <f t="shared" si="0"/>
        <v>#DIV/0!</v>
      </c>
      <c r="G43" s="164" t="e">
        <f t="shared" si="0"/>
        <v>#DIV/0!</v>
      </c>
      <c r="H43" s="17"/>
    </row>
    <row r="44" spans="1:11" x14ac:dyDescent="0.25">
      <c r="A44" s="36" t="s">
        <v>174</v>
      </c>
      <c r="B44" s="162" t="e">
        <f>AVERAGEIF(B43:G43, "&lt;&gt;#DIV/0!")</f>
        <v>#DIV/0!</v>
      </c>
      <c r="C44" s="162"/>
      <c r="D44" s="162"/>
      <c r="E44" s="162"/>
      <c r="F44" s="162"/>
      <c r="G44" s="162"/>
      <c r="H44" s="14"/>
    </row>
    <row r="45" spans="1:11" x14ac:dyDescent="0.25">
      <c r="A45" s="36" t="s">
        <v>175</v>
      </c>
      <c r="B45" s="32">
        <f>COUNTIF(B3:B42, "&lt;&gt;")</f>
        <v>0</v>
      </c>
      <c r="C45" s="32">
        <f t="shared" ref="C45:G45" si="1">COUNTIF(C3:C42, "&lt;&gt;")</f>
        <v>0</v>
      </c>
      <c r="D45" s="32">
        <f t="shared" si="1"/>
        <v>0</v>
      </c>
      <c r="E45" s="32">
        <f t="shared" si="1"/>
        <v>0</v>
      </c>
      <c r="F45" s="32">
        <f t="shared" si="1"/>
        <v>0</v>
      </c>
      <c r="G45" s="32">
        <f t="shared" si="1"/>
        <v>0</v>
      </c>
      <c r="H45" s="98"/>
    </row>
    <row r="46" spans="1:11" x14ac:dyDescent="0.25">
      <c r="A46" s="92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1" x14ac:dyDescent="0.25">
      <c r="A47" s="9"/>
      <c r="B47" s="19" t="s">
        <v>176</v>
      </c>
      <c r="C47" s="19" t="s">
        <v>177</v>
      </c>
      <c r="D47" s="19" t="s">
        <v>178</v>
      </c>
      <c r="E47" s="19" t="s">
        <v>179</v>
      </c>
      <c r="F47" s="19" t="s">
        <v>180</v>
      </c>
      <c r="G47" s="19" t="s">
        <v>181</v>
      </c>
      <c r="H47" s="20" t="s">
        <v>182</v>
      </c>
      <c r="I47" s="20" t="s">
        <v>60</v>
      </c>
    </row>
    <row r="48" spans="1:11" x14ac:dyDescent="0.25">
      <c r="A48" s="101" t="s">
        <v>183</v>
      </c>
      <c r="B48" s="13">
        <f>COUNTIF($E$2, "A")</f>
        <v>0</v>
      </c>
      <c r="C48" s="13">
        <f>COUNTIF($E$2, "Q")</f>
        <v>0</v>
      </c>
      <c r="D48" s="13">
        <f>COUNTIF($E$2, "M")</f>
        <v>0</v>
      </c>
      <c r="E48" s="13">
        <f>COUNTIF($E$2, "F")</f>
        <v>0</v>
      </c>
      <c r="F48" s="13">
        <f>COUNTIF($E$2, "P")</f>
        <v>0</v>
      </c>
      <c r="G48" s="13">
        <f>COUNTIF($E$2, "L")</f>
        <v>0</v>
      </c>
      <c r="H48" s="13">
        <f>COUNTIF($E$2, "OT")</f>
        <v>0</v>
      </c>
      <c r="I48" s="9">
        <f>SUM(B48:H48)</f>
        <v>0</v>
      </c>
    </row>
    <row r="49" spans="1:9" x14ac:dyDescent="0.25">
      <c r="A49" s="102" t="s">
        <v>184</v>
      </c>
      <c r="B49" s="13">
        <f>COUNTIF($F$2, "A")</f>
        <v>0</v>
      </c>
      <c r="C49" s="13">
        <f>COUNTIF($F$2, "Q")</f>
        <v>0</v>
      </c>
      <c r="D49" s="13">
        <f>COUNTIF($F$2, "M")</f>
        <v>0</v>
      </c>
      <c r="E49" s="13">
        <f>COUNTIF($F$2, "F")</f>
        <v>0</v>
      </c>
      <c r="F49" s="13">
        <f>COUNTIF($F$2, "P")</f>
        <v>0</v>
      </c>
      <c r="G49" s="13">
        <f>COUNTIF($F$2, "L")</f>
        <v>0</v>
      </c>
      <c r="H49" s="13">
        <f>COUNTIF($F$2, "OT")</f>
        <v>0</v>
      </c>
      <c r="I49" s="9">
        <f>SUM(B49:H49)</f>
        <v>0</v>
      </c>
    </row>
    <row r="50" spans="1:9" x14ac:dyDescent="0.25">
      <c r="A50" s="103" t="s">
        <v>185</v>
      </c>
      <c r="B50" s="13">
        <f>COUNTIF($B$2:$D$2, "A") + COUNTIF($G$2, "A")</f>
        <v>0</v>
      </c>
      <c r="C50" s="13">
        <f>COUNTIF($B$2:$D$2, "Q") + COUNTIF($G$2, "Q")</f>
        <v>0</v>
      </c>
      <c r="D50" s="13">
        <f>COUNTIF($B$2:$D$2, "M") + COUNTIF($G$2, "M")</f>
        <v>0</v>
      </c>
      <c r="E50" s="13">
        <f>COUNTIF($B$2:$D$2, "F") + COUNTIF($G$2, "F")</f>
        <v>0</v>
      </c>
      <c r="F50" s="13">
        <f>COUNTIF($B$2:$D$2, "P") + COUNTIF($G$2, "P")</f>
        <v>0</v>
      </c>
      <c r="G50" s="13">
        <f>COUNTIF($B$2:$D$2, "L") + COUNTIF($G$2, "L")</f>
        <v>0</v>
      </c>
      <c r="H50" s="13">
        <f>COUNTIF($B$2:$D$2, "OT") + COUNTIF($G$2, "OT")</f>
        <v>0</v>
      </c>
      <c r="I50" s="9">
        <f>SUM(B50:H50)</f>
        <v>0</v>
      </c>
    </row>
    <row r="51" spans="1:9" x14ac:dyDescent="0.25">
      <c r="A51" s="19" t="s">
        <v>60</v>
      </c>
      <c r="B51" s="9">
        <f>SUM(B48:B50)</f>
        <v>0</v>
      </c>
      <c r="C51" s="9">
        <f t="shared" ref="C51:D51" si="2">SUM(C48:C50)</f>
        <v>0</v>
      </c>
      <c r="D51" s="9">
        <f t="shared" si="2"/>
        <v>0</v>
      </c>
      <c r="E51" s="9">
        <f>SUM(E48:E50)</f>
        <v>0</v>
      </c>
      <c r="F51" s="9">
        <f>SUM(F48:F50)</f>
        <v>0</v>
      </c>
      <c r="G51" s="9">
        <f>SUM(G48:G50)</f>
        <v>0</v>
      </c>
      <c r="H51" s="9">
        <f>SUM(H48:H50)</f>
        <v>0</v>
      </c>
      <c r="I51" s="9">
        <f>SUM(I48:I50)</f>
        <v>0</v>
      </c>
    </row>
    <row r="53" spans="1:9" ht="18.75" thickBot="1" x14ac:dyDescent="0.3">
      <c r="A53" s="87" t="s">
        <v>186</v>
      </c>
      <c r="B53" s="87"/>
      <c r="C53" s="87"/>
      <c r="D53" s="87"/>
      <c r="F53" s="87"/>
      <c r="G53" s="87"/>
      <c r="I53" s="21"/>
    </row>
    <row r="54" spans="1:9" ht="16.5" customHeight="1" thickBot="1" x14ac:dyDescent="0.3">
      <c r="A54" s="111" t="s">
        <v>25</v>
      </c>
      <c r="B54" s="152" t="s">
        <v>103</v>
      </c>
      <c r="C54" s="152" t="s">
        <v>99</v>
      </c>
      <c r="D54" s="152" t="s">
        <v>101</v>
      </c>
      <c r="E54" s="150" t="s">
        <v>95</v>
      </c>
      <c r="F54" s="151" t="s">
        <v>97</v>
      </c>
      <c r="G54" s="152" t="s">
        <v>105</v>
      </c>
      <c r="H54" s="40" t="s">
        <v>13</v>
      </c>
    </row>
    <row r="55" spans="1:9" ht="16.5" thickBot="1" x14ac:dyDescent="0.3">
      <c r="A55" s="112" t="s">
        <v>27</v>
      </c>
      <c r="B55" s="117" t="e">
        <f>(COUNTIF(B3:B42, "&lt;=59%"))/B45</f>
        <v>#DIV/0!</v>
      </c>
      <c r="C55" s="117" t="e">
        <f t="shared" ref="C55:G55" si="3">(COUNTIF(C3:C42, "&lt;=59%"))/C45</f>
        <v>#DIV/0!</v>
      </c>
      <c r="D55" s="117" t="e">
        <f t="shared" si="3"/>
        <v>#DIV/0!</v>
      </c>
      <c r="E55" s="117" t="e">
        <f t="shared" si="3"/>
        <v>#DIV/0!</v>
      </c>
      <c r="F55" s="117" t="e">
        <f t="shared" si="3"/>
        <v>#DIV/0!</v>
      </c>
      <c r="G55" s="117" t="e">
        <f t="shared" si="3"/>
        <v>#DIV/0!</v>
      </c>
      <c r="H55" s="88" t="e">
        <f>AVERAGEIF(B55:G55, "&lt;&gt;#DIV/0!")</f>
        <v>#DIV/0!</v>
      </c>
    </row>
    <row r="56" spans="1:9" ht="16.5" thickBot="1" x14ac:dyDescent="0.3">
      <c r="A56" s="113" t="s">
        <v>29</v>
      </c>
      <c r="B56" s="120" t="e">
        <f>(COUNTIFS(B3:B42, "&gt;= 60%", B3:B42, "&lt;=69%" ))/B45</f>
        <v>#DIV/0!</v>
      </c>
      <c r="C56" s="120" t="e">
        <f t="shared" ref="C56:G56" si="4">(COUNTIFS(C3:C42, "&gt;= 60%", C3:C42, "&lt;=69%" ))/C45</f>
        <v>#DIV/0!</v>
      </c>
      <c r="D56" s="120" t="e">
        <f t="shared" si="4"/>
        <v>#DIV/0!</v>
      </c>
      <c r="E56" s="120" t="e">
        <f t="shared" si="4"/>
        <v>#DIV/0!</v>
      </c>
      <c r="F56" s="120" t="e">
        <f t="shared" si="4"/>
        <v>#DIV/0!</v>
      </c>
      <c r="G56" s="120" t="e">
        <f t="shared" si="4"/>
        <v>#DIV/0!</v>
      </c>
      <c r="H56" s="88" t="e">
        <f t="shared" ref="H56:H58" si="5">AVERAGEIF(B56:G56, "&lt;&gt;#DIV/0!")</f>
        <v>#DIV/0!</v>
      </c>
    </row>
    <row r="57" spans="1:9" ht="16.5" thickBot="1" x14ac:dyDescent="0.3">
      <c r="A57" s="114" t="s">
        <v>31</v>
      </c>
      <c r="B57" s="120" t="e">
        <f>(COUNTIFS(B3:B42, "&gt;= 70%", B3:B42, "&lt;=79%" ))/B45</f>
        <v>#DIV/0!</v>
      </c>
      <c r="C57" s="120" t="e">
        <f t="shared" ref="C57:G57" si="6">(COUNTIFS(C3:C42, "&gt;= 70%", C3:C42, "&lt;=79%" ))/C45</f>
        <v>#DIV/0!</v>
      </c>
      <c r="D57" s="120" t="e">
        <f t="shared" si="6"/>
        <v>#DIV/0!</v>
      </c>
      <c r="E57" s="120" t="e">
        <f t="shared" si="6"/>
        <v>#DIV/0!</v>
      </c>
      <c r="F57" s="120" t="e">
        <f t="shared" si="6"/>
        <v>#DIV/0!</v>
      </c>
      <c r="G57" s="120" t="e">
        <f t="shared" si="6"/>
        <v>#DIV/0!</v>
      </c>
      <c r="H57" s="88" t="e">
        <f t="shared" si="5"/>
        <v>#DIV/0!</v>
      </c>
    </row>
    <row r="58" spans="1:9" ht="16.5" thickBot="1" x14ac:dyDescent="0.3">
      <c r="A58" s="115" t="s">
        <v>33</v>
      </c>
      <c r="B58" s="120" t="e">
        <f>(COUNTIF(B3:B42,"&gt;= 80%")/B45)</f>
        <v>#DIV/0!</v>
      </c>
      <c r="C58" s="120" t="e">
        <f t="shared" ref="C58:G58" si="7">(COUNTIF(C3:C42,"&gt;= 80%")/C45)</f>
        <v>#DIV/0!</v>
      </c>
      <c r="D58" s="120" t="e">
        <f t="shared" si="7"/>
        <v>#DIV/0!</v>
      </c>
      <c r="E58" s="120" t="e">
        <f t="shared" si="7"/>
        <v>#DIV/0!</v>
      </c>
      <c r="F58" s="120" t="e">
        <f t="shared" si="7"/>
        <v>#DIV/0!</v>
      </c>
      <c r="G58" s="120" t="e">
        <f t="shared" si="7"/>
        <v>#DIV/0!</v>
      </c>
      <c r="H58" s="88" t="e">
        <f t="shared" si="5"/>
        <v>#DIV/0!</v>
      </c>
    </row>
    <row r="59" spans="1:9" ht="15.75" thickBot="1" x14ac:dyDescent="0.3">
      <c r="A59" s="124"/>
      <c r="B59" s="121">
        <f>SUMIF(B55:B58, "&lt;&gt;#DIV/0!")</f>
        <v>0</v>
      </c>
      <c r="C59" s="130">
        <f t="shared" ref="C59" si="8">SUMIF(C55:C58, "&lt;&gt;#DIV/0!")</f>
        <v>0</v>
      </c>
      <c r="D59" s="130">
        <f t="shared" ref="D59:G59" si="9">SUMIF(D55:D58, "&lt;&gt;#DIV/0!")</f>
        <v>0</v>
      </c>
      <c r="E59" s="130">
        <f t="shared" si="9"/>
        <v>0</v>
      </c>
      <c r="F59" s="130">
        <f t="shared" si="9"/>
        <v>0</v>
      </c>
      <c r="G59" s="130">
        <f t="shared" si="9"/>
        <v>0</v>
      </c>
      <c r="H59" s="130">
        <f>SUMIF(H55:H58, "&lt;&gt;#DIV/0!")</f>
        <v>0</v>
      </c>
    </row>
    <row r="60" spans="1:9" ht="15.75" thickBot="1" x14ac:dyDescent="0.3"/>
    <row r="61" spans="1:9" ht="15.75" thickBot="1" x14ac:dyDescent="0.3">
      <c r="A61" s="25"/>
      <c r="B61" s="42" t="s">
        <v>187</v>
      </c>
      <c r="C61" s="42" t="s">
        <v>188</v>
      </c>
    </row>
    <row r="62" spans="1:9" ht="16.5" thickBot="1" x14ac:dyDescent="0.3">
      <c r="A62" s="38" t="s">
        <v>33</v>
      </c>
      <c r="B62" s="44" t="s">
        <v>189</v>
      </c>
      <c r="C62" s="43">
        <v>100</v>
      </c>
    </row>
    <row r="63" spans="1:9" ht="16.5" thickBot="1" x14ac:dyDescent="0.3">
      <c r="A63" s="38" t="s">
        <v>31</v>
      </c>
      <c r="B63" s="44" t="s">
        <v>190</v>
      </c>
      <c r="C63" s="43">
        <v>79</v>
      </c>
    </row>
    <row r="64" spans="1:9" ht="16.5" thickBot="1" x14ac:dyDescent="0.3">
      <c r="A64" s="38" t="s">
        <v>29</v>
      </c>
      <c r="B64" s="44" t="s">
        <v>191</v>
      </c>
      <c r="C64" s="43">
        <v>69</v>
      </c>
    </row>
    <row r="65" spans="1:3" ht="16.5" thickBot="1" x14ac:dyDescent="0.3">
      <c r="A65" s="38" t="s">
        <v>27</v>
      </c>
      <c r="B65" s="44" t="s">
        <v>192</v>
      </c>
      <c r="C65" s="43">
        <v>59</v>
      </c>
    </row>
  </sheetData>
  <mergeCells count="1">
    <mergeCell ref="H3:H42"/>
  </mergeCells>
  <phoneticPr fontId="11" type="noConversion"/>
  <conditionalFormatting sqref="E3:E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5" priority="2" operator="greaterThanOrEqual">
      <formula>80</formula>
    </cfRule>
    <cfRule type="containsBlanks" dxfId="64" priority="3" stopIfTrue="1">
      <formula>LEN(TRIM(E3))=0</formula>
    </cfRule>
    <cfRule type="cellIs" dxfId="63" priority="4" operator="greaterThanOrEqual">
      <formula>80</formula>
    </cfRule>
    <cfRule type="cellIs" dxfId="62" priority="5" operator="between">
      <formula>70</formula>
      <formula>79</formula>
    </cfRule>
    <cfRule type="cellIs" dxfId="61" priority="6" operator="between">
      <formula>60</formula>
      <formula>69</formula>
    </cfRule>
    <cfRule type="cellIs" dxfId="60" priority="7" operator="between">
      <formula>0</formula>
      <formula>59</formula>
    </cfRule>
  </conditionalFormatting>
  <conditionalFormatting sqref="B3:D42 F3:G4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9" priority="639" operator="greaterThanOrEqual">
      <formula>80</formula>
    </cfRule>
    <cfRule type="containsBlanks" dxfId="58" priority="640" stopIfTrue="1">
      <formula>LEN(TRIM(B3))=0</formula>
    </cfRule>
    <cfRule type="cellIs" dxfId="57" priority="641" operator="greaterThanOrEqual">
      <formula>80</formula>
    </cfRule>
    <cfRule type="cellIs" dxfId="56" priority="642" operator="between">
      <formula>70</formula>
      <formula>79</formula>
    </cfRule>
    <cfRule type="cellIs" dxfId="55" priority="643" operator="between">
      <formula>60</formula>
      <formula>69</formula>
    </cfRule>
    <cfRule type="cellIs" dxfId="54" priority="644" operator="between">
      <formula>0</formula>
      <formula>59</formula>
    </cfRule>
  </conditionalFormatting>
  <dataValidations count="1">
    <dataValidation type="list" allowBlank="1" showInputMessage="1" showErrorMessage="1" sqref="B2:G2" xr:uid="{08F0A79A-5877-4A35-B8B4-6CBABE902CF1}">
      <formula1>$M$6:$M$13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F780B-F7FD-4BF4-A995-533A5C7F4ED0}">
  <dimension ref="A1:L65"/>
  <sheetViews>
    <sheetView topLeftCell="A29" zoomScale="70" zoomScaleNormal="70" workbookViewId="0">
      <selection activeCell="B55" sqref="B55:B58"/>
    </sheetView>
  </sheetViews>
  <sheetFormatPr defaultRowHeight="15" x14ac:dyDescent="0.25"/>
  <cols>
    <col min="1" max="1" width="44.85546875" bestFit="1" customWidth="1"/>
    <col min="2" max="2" width="18.85546875" bestFit="1" customWidth="1"/>
    <col min="3" max="3" width="14.5703125" bestFit="1" customWidth="1"/>
    <col min="4" max="4" width="15.85546875" bestFit="1" customWidth="1"/>
    <col min="5" max="5" width="17.7109375" bestFit="1" customWidth="1"/>
    <col min="6" max="7" width="15" bestFit="1" customWidth="1"/>
    <col min="8" max="8" width="17.7109375" bestFit="1" customWidth="1"/>
    <col min="9" max="9" width="15" bestFit="1" customWidth="1"/>
    <col min="10" max="10" width="9.28515625" bestFit="1" customWidth="1"/>
  </cols>
  <sheetData>
    <row r="1" spans="1:12" x14ac:dyDescent="0.25">
      <c r="A1" s="9" t="s">
        <v>165</v>
      </c>
      <c r="B1" s="151" t="s">
        <v>111</v>
      </c>
      <c r="C1" s="150" t="s">
        <v>107</v>
      </c>
      <c r="D1" s="151" t="s">
        <v>109</v>
      </c>
      <c r="E1" s="152" t="s">
        <v>115</v>
      </c>
      <c r="F1" s="151" t="s">
        <v>113</v>
      </c>
      <c r="G1" s="152" t="s">
        <v>117</v>
      </c>
      <c r="H1" s="152" t="s">
        <v>119</v>
      </c>
      <c r="I1" s="151" t="s">
        <v>121</v>
      </c>
      <c r="J1" s="30">
        <f>COUNTA(B1:I1)</f>
        <v>8</v>
      </c>
    </row>
    <row r="2" spans="1:12" ht="30" x14ac:dyDescent="0.25">
      <c r="A2" s="12" t="s">
        <v>166</v>
      </c>
      <c r="B2" s="9"/>
      <c r="C2" s="9"/>
      <c r="D2" s="9"/>
      <c r="E2" s="9"/>
      <c r="F2" s="9"/>
      <c r="G2" s="9"/>
      <c r="H2" s="9"/>
      <c r="I2" s="9"/>
      <c r="J2" s="30">
        <f>COUNTIF(B2:I2, "&lt;&gt;")</f>
        <v>0</v>
      </c>
    </row>
    <row r="3" spans="1:12" x14ac:dyDescent="0.25">
      <c r="A3" s="31">
        <v>1</v>
      </c>
      <c r="B3" s="162"/>
      <c r="C3" s="162"/>
      <c r="D3" s="162"/>
      <c r="E3" s="162"/>
      <c r="F3" s="162"/>
      <c r="G3" s="162"/>
      <c r="H3" s="162"/>
      <c r="I3" s="162"/>
      <c r="J3" s="181"/>
    </row>
    <row r="4" spans="1:12" x14ac:dyDescent="0.25">
      <c r="A4" s="31">
        <v>2</v>
      </c>
      <c r="B4" s="162"/>
      <c r="C4" s="162"/>
      <c r="D4" s="162"/>
      <c r="E4" s="162"/>
      <c r="F4" s="162"/>
      <c r="G4" s="162"/>
      <c r="H4" s="162"/>
      <c r="I4" s="162"/>
      <c r="J4" s="182"/>
    </row>
    <row r="5" spans="1:12" x14ac:dyDescent="0.25">
      <c r="A5" s="31">
        <v>3</v>
      </c>
      <c r="B5" s="162"/>
      <c r="C5" s="162"/>
      <c r="D5" s="162"/>
      <c r="E5" s="162"/>
      <c r="F5" s="162"/>
      <c r="G5" s="162"/>
      <c r="H5" s="162"/>
      <c r="I5" s="162"/>
      <c r="J5" s="182"/>
    </row>
    <row r="6" spans="1:12" x14ac:dyDescent="0.25">
      <c r="A6" s="31">
        <v>4</v>
      </c>
      <c r="B6" s="162"/>
      <c r="C6" s="162"/>
      <c r="D6" s="162"/>
      <c r="E6" s="162"/>
      <c r="F6" s="162"/>
      <c r="G6" s="162"/>
      <c r="H6" s="162"/>
      <c r="I6" s="162"/>
      <c r="J6" s="182"/>
      <c r="L6" s="108" t="s">
        <v>167</v>
      </c>
    </row>
    <row r="7" spans="1:12" x14ac:dyDescent="0.25">
      <c r="A7" s="31">
        <v>5</v>
      </c>
      <c r="B7" s="162"/>
      <c r="C7" s="162"/>
      <c r="D7" s="162"/>
      <c r="E7" s="162"/>
      <c r="F7" s="162"/>
      <c r="G7" s="162"/>
      <c r="H7" s="162"/>
      <c r="I7" s="162"/>
      <c r="J7" s="182"/>
      <c r="L7" s="108" t="s">
        <v>168</v>
      </c>
    </row>
    <row r="8" spans="1:12" x14ac:dyDescent="0.25">
      <c r="A8" s="31">
        <v>6</v>
      </c>
      <c r="B8" s="162"/>
      <c r="C8" s="162"/>
      <c r="D8" s="162"/>
      <c r="E8" s="162"/>
      <c r="F8" s="162"/>
      <c r="G8" s="162"/>
      <c r="H8" s="162"/>
      <c r="I8" s="162"/>
      <c r="J8" s="182"/>
      <c r="L8" s="108" t="s">
        <v>169</v>
      </c>
    </row>
    <row r="9" spans="1:12" x14ac:dyDescent="0.25">
      <c r="A9" s="31">
        <v>7</v>
      </c>
      <c r="B9" s="162"/>
      <c r="C9" s="162"/>
      <c r="D9" s="162"/>
      <c r="E9" s="162"/>
      <c r="F9" s="162"/>
      <c r="G9" s="162"/>
      <c r="H9" s="162"/>
      <c r="I9" s="162"/>
      <c r="J9" s="182"/>
      <c r="L9" s="108" t="s">
        <v>170</v>
      </c>
    </row>
    <row r="10" spans="1:12" x14ac:dyDescent="0.25">
      <c r="A10" s="31">
        <v>8</v>
      </c>
      <c r="B10" s="162"/>
      <c r="C10" s="162"/>
      <c r="D10" s="162"/>
      <c r="E10" s="162"/>
      <c r="F10" s="162"/>
      <c r="G10" s="162"/>
      <c r="H10" s="162"/>
      <c r="I10" s="162"/>
      <c r="J10" s="182"/>
      <c r="L10" s="108" t="s">
        <v>171</v>
      </c>
    </row>
    <row r="11" spans="1:12" x14ac:dyDescent="0.25">
      <c r="A11" s="31">
        <v>9</v>
      </c>
      <c r="B11" s="162"/>
      <c r="C11" s="162"/>
      <c r="D11" s="162"/>
      <c r="E11" s="162"/>
      <c r="F11" s="162"/>
      <c r="G11" s="162"/>
      <c r="H11" s="162"/>
      <c r="I11" s="162"/>
      <c r="J11" s="182"/>
      <c r="L11" s="108" t="s">
        <v>172</v>
      </c>
    </row>
    <row r="12" spans="1:12" x14ac:dyDescent="0.25">
      <c r="A12" s="31">
        <v>10</v>
      </c>
      <c r="B12" s="162"/>
      <c r="C12" s="162"/>
      <c r="D12" s="162"/>
      <c r="E12" s="162"/>
      <c r="F12" s="162"/>
      <c r="G12" s="162"/>
      <c r="H12" s="162"/>
      <c r="I12" s="162"/>
      <c r="J12" s="182"/>
      <c r="L12" s="108" t="s">
        <v>173</v>
      </c>
    </row>
    <row r="13" spans="1:12" x14ac:dyDescent="0.25">
      <c r="A13" s="31">
        <v>11</v>
      </c>
      <c r="B13" s="162"/>
      <c r="C13" s="162"/>
      <c r="D13" s="162"/>
      <c r="E13" s="162"/>
      <c r="F13" s="162"/>
      <c r="G13" s="162"/>
      <c r="H13" s="162"/>
      <c r="I13" s="162"/>
      <c r="J13" s="182"/>
    </row>
    <row r="14" spans="1:12" x14ac:dyDescent="0.25">
      <c r="A14" s="31">
        <v>12</v>
      </c>
      <c r="B14" s="162"/>
      <c r="C14" s="162"/>
      <c r="D14" s="162"/>
      <c r="E14" s="162"/>
      <c r="F14" s="162"/>
      <c r="G14" s="162"/>
      <c r="H14" s="162"/>
      <c r="I14" s="162"/>
      <c r="J14" s="182"/>
    </row>
    <row r="15" spans="1:12" x14ac:dyDescent="0.25">
      <c r="A15" s="31">
        <v>13</v>
      </c>
      <c r="B15" s="162"/>
      <c r="C15" s="162"/>
      <c r="D15" s="162"/>
      <c r="E15" s="162"/>
      <c r="F15" s="162"/>
      <c r="G15" s="162"/>
      <c r="H15" s="162"/>
      <c r="I15" s="162"/>
      <c r="J15" s="182"/>
    </row>
    <row r="16" spans="1:12" x14ac:dyDescent="0.25">
      <c r="A16" s="31">
        <v>14</v>
      </c>
      <c r="B16" s="162"/>
      <c r="C16" s="162"/>
      <c r="D16" s="162"/>
      <c r="E16" s="162"/>
      <c r="F16" s="162"/>
      <c r="G16" s="162"/>
      <c r="H16" s="162"/>
      <c r="I16" s="162"/>
      <c r="J16" s="182"/>
    </row>
    <row r="17" spans="1:10" x14ac:dyDescent="0.25">
      <c r="A17" s="31">
        <v>15</v>
      </c>
      <c r="B17" s="162"/>
      <c r="C17" s="162"/>
      <c r="D17" s="162"/>
      <c r="E17" s="162"/>
      <c r="F17" s="162"/>
      <c r="G17" s="162"/>
      <c r="H17" s="162"/>
      <c r="I17" s="162"/>
      <c r="J17" s="182"/>
    </row>
    <row r="18" spans="1:10" x14ac:dyDescent="0.25">
      <c r="A18" s="31">
        <v>16</v>
      </c>
      <c r="B18" s="162"/>
      <c r="C18" s="162"/>
      <c r="D18" s="162"/>
      <c r="E18" s="162"/>
      <c r="F18" s="162"/>
      <c r="G18" s="162"/>
      <c r="H18" s="162"/>
      <c r="I18" s="162"/>
      <c r="J18" s="182"/>
    </row>
    <row r="19" spans="1:10" x14ac:dyDescent="0.25">
      <c r="A19" s="31">
        <v>17</v>
      </c>
      <c r="B19" s="162"/>
      <c r="C19" s="162"/>
      <c r="D19" s="162"/>
      <c r="E19" s="162"/>
      <c r="F19" s="162"/>
      <c r="G19" s="162"/>
      <c r="H19" s="162"/>
      <c r="I19" s="162"/>
      <c r="J19" s="182"/>
    </row>
    <row r="20" spans="1:10" x14ac:dyDescent="0.25">
      <c r="A20" s="31">
        <v>18</v>
      </c>
      <c r="B20" s="162"/>
      <c r="C20" s="162"/>
      <c r="D20" s="162"/>
      <c r="E20" s="162"/>
      <c r="F20" s="162"/>
      <c r="G20" s="162"/>
      <c r="H20" s="162"/>
      <c r="I20" s="162"/>
      <c r="J20" s="182"/>
    </row>
    <row r="21" spans="1:10" x14ac:dyDescent="0.25">
      <c r="A21" s="31">
        <v>19</v>
      </c>
      <c r="B21" s="162"/>
      <c r="C21" s="162"/>
      <c r="D21" s="162"/>
      <c r="E21" s="162"/>
      <c r="F21" s="162"/>
      <c r="G21" s="162"/>
      <c r="H21" s="162"/>
      <c r="I21" s="162"/>
      <c r="J21" s="182"/>
    </row>
    <row r="22" spans="1:10" x14ac:dyDescent="0.25">
      <c r="A22" s="31">
        <v>20</v>
      </c>
      <c r="B22" s="162"/>
      <c r="C22" s="162"/>
      <c r="D22" s="162"/>
      <c r="E22" s="162"/>
      <c r="F22" s="162"/>
      <c r="G22" s="162"/>
      <c r="H22" s="162"/>
      <c r="I22" s="162"/>
      <c r="J22" s="182"/>
    </row>
    <row r="23" spans="1:10" x14ac:dyDescent="0.25">
      <c r="A23" s="31">
        <v>21</v>
      </c>
      <c r="B23" s="162"/>
      <c r="C23" s="162"/>
      <c r="D23" s="162"/>
      <c r="E23" s="162"/>
      <c r="F23" s="162"/>
      <c r="G23" s="162"/>
      <c r="H23" s="162"/>
      <c r="I23" s="162"/>
      <c r="J23" s="182"/>
    </row>
    <row r="24" spans="1:10" x14ac:dyDescent="0.25">
      <c r="A24" s="31">
        <v>22</v>
      </c>
      <c r="B24" s="162"/>
      <c r="C24" s="162"/>
      <c r="D24" s="162"/>
      <c r="E24" s="162"/>
      <c r="F24" s="162"/>
      <c r="G24" s="162"/>
      <c r="H24" s="162"/>
      <c r="I24" s="162"/>
      <c r="J24" s="182"/>
    </row>
    <row r="25" spans="1:10" x14ac:dyDescent="0.25">
      <c r="A25" s="31">
        <v>23</v>
      </c>
      <c r="B25" s="162"/>
      <c r="C25" s="162"/>
      <c r="D25" s="162"/>
      <c r="E25" s="162"/>
      <c r="F25" s="162"/>
      <c r="G25" s="162"/>
      <c r="H25" s="162"/>
      <c r="I25" s="162"/>
      <c r="J25" s="182"/>
    </row>
    <row r="26" spans="1:10" x14ac:dyDescent="0.25">
      <c r="A26" s="31">
        <v>24</v>
      </c>
      <c r="B26" s="162"/>
      <c r="C26" s="162"/>
      <c r="D26" s="162"/>
      <c r="E26" s="162"/>
      <c r="F26" s="162"/>
      <c r="G26" s="162"/>
      <c r="H26" s="162"/>
      <c r="I26" s="162"/>
      <c r="J26" s="182"/>
    </row>
    <row r="27" spans="1:10" x14ac:dyDescent="0.25">
      <c r="A27" s="31">
        <v>25</v>
      </c>
      <c r="B27" s="162"/>
      <c r="C27" s="162"/>
      <c r="D27" s="162"/>
      <c r="E27" s="162"/>
      <c r="F27" s="162"/>
      <c r="G27" s="162"/>
      <c r="H27" s="162"/>
      <c r="I27" s="162"/>
      <c r="J27" s="182"/>
    </row>
    <row r="28" spans="1:10" x14ac:dyDescent="0.25">
      <c r="A28" s="31">
        <v>26</v>
      </c>
      <c r="B28" s="168"/>
      <c r="C28" s="168"/>
      <c r="D28" s="168"/>
      <c r="E28" s="168"/>
      <c r="F28" s="168"/>
      <c r="G28" s="168"/>
      <c r="H28" s="168"/>
      <c r="I28" s="168"/>
      <c r="J28" s="182"/>
    </row>
    <row r="29" spans="1:10" x14ac:dyDescent="0.25">
      <c r="A29" s="31">
        <v>27</v>
      </c>
      <c r="B29" s="168"/>
      <c r="C29" s="168"/>
      <c r="D29" s="168"/>
      <c r="E29" s="168"/>
      <c r="F29" s="168"/>
      <c r="G29" s="168"/>
      <c r="H29" s="168"/>
      <c r="I29" s="168"/>
      <c r="J29" s="182"/>
    </row>
    <row r="30" spans="1:10" x14ac:dyDescent="0.25">
      <c r="A30" s="31">
        <v>28</v>
      </c>
      <c r="B30" s="168"/>
      <c r="C30" s="168"/>
      <c r="D30" s="168"/>
      <c r="E30" s="168"/>
      <c r="F30" s="168"/>
      <c r="G30" s="168"/>
      <c r="H30" s="168"/>
      <c r="I30" s="168"/>
      <c r="J30" s="182"/>
    </row>
    <row r="31" spans="1:10" x14ac:dyDescent="0.25">
      <c r="A31" s="31">
        <v>29</v>
      </c>
      <c r="B31" s="168"/>
      <c r="C31" s="168"/>
      <c r="D31" s="168"/>
      <c r="E31" s="168"/>
      <c r="F31" s="168"/>
      <c r="G31" s="168"/>
      <c r="H31" s="168"/>
      <c r="I31" s="168"/>
      <c r="J31" s="182"/>
    </row>
    <row r="32" spans="1:10" x14ac:dyDescent="0.25">
      <c r="A32" s="31">
        <v>30</v>
      </c>
      <c r="B32" s="168"/>
      <c r="C32" s="168"/>
      <c r="D32" s="168"/>
      <c r="E32" s="168"/>
      <c r="F32" s="168"/>
      <c r="G32" s="168"/>
      <c r="H32" s="168"/>
      <c r="I32" s="168"/>
      <c r="J32" s="182"/>
    </row>
    <row r="33" spans="1:10" x14ac:dyDescent="0.25">
      <c r="A33" s="31">
        <v>31</v>
      </c>
      <c r="B33" s="168"/>
      <c r="C33" s="168"/>
      <c r="D33" s="168"/>
      <c r="E33" s="168"/>
      <c r="F33" s="168"/>
      <c r="G33" s="168"/>
      <c r="H33" s="168"/>
      <c r="I33" s="168"/>
      <c r="J33" s="182"/>
    </row>
    <row r="34" spans="1:10" x14ac:dyDescent="0.25">
      <c r="A34" s="31">
        <v>32</v>
      </c>
      <c r="B34" s="168"/>
      <c r="C34" s="168"/>
      <c r="D34" s="168"/>
      <c r="E34" s="168"/>
      <c r="F34" s="168"/>
      <c r="G34" s="168"/>
      <c r="H34" s="168"/>
      <c r="I34" s="168"/>
      <c r="J34" s="182"/>
    </row>
    <row r="35" spans="1:10" x14ac:dyDescent="0.25">
      <c r="A35" s="31">
        <v>33</v>
      </c>
      <c r="B35" s="168"/>
      <c r="C35" s="168"/>
      <c r="D35" s="168"/>
      <c r="E35" s="168"/>
      <c r="F35" s="168"/>
      <c r="G35" s="168"/>
      <c r="H35" s="168"/>
      <c r="I35" s="168"/>
      <c r="J35" s="182"/>
    </row>
    <row r="36" spans="1:10" x14ac:dyDescent="0.25">
      <c r="A36" s="31">
        <v>34</v>
      </c>
      <c r="B36" s="168"/>
      <c r="C36" s="168"/>
      <c r="D36" s="168"/>
      <c r="E36" s="168"/>
      <c r="F36" s="168"/>
      <c r="G36" s="168"/>
      <c r="H36" s="168"/>
      <c r="I36" s="168"/>
      <c r="J36" s="182"/>
    </row>
    <row r="37" spans="1:10" x14ac:dyDescent="0.25">
      <c r="A37" s="31">
        <v>35</v>
      </c>
      <c r="B37" s="168"/>
      <c r="C37" s="168"/>
      <c r="D37" s="168"/>
      <c r="E37" s="168"/>
      <c r="F37" s="168"/>
      <c r="G37" s="168"/>
      <c r="H37" s="168"/>
      <c r="I37" s="168"/>
      <c r="J37" s="182"/>
    </row>
    <row r="38" spans="1:10" x14ac:dyDescent="0.25">
      <c r="A38" s="31">
        <v>36</v>
      </c>
      <c r="B38" s="168"/>
      <c r="C38" s="168"/>
      <c r="D38" s="168"/>
      <c r="E38" s="168"/>
      <c r="F38" s="168"/>
      <c r="G38" s="168"/>
      <c r="H38" s="168"/>
      <c r="I38" s="168"/>
      <c r="J38" s="182"/>
    </row>
    <row r="39" spans="1:10" x14ac:dyDescent="0.25">
      <c r="A39" s="31">
        <v>37</v>
      </c>
      <c r="B39" s="168"/>
      <c r="C39" s="168"/>
      <c r="D39" s="168"/>
      <c r="E39" s="168"/>
      <c r="F39" s="168"/>
      <c r="G39" s="168"/>
      <c r="H39" s="168"/>
      <c r="I39" s="168"/>
      <c r="J39" s="182"/>
    </row>
    <row r="40" spans="1:10" x14ac:dyDescent="0.25">
      <c r="A40" s="31">
        <v>38</v>
      </c>
      <c r="B40" s="168"/>
      <c r="C40" s="168"/>
      <c r="D40" s="168"/>
      <c r="E40" s="168"/>
      <c r="F40" s="168"/>
      <c r="G40" s="168"/>
      <c r="H40" s="168"/>
      <c r="I40" s="168"/>
      <c r="J40" s="182"/>
    </row>
    <row r="41" spans="1:10" x14ac:dyDescent="0.25">
      <c r="A41" s="31">
        <v>39</v>
      </c>
      <c r="B41" s="168"/>
      <c r="C41" s="168"/>
      <c r="D41" s="168"/>
      <c r="E41" s="168"/>
      <c r="F41" s="168"/>
      <c r="G41" s="168"/>
      <c r="H41" s="168"/>
      <c r="I41" s="168"/>
      <c r="J41" s="182"/>
    </row>
    <row r="42" spans="1:10" ht="15.75" thickBot="1" x14ac:dyDescent="0.3">
      <c r="A42" s="31">
        <v>40</v>
      </c>
      <c r="B42" s="168"/>
      <c r="C42" s="168"/>
      <c r="D42" s="168"/>
      <c r="E42" s="168"/>
      <c r="F42" s="168"/>
      <c r="G42" s="168"/>
      <c r="H42" s="168"/>
      <c r="I42" s="168"/>
      <c r="J42" s="183"/>
    </row>
    <row r="43" spans="1:10" ht="15.75" thickTop="1" x14ac:dyDescent="0.25">
      <c r="A43" s="109" t="s">
        <v>13</v>
      </c>
      <c r="B43" s="166" t="e">
        <f>AVERAGE(B3:B42)</f>
        <v>#DIV/0!</v>
      </c>
      <c r="C43" s="166" t="e">
        <f t="shared" ref="C43:I43" si="0">AVERAGE(C3:C42)</f>
        <v>#DIV/0!</v>
      </c>
      <c r="D43" s="166" t="e">
        <f t="shared" si="0"/>
        <v>#DIV/0!</v>
      </c>
      <c r="E43" s="166" t="e">
        <f t="shared" si="0"/>
        <v>#DIV/0!</v>
      </c>
      <c r="F43" s="166" t="e">
        <f t="shared" si="0"/>
        <v>#DIV/0!</v>
      </c>
      <c r="G43" s="166" t="e">
        <f t="shared" si="0"/>
        <v>#DIV/0!</v>
      </c>
      <c r="H43" s="166" t="e">
        <f t="shared" si="0"/>
        <v>#DIV/0!</v>
      </c>
      <c r="I43" s="166" t="e">
        <f t="shared" si="0"/>
        <v>#DIV/0!</v>
      </c>
      <c r="J43" s="35"/>
    </row>
    <row r="44" spans="1:10" x14ac:dyDescent="0.25">
      <c r="A44" s="36" t="s">
        <v>174</v>
      </c>
      <c r="B44" s="167" t="e">
        <f>AVERAGEIF(B43:I43, "&lt;&gt;#DIV/0!")</f>
        <v>#DIV/0!</v>
      </c>
      <c r="C44" s="167"/>
      <c r="D44" s="167"/>
      <c r="E44" s="167"/>
      <c r="F44" s="167"/>
      <c r="G44" s="167"/>
      <c r="H44" s="167"/>
      <c r="I44" s="167"/>
      <c r="J44" s="32"/>
    </row>
    <row r="45" spans="1:10" x14ac:dyDescent="0.25">
      <c r="A45" s="36" t="s">
        <v>175</v>
      </c>
      <c r="B45" s="32">
        <f>COUNTIF(B3:B42, "&lt;&gt;")</f>
        <v>0</v>
      </c>
      <c r="C45" s="32">
        <f t="shared" ref="C45:I45" si="1">COUNTIF(C3:C42, "&lt;&gt;")</f>
        <v>0</v>
      </c>
      <c r="D45" s="32">
        <f t="shared" si="1"/>
        <v>0</v>
      </c>
      <c r="E45" s="32">
        <f t="shared" si="1"/>
        <v>0</v>
      </c>
      <c r="F45" s="32">
        <f t="shared" si="1"/>
        <v>0</v>
      </c>
      <c r="G45" s="32">
        <f t="shared" si="1"/>
        <v>0</v>
      </c>
      <c r="H45" s="32">
        <f t="shared" si="1"/>
        <v>0</v>
      </c>
      <c r="I45" s="32">
        <f t="shared" si="1"/>
        <v>0</v>
      </c>
    </row>
    <row r="47" spans="1:10" x14ac:dyDescent="0.25">
      <c r="A47" s="9"/>
      <c r="B47" s="19" t="s">
        <v>176</v>
      </c>
      <c r="C47" s="19" t="s">
        <v>177</v>
      </c>
      <c r="D47" s="19" t="s">
        <v>178</v>
      </c>
      <c r="E47" s="19" t="s">
        <v>179</v>
      </c>
      <c r="F47" s="19" t="s">
        <v>180</v>
      </c>
      <c r="G47" s="19" t="s">
        <v>181</v>
      </c>
      <c r="H47" s="20" t="s">
        <v>182</v>
      </c>
      <c r="I47" s="20" t="s">
        <v>60</v>
      </c>
    </row>
    <row r="48" spans="1:10" x14ac:dyDescent="0.25">
      <c r="A48" s="101" t="s">
        <v>183</v>
      </c>
      <c r="B48" s="13">
        <f>COUNTIF($C$2, "A")</f>
        <v>0</v>
      </c>
      <c r="C48" s="13">
        <f>COUNTIF($C$2, "Q")</f>
        <v>0</v>
      </c>
      <c r="D48" s="13">
        <f>COUNTIF($C$2, "M")</f>
        <v>0</v>
      </c>
      <c r="E48" s="13">
        <f>COUNTIF($C$2, "F")</f>
        <v>0</v>
      </c>
      <c r="F48" s="13">
        <f>COUNTIF($C$2, "P")</f>
        <v>0</v>
      </c>
      <c r="G48" s="13">
        <f>COUNTIF($C$2, "L")</f>
        <v>0</v>
      </c>
      <c r="H48" s="13">
        <f>COUNTIF($C$2, "OT")</f>
        <v>0</v>
      </c>
      <c r="I48" s="13">
        <f>SUM(B48:H48)</f>
        <v>0</v>
      </c>
    </row>
    <row r="49" spans="1:10" x14ac:dyDescent="0.25">
      <c r="A49" s="102" t="s">
        <v>184</v>
      </c>
      <c r="B49" s="13">
        <f>COUNTIF($B$2, "A") + COUNTIF($D$2, "A") + COUNTIF($F$2, "A") + COUNTIF($I$2, "A")</f>
        <v>0</v>
      </c>
      <c r="C49" s="13">
        <f>COUNTIF($B$2, "Q") + COUNTIF($D$2, "Q") + COUNTIF($F$2, "Q") + COUNTIF($I$2, "Q")</f>
        <v>0</v>
      </c>
      <c r="D49" s="13">
        <f>COUNTIF($B$2, "M") + COUNTIF($D$2, "M") + COUNTIF($F$2, "M") + COUNTIF($I$2, "M")</f>
        <v>0</v>
      </c>
      <c r="E49" s="13">
        <f>COUNTIF($B$2, "F") + COUNTIF($D$2, "F") + COUNTIF($F$2, "F") + COUNTIF($I$2, "F")</f>
        <v>0</v>
      </c>
      <c r="F49" s="13">
        <f>COUNTIF($B$2, "P") + COUNTIF($D$2, "P") + COUNTIF($F$2, "P") + COUNTIF($I$2, "P")</f>
        <v>0</v>
      </c>
      <c r="G49" s="13">
        <f>COUNTIF($B$2, "L") + COUNTIF($D$2, "L") + COUNTIF($F$2, "L") + COUNTIF($I$2, "L")</f>
        <v>0</v>
      </c>
      <c r="H49" s="13">
        <f>COUNTIF($B$2, "OT") + COUNTIF($D$2, "OT") + COUNTIF($F$2, "OT") + COUNTIF($I$2, "OT")</f>
        <v>0</v>
      </c>
      <c r="I49" s="13">
        <f t="shared" ref="I49:I50" si="2">SUM(B49:H49)</f>
        <v>0</v>
      </c>
    </row>
    <row r="50" spans="1:10" x14ac:dyDescent="0.25">
      <c r="A50" s="103" t="s">
        <v>185</v>
      </c>
      <c r="B50" s="13">
        <f>COUNTIF($E$2, "A") + COUNTIF($G$2, "A") + COUNTIF($G$2:$H$2, "A")</f>
        <v>0</v>
      </c>
      <c r="C50" s="13">
        <f>COUNTIF($E$2, "Q") + COUNTIF($G$2, "Q") + COUNTIF($G$2:$H$2, "Q")</f>
        <v>0</v>
      </c>
      <c r="D50" s="13">
        <f>COUNTIF($E$2, "M") + COUNTIF($G$2, "M") + COUNTIF($G$2:$H$2, "M")</f>
        <v>0</v>
      </c>
      <c r="E50" s="13">
        <f>COUNTIF($E$2, "F") + COUNTIF($G$2, "F") + COUNTIF($G$2:$H$2, "F")</f>
        <v>0</v>
      </c>
      <c r="F50" s="13">
        <f>COUNTIF($E$2, "P") + COUNTIF($G$2, "P") + COUNTIF($G$2:$H$2, "P")</f>
        <v>0</v>
      </c>
      <c r="G50" s="13">
        <f>COUNTIF($E$2, "L") + COUNTIF($G$2, "L") + COUNTIF($G$2:$H$2, "L")</f>
        <v>0</v>
      </c>
      <c r="H50" s="13">
        <f>COUNTIF($E$2, "OT") + COUNTIF($G$2, "OT") + COUNTIF($G$2:$H$2, "OT")</f>
        <v>0</v>
      </c>
      <c r="I50" s="13">
        <f t="shared" si="2"/>
        <v>0</v>
      </c>
    </row>
    <row r="51" spans="1:10" x14ac:dyDescent="0.25">
      <c r="A51" s="19" t="s">
        <v>60</v>
      </c>
      <c r="B51" s="9">
        <f>SUM(B48:B50)</f>
        <v>0</v>
      </c>
      <c r="C51" s="9">
        <f t="shared" ref="C51:H51" si="3">SUM(C48:C50)</f>
        <v>0</v>
      </c>
      <c r="D51" s="9">
        <f t="shared" si="3"/>
        <v>0</v>
      </c>
      <c r="E51" s="9">
        <f t="shared" si="3"/>
        <v>0</v>
      </c>
      <c r="F51" s="9">
        <f t="shared" si="3"/>
        <v>0</v>
      </c>
      <c r="G51" s="9">
        <f t="shared" si="3"/>
        <v>0</v>
      </c>
      <c r="H51" s="9">
        <f t="shared" si="3"/>
        <v>0</v>
      </c>
      <c r="I51" s="9">
        <f>SUM(I48:I50)</f>
        <v>0</v>
      </c>
    </row>
    <row r="53" spans="1:10" ht="18.75" thickBot="1" x14ac:dyDescent="0.3">
      <c r="A53" s="87" t="s">
        <v>186</v>
      </c>
      <c r="C53" s="87"/>
      <c r="D53" s="87"/>
      <c r="E53" s="87"/>
      <c r="F53" s="87"/>
      <c r="G53" s="87"/>
      <c r="H53" s="85"/>
      <c r="I53" s="85"/>
    </row>
    <row r="54" spans="1:10" ht="16.5" thickBot="1" x14ac:dyDescent="0.3">
      <c r="A54" s="125" t="s">
        <v>25</v>
      </c>
      <c r="B54" s="151" t="s">
        <v>111</v>
      </c>
      <c r="C54" s="150" t="s">
        <v>107</v>
      </c>
      <c r="D54" s="151" t="s">
        <v>109</v>
      </c>
      <c r="E54" s="152" t="s">
        <v>115</v>
      </c>
      <c r="F54" s="151" t="s">
        <v>113</v>
      </c>
      <c r="G54" s="152" t="s">
        <v>117</v>
      </c>
      <c r="H54" s="152" t="s">
        <v>119</v>
      </c>
      <c r="I54" s="151" t="s">
        <v>121</v>
      </c>
      <c r="J54" s="40" t="s">
        <v>13</v>
      </c>
    </row>
    <row r="55" spans="1:10" ht="16.5" thickBot="1" x14ac:dyDescent="0.3">
      <c r="A55" s="112" t="s">
        <v>27</v>
      </c>
      <c r="B55" s="117" t="e">
        <f>(COUNTIF(B3:B42, "&lt;=59%"))/B45</f>
        <v>#DIV/0!</v>
      </c>
      <c r="C55" s="117" t="e">
        <f t="shared" ref="C55:I55" si="4">(COUNTIF(C3:C42, "&lt;=59%"))/C45</f>
        <v>#DIV/0!</v>
      </c>
      <c r="D55" s="117" t="e">
        <f t="shared" si="4"/>
        <v>#DIV/0!</v>
      </c>
      <c r="E55" s="117" t="e">
        <f t="shared" si="4"/>
        <v>#DIV/0!</v>
      </c>
      <c r="F55" s="117" t="e">
        <f t="shared" si="4"/>
        <v>#DIV/0!</v>
      </c>
      <c r="G55" s="117" t="e">
        <f t="shared" si="4"/>
        <v>#DIV/0!</v>
      </c>
      <c r="H55" s="117" t="e">
        <f t="shared" si="4"/>
        <v>#DIV/0!</v>
      </c>
      <c r="I55" s="117" t="e">
        <f t="shared" si="4"/>
        <v>#DIV/0!</v>
      </c>
      <c r="J55" s="41" t="e">
        <f>AVERAGEIF(B55:I55, "&lt;&gt;#DIV/0!")</f>
        <v>#DIV/0!</v>
      </c>
    </row>
    <row r="56" spans="1:10" ht="16.5" thickBot="1" x14ac:dyDescent="0.3">
      <c r="A56" s="113" t="s">
        <v>29</v>
      </c>
      <c r="B56" s="120" t="e">
        <f>(COUNTIFS(B3:B42, "&gt;= 60%", B3:B42, "&lt;=69%" ))/B45</f>
        <v>#DIV/0!</v>
      </c>
      <c r="C56" s="120" t="e">
        <f t="shared" ref="C56:I56" si="5">(COUNTIFS(C3:C42, "&gt;= 60%", C3:C42, "&lt;=69%" ))/C45</f>
        <v>#DIV/0!</v>
      </c>
      <c r="D56" s="120" t="e">
        <f t="shared" si="5"/>
        <v>#DIV/0!</v>
      </c>
      <c r="E56" s="120" t="e">
        <f t="shared" si="5"/>
        <v>#DIV/0!</v>
      </c>
      <c r="F56" s="120" t="e">
        <f t="shared" si="5"/>
        <v>#DIV/0!</v>
      </c>
      <c r="G56" s="120" t="e">
        <f t="shared" si="5"/>
        <v>#DIV/0!</v>
      </c>
      <c r="H56" s="120" t="e">
        <f t="shared" si="5"/>
        <v>#DIV/0!</v>
      </c>
      <c r="I56" s="120" t="e">
        <f t="shared" si="5"/>
        <v>#DIV/0!</v>
      </c>
      <c r="J56" s="41" t="e">
        <f>AVERAGEIF(B56:I56, "&lt;&gt;#DIV/0!")</f>
        <v>#DIV/0!</v>
      </c>
    </row>
    <row r="57" spans="1:10" ht="16.5" thickBot="1" x14ac:dyDescent="0.3">
      <c r="A57" s="114" t="s">
        <v>31</v>
      </c>
      <c r="B57" s="120" t="e">
        <f>(COUNTIFS(B3:B42, "&gt;= 70%", B3:B42, "&lt;=79%" ))/B45</f>
        <v>#DIV/0!</v>
      </c>
      <c r="C57" s="120" t="e">
        <f t="shared" ref="C57:I57" si="6">(COUNTIFS(C3:C42, "&gt;= 70%", C3:C42, "&lt;=79%" ))/C45</f>
        <v>#DIV/0!</v>
      </c>
      <c r="D57" s="120" t="e">
        <f t="shared" si="6"/>
        <v>#DIV/0!</v>
      </c>
      <c r="E57" s="120" t="e">
        <f t="shared" si="6"/>
        <v>#DIV/0!</v>
      </c>
      <c r="F57" s="120" t="e">
        <f t="shared" si="6"/>
        <v>#DIV/0!</v>
      </c>
      <c r="G57" s="120" t="e">
        <f t="shared" si="6"/>
        <v>#DIV/0!</v>
      </c>
      <c r="H57" s="120" t="e">
        <f t="shared" si="6"/>
        <v>#DIV/0!</v>
      </c>
      <c r="I57" s="120" t="e">
        <f t="shared" si="6"/>
        <v>#DIV/0!</v>
      </c>
      <c r="J57" s="41" t="e">
        <f>AVERAGEIF(B57:I57, "&lt;&gt;#DIV/0!")</f>
        <v>#DIV/0!</v>
      </c>
    </row>
    <row r="58" spans="1:10" ht="16.5" thickBot="1" x14ac:dyDescent="0.3">
      <c r="A58" s="115" t="s">
        <v>33</v>
      </c>
      <c r="B58" s="120" t="e">
        <f>(COUNTIF(B3:B42,"&gt;= 80%")/B45)</f>
        <v>#DIV/0!</v>
      </c>
      <c r="C58" s="120" t="e">
        <f t="shared" ref="C58:I58" si="7">(COUNTIF(C3:C42,"&gt;= 80%")/C45)</f>
        <v>#DIV/0!</v>
      </c>
      <c r="D58" s="120" t="e">
        <f t="shared" si="7"/>
        <v>#DIV/0!</v>
      </c>
      <c r="E58" s="120" t="e">
        <f t="shared" si="7"/>
        <v>#DIV/0!</v>
      </c>
      <c r="F58" s="120" t="e">
        <f t="shared" si="7"/>
        <v>#DIV/0!</v>
      </c>
      <c r="G58" s="120" t="e">
        <f t="shared" si="7"/>
        <v>#DIV/0!</v>
      </c>
      <c r="H58" s="120" t="e">
        <f t="shared" si="7"/>
        <v>#DIV/0!</v>
      </c>
      <c r="I58" s="120" t="e">
        <f t="shared" si="7"/>
        <v>#DIV/0!</v>
      </c>
      <c r="J58" s="129" t="e">
        <f>AVERAGEIF(B58:I58, "&lt;&gt;#DIV/0!")</f>
        <v>#DIV/0!</v>
      </c>
    </row>
    <row r="59" spans="1:10" ht="15.75" thickBot="1" x14ac:dyDescent="0.3">
      <c r="A59" s="126"/>
      <c r="B59" s="127">
        <f>SUMIF(B55:B58, "&lt;&gt;#DIV/0!")</f>
        <v>0</v>
      </c>
      <c r="C59" s="128">
        <f t="shared" ref="C59:I59" si="8">SUMIF(C55:C58, "&lt;&gt;#DIV/0!")</f>
        <v>0</v>
      </c>
      <c r="D59" s="128">
        <f t="shared" si="8"/>
        <v>0</v>
      </c>
      <c r="E59" s="128">
        <f t="shared" si="8"/>
        <v>0</v>
      </c>
      <c r="F59" s="128">
        <f t="shared" si="8"/>
        <v>0</v>
      </c>
      <c r="G59" s="128">
        <f t="shared" si="8"/>
        <v>0</v>
      </c>
      <c r="H59" s="128">
        <f t="shared" si="8"/>
        <v>0</v>
      </c>
      <c r="I59" s="128">
        <f t="shared" si="8"/>
        <v>0</v>
      </c>
      <c r="J59" s="128">
        <f t="shared" ref="J59" si="9">SUMIF(J55:J58, "&lt;&gt;#DIV/0!")</f>
        <v>0</v>
      </c>
    </row>
    <row r="60" spans="1:10" ht="15.75" thickBot="1" x14ac:dyDescent="0.3"/>
    <row r="61" spans="1:10" ht="15.75" thickBot="1" x14ac:dyDescent="0.3">
      <c r="A61" s="25"/>
      <c r="B61" s="42" t="s">
        <v>187</v>
      </c>
      <c r="C61" s="42" t="s">
        <v>188</v>
      </c>
    </row>
    <row r="62" spans="1:10" ht="16.5" thickBot="1" x14ac:dyDescent="0.3">
      <c r="A62" s="38" t="s">
        <v>33</v>
      </c>
      <c r="B62" s="44" t="s">
        <v>189</v>
      </c>
      <c r="C62" s="43">
        <v>100</v>
      </c>
    </row>
    <row r="63" spans="1:10" ht="16.5" thickBot="1" x14ac:dyDescent="0.3">
      <c r="A63" s="38" t="s">
        <v>31</v>
      </c>
      <c r="B63" s="44" t="s">
        <v>190</v>
      </c>
      <c r="C63" s="43">
        <v>79</v>
      </c>
    </row>
    <row r="64" spans="1:10" ht="16.5" thickBot="1" x14ac:dyDescent="0.3">
      <c r="A64" s="38" t="s">
        <v>29</v>
      </c>
      <c r="B64" s="44" t="s">
        <v>191</v>
      </c>
      <c r="C64" s="43">
        <v>69</v>
      </c>
    </row>
    <row r="65" spans="1:3" ht="16.5" thickBot="1" x14ac:dyDescent="0.3">
      <c r="A65" s="38" t="s">
        <v>27</v>
      </c>
      <c r="B65" s="44" t="s">
        <v>192</v>
      </c>
      <c r="C65" s="43">
        <v>59</v>
      </c>
    </row>
  </sheetData>
  <mergeCells count="1">
    <mergeCell ref="J3:J42"/>
  </mergeCells>
  <phoneticPr fontId="11" type="noConversion"/>
  <conditionalFormatting sqref="B3:I42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3" priority="646" operator="greaterThanOrEqual">
      <formula>80</formula>
    </cfRule>
    <cfRule type="containsBlanks" dxfId="52" priority="647" stopIfTrue="1">
      <formula>LEN(TRIM(B3))=0</formula>
    </cfRule>
    <cfRule type="cellIs" dxfId="51" priority="648" operator="greaterThanOrEqual">
      <formula>80</formula>
    </cfRule>
    <cfRule type="cellIs" dxfId="50" priority="649" operator="between">
      <formula>70</formula>
      <formula>79</formula>
    </cfRule>
    <cfRule type="cellIs" dxfId="49" priority="650" operator="between">
      <formula>60</formula>
      <formula>69</formula>
    </cfRule>
    <cfRule type="cellIs" dxfId="48" priority="651" operator="between">
      <formula>0</formula>
      <formula>59</formula>
    </cfRule>
  </conditionalFormatting>
  <dataValidations count="1">
    <dataValidation type="list" allowBlank="1" showInputMessage="1" showErrorMessage="1" sqref="B2:I2" xr:uid="{1E3047DA-65EE-42AE-A8D2-1F43B8511085}">
      <formula1>$L$6:$L$13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D9D7-F1F5-44CF-9EE2-C7575E8599A2}">
  <dimension ref="A1:I65"/>
  <sheetViews>
    <sheetView topLeftCell="A29" zoomScale="70" zoomScaleNormal="70" workbookViewId="0">
      <selection activeCell="B55" sqref="B55:B58"/>
    </sheetView>
  </sheetViews>
  <sheetFormatPr defaultRowHeight="15" x14ac:dyDescent="0.25"/>
  <cols>
    <col min="1" max="1" width="44.85546875" bestFit="1" customWidth="1"/>
    <col min="2" max="2" width="18.85546875" bestFit="1" customWidth="1"/>
    <col min="3" max="3" width="14.5703125" bestFit="1" customWidth="1"/>
    <col min="4" max="4" width="15.85546875" bestFit="1" customWidth="1"/>
    <col min="5" max="5" width="17.7109375" bestFit="1" customWidth="1"/>
    <col min="6" max="6" width="13.85546875" bestFit="1" customWidth="1"/>
    <col min="7" max="7" width="9.7109375" bestFit="1" customWidth="1"/>
    <col min="8" max="8" width="17.7109375" bestFit="1" customWidth="1"/>
    <col min="9" max="9" width="7.42578125" bestFit="1" customWidth="1"/>
  </cols>
  <sheetData>
    <row r="1" spans="1:8" x14ac:dyDescent="0.25">
      <c r="A1" s="9" t="s">
        <v>165</v>
      </c>
      <c r="B1" s="150" t="s">
        <v>125</v>
      </c>
      <c r="C1" s="151" t="s">
        <v>127</v>
      </c>
      <c r="D1" s="152" t="s">
        <v>129</v>
      </c>
      <c r="E1" s="150" t="s">
        <v>123</v>
      </c>
      <c r="F1" s="30">
        <f>COUNTA(B1:E1)</f>
        <v>4</v>
      </c>
    </row>
    <row r="2" spans="1:8" ht="30" x14ac:dyDescent="0.25">
      <c r="A2" s="12" t="s">
        <v>166</v>
      </c>
      <c r="B2" s="9"/>
      <c r="C2" s="9"/>
      <c r="D2" s="9"/>
      <c r="E2" s="9"/>
      <c r="F2" s="30">
        <f>COUNTIF(B2:E2, "&lt;&gt;")</f>
        <v>0</v>
      </c>
    </row>
    <row r="3" spans="1:8" x14ac:dyDescent="0.25">
      <c r="A3" s="31">
        <v>1</v>
      </c>
      <c r="B3" s="162"/>
      <c r="C3" s="162"/>
      <c r="D3" s="162"/>
      <c r="E3" s="162"/>
      <c r="F3" s="181"/>
    </row>
    <row r="4" spans="1:8" x14ac:dyDescent="0.25">
      <c r="A4" s="31">
        <v>2</v>
      </c>
      <c r="B4" s="162"/>
      <c r="C4" s="162"/>
      <c r="D4" s="162"/>
      <c r="E4" s="162"/>
      <c r="F4" s="182"/>
      <c r="H4" s="108" t="s">
        <v>167</v>
      </c>
    </row>
    <row r="5" spans="1:8" x14ac:dyDescent="0.25">
      <c r="A5" s="31">
        <v>3</v>
      </c>
      <c r="B5" s="162"/>
      <c r="C5" s="162"/>
      <c r="D5" s="162"/>
      <c r="E5" s="162"/>
      <c r="F5" s="182"/>
      <c r="H5" s="108" t="s">
        <v>168</v>
      </c>
    </row>
    <row r="6" spans="1:8" x14ac:dyDescent="0.25">
      <c r="A6" s="31">
        <v>4</v>
      </c>
      <c r="B6" s="162"/>
      <c r="C6" s="162"/>
      <c r="D6" s="162"/>
      <c r="E6" s="162"/>
      <c r="F6" s="182"/>
      <c r="H6" s="108" t="s">
        <v>169</v>
      </c>
    </row>
    <row r="7" spans="1:8" x14ac:dyDescent="0.25">
      <c r="A7" s="31">
        <v>5</v>
      </c>
      <c r="B7" s="162"/>
      <c r="C7" s="162"/>
      <c r="D7" s="162"/>
      <c r="E7" s="162"/>
      <c r="F7" s="182"/>
      <c r="H7" s="108" t="s">
        <v>170</v>
      </c>
    </row>
    <row r="8" spans="1:8" x14ac:dyDescent="0.25">
      <c r="A8" s="31">
        <v>6</v>
      </c>
      <c r="B8" s="162"/>
      <c r="C8" s="162"/>
      <c r="D8" s="162"/>
      <c r="E8" s="162"/>
      <c r="F8" s="182"/>
      <c r="H8" s="108" t="s">
        <v>171</v>
      </c>
    </row>
    <row r="9" spans="1:8" x14ac:dyDescent="0.25">
      <c r="A9" s="31">
        <v>7</v>
      </c>
      <c r="B9" s="162"/>
      <c r="C9" s="162"/>
      <c r="D9" s="162"/>
      <c r="E9" s="162"/>
      <c r="F9" s="182"/>
      <c r="H9" s="108" t="s">
        <v>172</v>
      </c>
    </row>
    <row r="10" spans="1:8" x14ac:dyDescent="0.25">
      <c r="A10" s="31">
        <v>8</v>
      </c>
      <c r="B10" s="162"/>
      <c r="C10" s="162"/>
      <c r="D10" s="162"/>
      <c r="E10" s="162"/>
      <c r="F10" s="182"/>
      <c r="H10" s="108" t="s">
        <v>173</v>
      </c>
    </row>
    <row r="11" spans="1:8" x14ac:dyDescent="0.25">
      <c r="A11" s="31">
        <v>9</v>
      </c>
      <c r="B11" s="162"/>
      <c r="C11" s="162"/>
      <c r="D11" s="162"/>
      <c r="E11" s="162"/>
      <c r="F11" s="182"/>
    </row>
    <row r="12" spans="1:8" x14ac:dyDescent="0.25">
      <c r="A12" s="31">
        <v>10</v>
      </c>
      <c r="B12" s="162"/>
      <c r="C12" s="162"/>
      <c r="D12" s="162"/>
      <c r="E12" s="162"/>
      <c r="F12" s="182"/>
    </row>
    <row r="13" spans="1:8" x14ac:dyDescent="0.25">
      <c r="A13" s="31">
        <v>11</v>
      </c>
      <c r="B13" s="162"/>
      <c r="C13" s="162"/>
      <c r="D13" s="162"/>
      <c r="E13" s="162"/>
      <c r="F13" s="182"/>
    </row>
    <row r="14" spans="1:8" x14ac:dyDescent="0.25">
      <c r="A14" s="31">
        <v>12</v>
      </c>
      <c r="B14" s="162"/>
      <c r="C14" s="162"/>
      <c r="D14" s="162"/>
      <c r="E14" s="162"/>
      <c r="F14" s="182"/>
    </row>
    <row r="15" spans="1:8" x14ac:dyDescent="0.25">
      <c r="A15" s="31">
        <v>13</v>
      </c>
      <c r="B15" s="162"/>
      <c r="C15" s="162"/>
      <c r="D15" s="162"/>
      <c r="E15" s="162"/>
      <c r="F15" s="182"/>
    </row>
    <row r="16" spans="1:8" x14ac:dyDescent="0.25">
      <c r="A16" s="31">
        <v>14</v>
      </c>
      <c r="B16" s="162"/>
      <c r="C16" s="162"/>
      <c r="D16" s="162"/>
      <c r="E16" s="162"/>
      <c r="F16" s="182"/>
    </row>
    <row r="17" spans="1:6" x14ac:dyDescent="0.25">
      <c r="A17" s="31">
        <v>15</v>
      </c>
      <c r="B17" s="162"/>
      <c r="C17" s="162"/>
      <c r="D17" s="162"/>
      <c r="E17" s="162"/>
      <c r="F17" s="182"/>
    </row>
    <row r="18" spans="1:6" x14ac:dyDescent="0.25">
      <c r="A18" s="31">
        <v>16</v>
      </c>
      <c r="B18" s="162"/>
      <c r="C18" s="162"/>
      <c r="D18" s="162"/>
      <c r="E18" s="162"/>
      <c r="F18" s="182"/>
    </row>
    <row r="19" spans="1:6" x14ac:dyDescent="0.25">
      <c r="A19" s="31">
        <v>17</v>
      </c>
      <c r="B19" s="162"/>
      <c r="C19" s="162"/>
      <c r="D19" s="162"/>
      <c r="E19" s="162"/>
      <c r="F19" s="182"/>
    </row>
    <row r="20" spans="1:6" x14ac:dyDescent="0.25">
      <c r="A20" s="31">
        <v>18</v>
      </c>
      <c r="B20" s="162"/>
      <c r="C20" s="162"/>
      <c r="D20" s="162"/>
      <c r="E20" s="162"/>
      <c r="F20" s="182"/>
    </row>
    <row r="21" spans="1:6" x14ac:dyDescent="0.25">
      <c r="A21" s="31">
        <v>19</v>
      </c>
      <c r="B21" s="162"/>
      <c r="C21" s="162"/>
      <c r="D21" s="162"/>
      <c r="E21" s="162"/>
      <c r="F21" s="182"/>
    </row>
    <row r="22" spans="1:6" ht="15.75" thickBot="1" x14ac:dyDescent="0.3">
      <c r="A22" s="31">
        <v>20</v>
      </c>
      <c r="B22" s="162"/>
      <c r="C22" s="162"/>
      <c r="D22" s="162"/>
      <c r="E22" s="162"/>
      <c r="F22" s="183"/>
    </row>
    <row r="23" spans="1:6" ht="15.75" thickTop="1" x14ac:dyDescent="0.25">
      <c r="A23" s="31">
        <v>21</v>
      </c>
      <c r="B23" s="168"/>
      <c r="C23" s="168"/>
      <c r="D23" s="168"/>
      <c r="E23" s="168"/>
      <c r="F23" s="99"/>
    </row>
    <row r="24" spans="1:6" x14ac:dyDescent="0.25">
      <c r="A24" s="31">
        <v>22</v>
      </c>
      <c r="B24" s="168"/>
      <c r="C24" s="168"/>
      <c r="D24" s="168"/>
      <c r="E24" s="168"/>
      <c r="F24" s="99"/>
    </row>
    <row r="25" spans="1:6" x14ac:dyDescent="0.25">
      <c r="A25" s="31">
        <v>23</v>
      </c>
      <c r="B25" s="168"/>
      <c r="C25" s="168"/>
      <c r="D25" s="168"/>
      <c r="E25" s="168"/>
      <c r="F25" s="99"/>
    </row>
    <row r="26" spans="1:6" x14ac:dyDescent="0.25">
      <c r="A26" s="31">
        <v>24</v>
      </c>
      <c r="B26" s="168"/>
      <c r="C26" s="168"/>
      <c r="D26" s="168"/>
      <c r="E26" s="168"/>
      <c r="F26" s="99"/>
    </row>
    <row r="27" spans="1:6" x14ac:dyDescent="0.25">
      <c r="A27" s="31">
        <v>25</v>
      </c>
      <c r="B27" s="168"/>
      <c r="C27" s="168"/>
      <c r="D27" s="168"/>
      <c r="E27" s="168"/>
      <c r="F27" s="99"/>
    </row>
    <row r="28" spans="1:6" x14ac:dyDescent="0.25">
      <c r="A28" s="31">
        <v>26</v>
      </c>
      <c r="B28" s="168"/>
      <c r="C28" s="168"/>
      <c r="D28" s="168"/>
      <c r="E28" s="168"/>
      <c r="F28" s="99"/>
    </row>
    <row r="29" spans="1:6" x14ac:dyDescent="0.25">
      <c r="A29" s="31">
        <v>27</v>
      </c>
      <c r="B29" s="168"/>
      <c r="C29" s="168"/>
      <c r="D29" s="168"/>
      <c r="E29" s="168"/>
      <c r="F29" s="99"/>
    </row>
    <row r="30" spans="1:6" x14ac:dyDescent="0.25">
      <c r="A30" s="31">
        <v>28</v>
      </c>
      <c r="B30" s="168"/>
      <c r="C30" s="168"/>
      <c r="D30" s="168"/>
      <c r="E30" s="168"/>
      <c r="F30" s="99"/>
    </row>
    <row r="31" spans="1:6" x14ac:dyDescent="0.25">
      <c r="A31" s="31">
        <v>29</v>
      </c>
      <c r="B31" s="168"/>
      <c r="C31" s="168"/>
      <c r="D31" s="168"/>
      <c r="E31" s="168"/>
      <c r="F31" s="99"/>
    </row>
    <row r="32" spans="1:6" x14ac:dyDescent="0.25">
      <c r="A32" s="31">
        <v>30</v>
      </c>
      <c r="B32" s="168"/>
      <c r="C32" s="168"/>
      <c r="D32" s="168"/>
      <c r="E32" s="168"/>
      <c r="F32" s="99"/>
    </row>
    <row r="33" spans="1:9" x14ac:dyDescent="0.25">
      <c r="A33" s="31">
        <v>31</v>
      </c>
      <c r="B33" s="168"/>
      <c r="C33" s="168"/>
      <c r="D33" s="168"/>
      <c r="E33" s="168"/>
      <c r="F33" s="99"/>
    </row>
    <row r="34" spans="1:9" x14ac:dyDescent="0.25">
      <c r="A34" s="31">
        <v>32</v>
      </c>
      <c r="B34" s="168"/>
      <c r="C34" s="168"/>
      <c r="D34" s="168"/>
      <c r="E34" s="168"/>
      <c r="F34" s="99"/>
    </row>
    <row r="35" spans="1:9" x14ac:dyDescent="0.25">
      <c r="A35" s="31">
        <v>33</v>
      </c>
      <c r="B35" s="168"/>
      <c r="C35" s="168"/>
      <c r="D35" s="168"/>
      <c r="E35" s="168"/>
      <c r="F35" s="99"/>
    </row>
    <row r="36" spans="1:9" x14ac:dyDescent="0.25">
      <c r="A36" s="31">
        <v>34</v>
      </c>
      <c r="B36" s="168"/>
      <c r="C36" s="168"/>
      <c r="D36" s="168"/>
      <c r="E36" s="168"/>
      <c r="F36" s="99"/>
    </row>
    <row r="37" spans="1:9" x14ac:dyDescent="0.25">
      <c r="A37" s="31">
        <v>35</v>
      </c>
      <c r="B37" s="168"/>
      <c r="C37" s="168"/>
      <c r="D37" s="168"/>
      <c r="E37" s="168"/>
      <c r="F37" s="99"/>
    </row>
    <row r="38" spans="1:9" x14ac:dyDescent="0.25">
      <c r="A38" s="31">
        <v>36</v>
      </c>
      <c r="B38" s="168"/>
      <c r="C38" s="168"/>
      <c r="D38" s="168"/>
      <c r="E38" s="168"/>
      <c r="F38" s="99"/>
    </row>
    <row r="39" spans="1:9" x14ac:dyDescent="0.25">
      <c r="A39" s="31">
        <v>37</v>
      </c>
      <c r="B39" s="168"/>
      <c r="C39" s="168"/>
      <c r="D39" s="168"/>
      <c r="E39" s="168"/>
      <c r="F39" s="99"/>
    </row>
    <row r="40" spans="1:9" x14ac:dyDescent="0.25">
      <c r="A40" s="31">
        <v>38</v>
      </c>
      <c r="B40" s="168"/>
      <c r="C40" s="168"/>
      <c r="D40" s="168"/>
      <c r="E40" s="168"/>
      <c r="F40" s="99"/>
    </row>
    <row r="41" spans="1:9" x14ac:dyDescent="0.25">
      <c r="A41" s="31">
        <v>39</v>
      </c>
      <c r="B41" s="168"/>
      <c r="C41" s="168"/>
      <c r="D41" s="168"/>
      <c r="E41" s="168"/>
      <c r="F41" s="99"/>
    </row>
    <row r="42" spans="1:9" ht="15.75" thickBot="1" x14ac:dyDescent="0.3">
      <c r="A42" s="31">
        <v>40</v>
      </c>
      <c r="B42" s="168"/>
      <c r="C42" s="168"/>
      <c r="D42" s="168"/>
      <c r="E42" s="168"/>
      <c r="F42" s="99"/>
    </row>
    <row r="43" spans="1:9" ht="15.75" thickTop="1" x14ac:dyDescent="0.25">
      <c r="A43" s="109" t="s">
        <v>13</v>
      </c>
      <c r="B43" s="166" t="e">
        <f>AVERAGE(B3:B42)</f>
        <v>#DIV/0!</v>
      </c>
      <c r="C43" s="166" t="e">
        <f t="shared" ref="C43:E43" si="0">AVERAGE(C3:C42)</f>
        <v>#DIV/0!</v>
      </c>
      <c r="D43" s="166" t="e">
        <f t="shared" si="0"/>
        <v>#DIV/0!</v>
      </c>
      <c r="E43" s="166" t="e">
        <f t="shared" si="0"/>
        <v>#DIV/0!</v>
      </c>
      <c r="F43" s="35"/>
    </row>
    <row r="44" spans="1:9" x14ac:dyDescent="0.25">
      <c r="A44" s="36" t="s">
        <v>174</v>
      </c>
      <c r="B44" s="167" t="e">
        <f>AVERAGEIF(B43:E43, "&lt;&gt;#DIV/0!")</f>
        <v>#DIV/0!</v>
      </c>
      <c r="C44" s="169"/>
      <c r="D44" s="167"/>
      <c r="E44" s="167"/>
      <c r="F44" s="32"/>
    </row>
    <row r="45" spans="1:9" x14ac:dyDescent="0.25">
      <c r="A45" s="36" t="s">
        <v>175</v>
      </c>
      <c r="B45" s="32">
        <f>COUNTIF(B3:B42, "&lt;&gt;")</f>
        <v>0</v>
      </c>
      <c r="C45" s="32">
        <f t="shared" ref="C45:E45" si="1">COUNTIF(C3:C42, "&lt;&gt;")</f>
        <v>0</v>
      </c>
      <c r="D45" s="32">
        <f t="shared" si="1"/>
        <v>0</v>
      </c>
      <c r="E45" s="32">
        <f t="shared" si="1"/>
        <v>0</v>
      </c>
      <c r="F45" s="32"/>
    </row>
    <row r="46" spans="1:9" x14ac:dyDescent="0.25">
      <c r="F46" s="85"/>
    </row>
    <row r="47" spans="1:9" x14ac:dyDescent="0.25">
      <c r="A47" s="9"/>
      <c r="B47" s="19" t="s">
        <v>176</v>
      </c>
      <c r="C47" s="19" t="s">
        <v>177</v>
      </c>
      <c r="D47" s="19" t="s">
        <v>178</v>
      </c>
      <c r="E47" s="19" t="s">
        <v>179</v>
      </c>
      <c r="F47" s="19" t="s">
        <v>180</v>
      </c>
      <c r="G47" s="19" t="s">
        <v>181</v>
      </c>
      <c r="H47" s="20" t="s">
        <v>182</v>
      </c>
      <c r="I47" s="20" t="s">
        <v>60</v>
      </c>
    </row>
    <row r="48" spans="1:9" x14ac:dyDescent="0.25">
      <c r="A48" s="101" t="s">
        <v>183</v>
      </c>
      <c r="B48" s="13">
        <f>COUNTIF($B$2, "A") + COUNTIF($E$2, "A")</f>
        <v>0</v>
      </c>
      <c r="C48" s="13">
        <f>COUNTIF($B$2, "Q") + COUNTIF($E$2, "Q")</f>
        <v>0</v>
      </c>
      <c r="D48" s="13">
        <f>COUNTIF($B$2, "M") + COUNTIF($E$2, "M")</f>
        <v>0</v>
      </c>
      <c r="E48" s="13">
        <f>COUNTIF($B$2, "F") + COUNTIF($E$2, "F")</f>
        <v>0</v>
      </c>
      <c r="F48" s="13">
        <f>COUNTIF($B$2, "P") + COUNTIF($E$2, "P")</f>
        <v>0</v>
      </c>
      <c r="G48" s="13">
        <f>COUNTIF($B$2, "L") + COUNTIF($E$2, "L")</f>
        <v>0</v>
      </c>
      <c r="H48" s="13">
        <f>COUNTIF($B$2, "OT") + COUNTIF($E$2, "OT")</f>
        <v>0</v>
      </c>
      <c r="I48" s="9">
        <f>SUM(B48:H48)</f>
        <v>0</v>
      </c>
    </row>
    <row r="49" spans="1:9" x14ac:dyDescent="0.25">
      <c r="A49" s="102" t="s">
        <v>184</v>
      </c>
      <c r="B49" s="13">
        <f>COUNTIF($C$2, "A")</f>
        <v>0</v>
      </c>
      <c r="C49" s="13">
        <f>COUNTIF($C$2, "Q")</f>
        <v>0</v>
      </c>
      <c r="D49" s="13">
        <f>COUNTIF($C$2, "M")</f>
        <v>0</v>
      </c>
      <c r="E49" s="13">
        <f>COUNTIF($C$2, "F")</f>
        <v>0</v>
      </c>
      <c r="F49" s="13">
        <f>COUNTIF($C$2, "P")</f>
        <v>0</v>
      </c>
      <c r="G49" s="13">
        <f>COUNTIF($C$2, "L")</f>
        <v>0</v>
      </c>
      <c r="H49" s="13">
        <f>COUNTIF($C$2, "OT")</f>
        <v>0</v>
      </c>
      <c r="I49" s="9">
        <f t="shared" ref="I49:I50" si="2">SUM(B49:H49)</f>
        <v>0</v>
      </c>
    </row>
    <row r="50" spans="1:9" x14ac:dyDescent="0.25">
      <c r="A50" s="103" t="s">
        <v>185</v>
      </c>
      <c r="B50" s="13">
        <f>COUNTIF($D$2, "A")</f>
        <v>0</v>
      </c>
      <c r="C50" s="13">
        <f>COUNTIF($D$2, "Q")</f>
        <v>0</v>
      </c>
      <c r="D50" s="13">
        <f>COUNTIF($D$2, "M")</f>
        <v>0</v>
      </c>
      <c r="E50" s="13">
        <f>COUNTIF($D$2, "F")</f>
        <v>0</v>
      </c>
      <c r="F50" s="13">
        <f>COUNTIF($D$2, "P")</f>
        <v>0</v>
      </c>
      <c r="G50" s="13">
        <f>COUNTIF($D$2, "L")</f>
        <v>0</v>
      </c>
      <c r="H50" s="13">
        <f>COUNTIF($D$2, "OT")</f>
        <v>0</v>
      </c>
      <c r="I50" s="9">
        <f t="shared" si="2"/>
        <v>0</v>
      </c>
    </row>
    <row r="51" spans="1:9" x14ac:dyDescent="0.25">
      <c r="A51" s="19" t="s">
        <v>60</v>
      </c>
      <c r="B51" s="9">
        <f>SUM(B48:B50)</f>
        <v>0</v>
      </c>
      <c r="C51" s="9">
        <f t="shared" ref="C51" si="3">SUM(C48:C50)</f>
        <v>0</v>
      </c>
      <c r="D51" s="9">
        <f t="shared" ref="D51:H51" si="4">SUM(D48:D50)</f>
        <v>0</v>
      </c>
      <c r="E51" s="9">
        <f>SUM(E48:E50)</f>
        <v>0</v>
      </c>
      <c r="F51" s="9">
        <f t="shared" si="4"/>
        <v>0</v>
      </c>
      <c r="G51" s="9">
        <f t="shared" si="4"/>
        <v>0</v>
      </c>
      <c r="H51" s="9">
        <f t="shared" si="4"/>
        <v>0</v>
      </c>
      <c r="I51" s="9">
        <f>SUM(I48:I50)</f>
        <v>0</v>
      </c>
    </row>
    <row r="53" spans="1:9" ht="18.75" thickBot="1" x14ac:dyDescent="0.3">
      <c r="A53" s="87" t="s">
        <v>186</v>
      </c>
      <c r="B53" s="87"/>
      <c r="C53" s="87"/>
      <c r="D53" s="87"/>
      <c r="E53" s="87"/>
    </row>
    <row r="54" spans="1:9" ht="16.5" thickBot="1" x14ac:dyDescent="0.3">
      <c r="A54" s="111" t="s">
        <v>25</v>
      </c>
      <c r="B54" s="150" t="s">
        <v>125</v>
      </c>
      <c r="C54" s="151" t="s">
        <v>127</v>
      </c>
      <c r="D54" s="152" t="s">
        <v>129</v>
      </c>
      <c r="E54" s="150" t="s">
        <v>123</v>
      </c>
      <c r="F54" s="40" t="s">
        <v>13</v>
      </c>
    </row>
    <row r="55" spans="1:9" ht="16.5" thickBot="1" x14ac:dyDescent="0.3">
      <c r="A55" s="112" t="s">
        <v>27</v>
      </c>
      <c r="B55" s="117" t="e">
        <f>(COUNTIF(B3:B42, "&lt;=59%"))/B45</f>
        <v>#DIV/0!</v>
      </c>
      <c r="C55" s="117" t="e">
        <f t="shared" ref="C55:E55" si="5">(COUNTIF(C3:C42, "&lt;=59%"))/C45</f>
        <v>#DIV/0!</v>
      </c>
      <c r="D55" s="117" t="e">
        <f t="shared" si="5"/>
        <v>#DIV/0!</v>
      </c>
      <c r="E55" s="117" t="e">
        <f t="shared" si="5"/>
        <v>#DIV/0!</v>
      </c>
      <c r="F55" s="41" t="e">
        <f>AVERAGEIF(B55:E55, "&lt;&gt;#DIV/0!")</f>
        <v>#DIV/0!</v>
      </c>
    </row>
    <row r="56" spans="1:9" ht="16.5" thickBot="1" x14ac:dyDescent="0.3">
      <c r="A56" s="113" t="s">
        <v>29</v>
      </c>
      <c r="B56" s="120" t="e">
        <f>(COUNTIFS(B3:B42, "&gt;= 60%", B3:B42, "&lt;=69%" ))/B45</f>
        <v>#DIV/0!</v>
      </c>
      <c r="C56" s="120" t="e">
        <f t="shared" ref="C56:E56" si="6">(COUNTIFS(C3:C42, "&gt;= 60%", C3:C42, "&lt;=69%" ))/C45</f>
        <v>#DIV/0!</v>
      </c>
      <c r="D56" s="120" t="e">
        <f t="shared" si="6"/>
        <v>#DIV/0!</v>
      </c>
      <c r="E56" s="120" t="e">
        <f t="shared" si="6"/>
        <v>#DIV/0!</v>
      </c>
      <c r="F56" s="41" t="e">
        <f>AVERAGEIF(B56:E56, "&lt;&gt;#DIV/0!")</f>
        <v>#DIV/0!</v>
      </c>
    </row>
    <row r="57" spans="1:9" ht="16.5" thickBot="1" x14ac:dyDescent="0.3">
      <c r="A57" s="114" t="s">
        <v>31</v>
      </c>
      <c r="B57" s="120" t="e">
        <f>(COUNTIFS(B3:B42, "&gt;= 70%", B3:B42, "&lt;=79%" ))/B45</f>
        <v>#DIV/0!</v>
      </c>
      <c r="C57" s="120" t="e">
        <f t="shared" ref="C57:E57" si="7">(COUNTIFS(C3:C42, "&gt;= 70%", C3:C42, "&lt;=79%" ))/C45</f>
        <v>#DIV/0!</v>
      </c>
      <c r="D57" s="120" t="e">
        <f t="shared" si="7"/>
        <v>#DIV/0!</v>
      </c>
      <c r="E57" s="120" t="e">
        <f t="shared" si="7"/>
        <v>#DIV/0!</v>
      </c>
      <c r="F57" s="41" t="e">
        <f>AVERAGEIF(B57:E57, "&lt;&gt;#DIV/0!")</f>
        <v>#DIV/0!</v>
      </c>
    </row>
    <row r="58" spans="1:9" ht="16.5" thickBot="1" x14ac:dyDescent="0.3">
      <c r="A58" s="115" t="s">
        <v>33</v>
      </c>
      <c r="B58" s="120" t="e">
        <f>(COUNTIF(B3:B42,"&gt;= 80%")/B45)</f>
        <v>#DIV/0!</v>
      </c>
      <c r="C58" s="120" t="e">
        <f t="shared" ref="C58:E58" si="8">(COUNTIF(C3:C42,"&gt;= 80%")/C45)</f>
        <v>#DIV/0!</v>
      </c>
      <c r="D58" s="120" t="e">
        <f t="shared" si="8"/>
        <v>#DIV/0!</v>
      </c>
      <c r="E58" s="120" t="e">
        <f t="shared" si="8"/>
        <v>#DIV/0!</v>
      </c>
      <c r="F58" s="129" t="e">
        <f>AVERAGEIF(B58:E58, "&lt;&gt;#DIV/0!")</f>
        <v>#DIV/0!</v>
      </c>
    </row>
    <row r="59" spans="1:9" ht="15.75" thickBot="1" x14ac:dyDescent="0.3">
      <c r="A59" s="116"/>
      <c r="B59" s="128">
        <f t="shared" ref="B59:F59" si="9">SUMIF(B55:B58, "&lt;&gt;#DIV/0!")</f>
        <v>0</v>
      </c>
      <c r="C59" s="127">
        <f>SUMIF(C55:C58, "&lt;&gt;#DIV/0!")</f>
        <v>0</v>
      </c>
      <c r="D59" s="128">
        <f t="shared" si="9"/>
        <v>0</v>
      </c>
      <c r="E59" s="128">
        <f t="shared" si="9"/>
        <v>0</v>
      </c>
      <c r="F59" s="128">
        <f t="shared" si="9"/>
        <v>0</v>
      </c>
    </row>
    <row r="60" spans="1:9" ht="15.75" thickBot="1" x14ac:dyDescent="0.3"/>
    <row r="61" spans="1:9" ht="15.75" thickBot="1" x14ac:dyDescent="0.3">
      <c r="A61" s="25"/>
      <c r="B61" s="42" t="s">
        <v>188</v>
      </c>
      <c r="C61" s="42" t="s">
        <v>187</v>
      </c>
    </row>
    <row r="62" spans="1:9" ht="16.5" thickBot="1" x14ac:dyDescent="0.3">
      <c r="A62" s="38" t="s">
        <v>33</v>
      </c>
      <c r="B62" s="43">
        <v>100</v>
      </c>
      <c r="C62" s="44" t="s">
        <v>189</v>
      </c>
    </row>
    <row r="63" spans="1:9" ht="16.5" thickBot="1" x14ac:dyDescent="0.3">
      <c r="A63" s="38" t="s">
        <v>31</v>
      </c>
      <c r="B63" s="43">
        <v>79</v>
      </c>
      <c r="C63" s="44" t="s">
        <v>190</v>
      </c>
    </row>
    <row r="64" spans="1:9" ht="16.5" thickBot="1" x14ac:dyDescent="0.3">
      <c r="A64" s="38" t="s">
        <v>29</v>
      </c>
      <c r="B64" s="43">
        <v>69</v>
      </c>
      <c r="C64" s="44" t="s">
        <v>191</v>
      </c>
    </row>
    <row r="65" spans="1:3" ht="16.5" thickBot="1" x14ac:dyDescent="0.3">
      <c r="A65" s="38" t="s">
        <v>27</v>
      </c>
      <c r="B65" s="43">
        <v>59</v>
      </c>
      <c r="C65" s="44" t="s">
        <v>192</v>
      </c>
    </row>
  </sheetData>
  <mergeCells count="1">
    <mergeCell ref="F3:F22"/>
  </mergeCells>
  <phoneticPr fontId="11" type="noConversion"/>
  <conditionalFormatting sqref="C3:C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7" priority="9" operator="greaterThanOrEqual">
      <formula>80</formula>
    </cfRule>
    <cfRule type="containsBlanks" dxfId="46" priority="10" stopIfTrue="1">
      <formula>LEN(TRIM(C3))=0</formula>
    </cfRule>
    <cfRule type="cellIs" dxfId="45" priority="11" operator="greaterThanOrEqual">
      <formula>80</formula>
    </cfRule>
    <cfRule type="cellIs" dxfId="44" priority="12" operator="between">
      <formula>70</formula>
      <formula>79</formula>
    </cfRule>
    <cfRule type="cellIs" dxfId="43" priority="13" operator="between">
      <formula>60</formula>
      <formula>69</formula>
    </cfRule>
    <cfRule type="cellIs" dxfId="42" priority="14" operator="between">
      <formula>0</formula>
      <formula>59</formula>
    </cfRule>
  </conditionalFormatting>
  <conditionalFormatting sqref="D3:E42 B3:B42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1" priority="653" operator="greaterThanOrEqual">
      <formula>80</formula>
    </cfRule>
    <cfRule type="containsBlanks" dxfId="40" priority="654" stopIfTrue="1">
      <formula>LEN(TRIM(B3))=0</formula>
    </cfRule>
    <cfRule type="cellIs" dxfId="39" priority="655" operator="greaterThanOrEqual">
      <formula>80</formula>
    </cfRule>
    <cfRule type="cellIs" dxfId="38" priority="656" operator="between">
      <formula>70</formula>
      <formula>79</formula>
    </cfRule>
    <cfRule type="cellIs" dxfId="37" priority="657" operator="between">
      <formula>60</formula>
      <formula>69</formula>
    </cfRule>
    <cfRule type="cellIs" dxfId="36" priority="658" operator="between">
      <formula>0</formula>
      <formula>59</formula>
    </cfRule>
  </conditionalFormatting>
  <dataValidations count="1">
    <dataValidation type="list" allowBlank="1" showInputMessage="1" showErrorMessage="1" sqref="B2:E2" xr:uid="{5948EC2E-77AB-4DD1-9BE1-7EF7E673A950}">
      <formula1>$H$4:$H$11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8D17A-A562-4719-ACDB-34285C47B653}">
  <dimension ref="A1:M65"/>
  <sheetViews>
    <sheetView topLeftCell="A21" zoomScale="70" zoomScaleNormal="70" workbookViewId="0">
      <selection activeCell="B55" sqref="B55:B58"/>
    </sheetView>
  </sheetViews>
  <sheetFormatPr defaultRowHeight="15" x14ac:dyDescent="0.25"/>
  <cols>
    <col min="1" max="1" width="44.85546875" bestFit="1" customWidth="1"/>
    <col min="2" max="2" width="18.85546875" bestFit="1" customWidth="1"/>
    <col min="3" max="3" width="14.28515625" bestFit="1" customWidth="1"/>
    <col min="4" max="4" width="15.85546875" bestFit="1" customWidth="1"/>
    <col min="5" max="5" width="17.7109375" bestFit="1" customWidth="1"/>
    <col min="6" max="7" width="14.5703125" bestFit="1" customWidth="1"/>
    <col min="8" max="8" width="17.7109375" bestFit="1" customWidth="1"/>
    <col min="9" max="9" width="13.85546875" bestFit="1" customWidth="1"/>
    <col min="10" max="10" width="14.5703125" bestFit="1" customWidth="1"/>
    <col min="11" max="11" width="9.28515625" bestFit="1" customWidth="1"/>
    <col min="13" max="13" width="4.28515625" bestFit="1" customWidth="1"/>
  </cols>
  <sheetData>
    <row r="1" spans="1:13" x14ac:dyDescent="0.25">
      <c r="A1" s="9" t="s">
        <v>165</v>
      </c>
      <c r="B1" s="150" t="s">
        <v>131</v>
      </c>
      <c r="C1" s="150" t="s">
        <v>133</v>
      </c>
      <c r="D1" s="150" t="s">
        <v>135</v>
      </c>
      <c r="E1" s="151" t="s">
        <v>141</v>
      </c>
      <c r="F1" s="151" t="s">
        <v>137</v>
      </c>
      <c r="G1" s="151" t="s">
        <v>139</v>
      </c>
      <c r="H1" s="152" t="s">
        <v>143</v>
      </c>
      <c r="I1" s="152" t="s">
        <v>145</v>
      </c>
      <c r="J1" s="151" t="s">
        <v>147</v>
      </c>
      <c r="K1" s="30">
        <f>COUNTA(B1:J1)</f>
        <v>9</v>
      </c>
    </row>
    <row r="2" spans="1:13" ht="30" x14ac:dyDescent="0.25">
      <c r="A2" s="12" t="s">
        <v>166</v>
      </c>
      <c r="B2" s="9"/>
      <c r="C2" s="9"/>
      <c r="D2" s="9"/>
      <c r="E2" s="9"/>
      <c r="F2" s="9"/>
      <c r="G2" s="9"/>
      <c r="H2" s="9"/>
      <c r="I2" s="9"/>
      <c r="J2" s="9"/>
      <c r="K2" s="30">
        <f>COUNTIF(B2:J2, "&lt;&gt;")</f>
        <v>0</v>
      </c>
    </row>
    <row r="3" spans="1:13" x14ac:dyDescent="0.25">
      <c r="A3" s="31">
        <v>1</v>
      </c>
      <c r="B3" s="162"/>
      <c r="C3" s="162"/>
      <c r="D3" s="162"/>
      <c r="E3" s="162"/>
      <c r="F3" s="162"/>
      <c r="G3" s="162"/>
      <c r="H3" s="162"/>
      <c r="I3" s="162"/>
      <c r="J3" s="162"/>
      <c r="K3" s="181"/>
    </row>
    <row r="4" spans="1:13" x14ac:dyDescent="0.25">
      <c r="A4" s="31">
        <v>2</v>
      </c>
      <c r="B4" s="162"/>
      <c r="C4" s="162"/>
      <c r="D4" s="162"/>
      <c r="E4" s="162"/>
      <c r="F4" s="162"/>
      <c r="G4" s="162"/>
      <c r="H4" s="162"/>
      <c r="I4" s="162"/>
      <c r="J4" s="162"/>
      <c r="K4" s="182"/>
      <c r="M4" s="108" t="s">
        <v>167</v>
      </c>
    </row>
    <row r="5" spans="1:13" x14ac:dyDescent="0.25">
      <c r="A5" s="31">
        <v>3</v>
      </c>
      <c r="B5" s="162"/>
      <c r="C5" s="162"/>
      <c r="D5" s="162"/>
      <c r="E5" s="162"/>
      <c r="F5" s="162"/>
      <c r="G5" s="162"/>
      <c r="H5" s="162"/>
      <c r="I5" s="162"/>
      <c r="J5" s="162"/>
      <c r="K5" s="182"/>
      <c r="M5" s="108" t="s">
        <v>168</v>
      </c>
    </row>
    <row r="6" spans="1:13" x14ac:dyDescent="0.25">
      <c r="A6" s="31">
        <v>4</v>
      </c>
      <c r="B6" s="162"/>
      <c r="C6" s="162"/>
      <c r="D6" s="162"/>
      <c r="E6" s="162"/>
      <c r="F6" s="162"/>
      <c r="G6" s="162"/>
      <c r="H6" s="162"/>
      <c r="I6" s="162"/>
      <c r="J6" s="162"/>
      <c r="K6" s="182"/>
      <c r="M6" s="108" t="s">
        <v>169</v>
      </c>
    </row>
    <row r="7" spans="1:13" x14ac:dyDescent="0.25">
      <c r="A7" s="31">
        <v>5</v>
      </c>
      <c r="B7" s="162"/>
      <c r="C7" s="162"/>
      <c r="D7" s="162"/>
      <c r="E7" s="162"/>
      <c r="F7" s="162"/>
      <c r="G7" s="162"/>
      <c r="H7" s="162"/>
      <c r="I7" s="162"/>
      <c r="J7" s="162"/>
      <c r="K7" s="182"/>
      <c r="M7" s="108" t="s">
        <v>170</v>
      </c>
    </row>
    <row r="8" spans="1:13" x14ac:dyDescent="0.25">
      <c r="A8" s="31">
        <v>6</v>
      </c>
      <c r="B8" s="162"/>
      <c r="C8" s="162"/>
      <c r="D8" s="162"/>
      <c r="E8" s="162"/>
      <c r="F8" s="162"/>
      <c r="G8" s="162"/>
      <c r="H8" s="162"/>
      <c r="I8" s="162"/>
      <c r="J8" s="162"/>
      <c r="K8" s="182"/>
      <c r="M8" s="108" t="s">
        <v>171</v>
      </c>
    </row>
    <row r="9" spans="1:13" x14ac:dyDescent="0.25">
      <c r="A9" s="31">
        <v>7</v>
      </c>
      <c r="B9" s="162"/>
      <c r="C9" s="162"/>
      <c r="D9" s="162"/>
      <c r="E9" s="162"/>
      <c r="F9" s="162"/>
      <c r="G9" s="162"/>
      <c r="H9" s="162"/>
      <c r="I9" s="162"/>
      <c r="J9" s="162"/>
      <c r="K9" s="182"/>
      <c r="M9" s="108" t="s">
        <v>172</v>
      </c>
    </row>
    <row r="10" spans="1:13" x14ac:dyDescent="0.25">
      <c r="A10" s="31">
        <v>8</v>
      </c>
      <c r="B10" s="162"/>
      <c r="C10" s="162"/>
      <c r="D10" s="162"/>
      <c r="E10" s="162"/>
      <c r="F10" s="162"/>
      <c r="G10" s="162"/>
      <c r="H10" s="162"/>
      <c r="I10" s="162"/>
      <c r="J10" s="162"/>
      <c r="K10" s="182"/>
      <c r="M10" s="108" t="s">
        <v>173</v>
      </c>
    </row>
    <row r="11" spans="1:13" x14ac:dyDescent="0.25">
      <c r="A11" s="31">
        <v>9</v>
      </c>
      <c r="B11" s="162"/>
      <c r="C11" s="162"/>
      <c r="D11" s="162"/>
      <c r="E11" s="162"/>
      <c r="F11" s="162"/>
      <c r="G11" s="162"/>
      <c r="H11" s="162"/>
      <c r="I11" s="162"/>
      <c r="J11" s="162"/>
      <c r="K11" s="182"/>
    </row>
    <row r="12" spans="1:13" x14ac:dyDescent="0.25">
      <c r="A12" s="31">
        <v>10</v>
      </c>
      <c r="B12" s="162"/>
      <c r="C12" s="162"/>
      <c r="D12" s="162"/>
      <c r="E12" s="162"/>
      <c r="F12" s="162"/>
      <c r="G12" s="162"/>
      <c r="H12" s="162"/>
      <c r="I12" s="162"/>
      <c r="J12" s="162"/>
      <c r="K12" s="182"/>
    </row>
    <row r="13" spans="1:13" x14ac:dyDescent="0.25">
      <c r="A13" s="31">
        <v>11</v>
      </c>
      <c r="B13" s="162"/>
      <c r="C13" s="162"/>
      <c r="D13" s="162"/>
      <c r="E13" s="162"/>
      <c r="F13" s="162"/>
      <c r="G13" s="162"/>
      <c r="H13" s="162"/>
      <c r="I13" s="162"/>
      <c r="J13" s="162"/>
      <c r="K13" s="182"/>
    </row>
    <row r="14" spans="1:13" x14ac:dyDescent="0.25">
      <c r="A14" s="31">
        <v>12</v>
      </c>
      <c r="B14" s="162"/>
      <c r="C14" s="162"/>
      <c r="D14" s="162"/>
      <c r="E14" s="162"/>
      <c r="F14" s="162"/>
      <c r="G14" s="162"/>
      <c r="H14" s="162"/>
      <c r="I14" s="162"/>
      <c r="J14" s="162"/>
      <c r="K14" s="182"/>
    </row>
    <row r="15" spans="1:13" x14ac:dyDescent="0.25">
      <c r="A15" s="31">
        <v>13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82"/>
    </row>
    <row r="16" spans="1:13" x14ac:dyDescent="0.25">
      <c r="A16" s="31">
        <v>14</v>
      </c>
      <c r="B16" s="162"/>
      <c r="C16" s="162"/>
      <c r="D16" s="162"/>
      <c r="E16" s="162"/>
      <c r="F16" s="162"/>
      <c r="G16" s="162"/>
      <c r="H16" s="162"/>
      <c r="I16" s="162"/>
      <c r="J16" s="162"/>
      <c r="K16" s="182"/>
    </row>
    <row r="17" spans="1:11" x14ac:dyDescent="0.25">
      <c r="A17" s="31">
        <v>15</v>
      </c>
      <c r="B17" s="162"/>
      <c r="C17" s="162"/>
      <c r="D17" s="162"/>
      <c r="E17" s="162"/>
      <c r="F17" s="162"/>
      <c r="G17" s="162"/>
      <c r="H17" s="162"/>
      <c r="I17" s="162"/>
      <c r="J17" s="162"/>
      <c r="K17" s="182"/>
    </row>
    <row r="18" spans="1:11" x14ac:dyDescent="0.25">
      <c r="A18" s="31">
        <v>16</v>
      </c>
      <c r="B18" s="162"/>
      <c r="C18" s="162"/>
      <c r="D18" s="162"/>
      <c r="E18" s="162"/>
      <c r="F18" s="162"/>
      <c r="G18" s="162"/>
      <c r="H18" s="162"/>
      <c r="I18" s="162"/>
      <c r="J18" s="162"/>
      <c r="K18" s="182"/>
    </row>
    <row r="19" spans="1:11" x14ac:dyDescent="0.25">
      <c r="A19" s="31">
        <v>17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82"/>
    </row>
    <row r="20" spans="1:11" x14ac:dyDescent="0.25">
      <c r="A20" s="31">
        <v>18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82"/>
    </row>
    <row r="21" spans="1:11" x14ac:dyDescent="0.25">
      <c r="A21" s="31">
        <v>19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82"/>
    </row>
    <row r="22" spans="1:11" ht="15.75" thickBot="1" x14ac:dyDescent="0.3">
      <c r="A22" s="31">
        <v>20</v>
      </c>
      <c r="B22" s="162"/>
      <c r="C22" s="162"/>
      <c r="D22" s="162"/>
      <c r="E22" s="162"/>
      <c r="F22" s="162"/>
      <c r="G22" s="162"/>
      <c r="H22" s="162"/>
      <c r="I22" s="162"/>
      <c r="J22" s="162"/>
      <c r="K22" s="183"/>
    </row>
    <row r="23" spans="1:11" ht="15.75" thickTop="1" x14ac:dyDescent="0.25">
      <c r="A23" s="31">
        <v>21</v>
      </c>
      <c r="B23" s="168"/>
      <c r="C23" s="168"/>
      <c r="D23" s="168"/>
      <c r="E23" s="168"/>
      <c r="F23" s="168"/>
      <c r="G23" s="168"/>
      <c r="H23" s="168"/>
      <c r="I23" s="168"/>
      <c r="J23" s="168"/>
      <c r="K23" s="99"/>
    </row>
    <row r="24" spans="1:11" x14ac:dyDescent="0.25">
      <c r="A24" s="31">
        <v>22</v>
      </c>
      <c r="B24" s="168"/>
      <c r="C24" s="168"/>
      <c r="D24" s="168"/>
      <c r="E24" s="168"/>
      <c r="F24" s="168"/>
      <c r="G24" s="168"/>
      <c r="H24" s="168"/>
      <c r="I24" s="168"/>
      <c r="J24" s="168"/>
      <c r="K24" s="99"/>
    </row>
    <row r="25" spans="1:11" x14ac:dyDescent="0.25">
      <c r="A25" s="31">
        <v>23</v>
      </c>
      <c r="B25" s="168"/>
      <c r="C25" s="168"/>
      <c r="D25" s="168"/>
      <c r="E25" s="168"/>
      <c r="F25" s="168"/>
      <c r="G25" s="168"/>
      <c r="H25" s="168"/>
      <c r="I25" s="168"/>
      <c r="J25" s="168"/>
      <c r="K25" s="99"/>
    </row>
    <row r="26" spans="1:11" x14ac:dyDescent="0.25">
      <c r="A26" s="31">
        <v>24</v>
      </c>
      <c r="B26" s="168"/>
      <c r="C26" s="168"/>
      <c r="D26" s="168"/>
      <c r="E26" s="168"/>
      <c r="F26" s="168"/>
      <c r="G26" s="168"/>
      <c r="H26" s="168"/>
      <c r="I26" s="168"/>
      <c r="J26" s="168"/>
      <c r="K26" s="99"/>
    </row>
    <row r="27" spans="1:11" x14ac:dyDescent="0.25">
      <c r="A27" s="31">
        <v>25</v>
      </c>
      <c r="B27" s="168"/>
      <c r="C27" s="168"/>
      <c r="D27" s="168"/>
      <c r="E27" s="168"/>
      <c r="F27" s="168"/>
      <c r="G27" s="168"/>
      <c r="H27" s="168"/>
      <c r="I27" s="168"/>
      <c r="J27" s="168"/>
      <c r="K27" s="99"/>
    </row>
    <row r="28" spans="1:11" x14ac:dyDescent="0.25">
      <c r="A28" s="31">
        <v>26</v>
      </c>
      <c r="B28" s="168"/>
      <c r="C28" s="168"/>
      <c r="D28" s="168"/>
      <c r="E28" s="168"/>
      <c r="F28" s="168"/>
      <c r="G28" s="168"/>
      <c r="H28" s="168"/>
      <c r="I28" s="168"/>
      <c r="J28" s="168"/>
      <c r="K28" s="99"/>
    </row>
    <row r="29" spans="1:11" x14ac:dyDescent="0.25">
      <c r="A29" s="31">
        <v>27</v>
      </c>
      <c r="B29" s="168"/>
      <c r="C29" s="168"/>
      <c r="D29" s="168"/>
      <c r="E29" s="168"/>
      <c r="F29" s="168"/>
      <c r="G29" s="168"/>
      <c r="H29" s="168"/>
      <c r="I29" s="168"/>
      <c r="J29" s="168"/>
      <c r="K29" s="99"/>
    </row>
    <row r="30" spans="1:11" x14ac:dyDescent="0.25">
      <c r="A30" s="31">
        <v>28</v>
      </c>
      <c r="B30" s="168"/>
      <c r="C30" s="168"/>
      <c r="D30" s="168"/>
      <c r="E30" s="168"/>
      <c r="F30" s="168"/>
      <c r="G30" s="168"/>
      <c r="H30" s="168"/>
      <c r="I30" s="168"/>
      <c r="J30" s="168"/>
      <c r="K30" s="99"/>
    </row>
    <row r="31" spans="1:11" x14ac:dyDescent="0.25">
      <c r="A31" s="31">
        <v>29</v>
      </c>
      <c r="B31" s="168"/>
      <c r="C31" s="168"/>
      <c r="D31" s="168"/>
      <c r="E31" s="168"/>
      <c r="F31" s="168"/>
      <c r="G31" s="168"/>
      <c r="H31" s="168"/>
      <c r="I31" s="168"/>
      <c r="J31" s="168"/>
      <c r="K31" s="99"/>
    </row>
    <row r="32" spans="1:11" x14ac:dyDescent="0.25">
      <c r="A32" s="31">
        <v>30</v>
      </c>
      <c r="B32" s="168"/>
      <c r="C32" s="168"/>
      <c r="D32" s="168"/>
      <c r="E32" s="168"/>
      <c r="F32" s="168"/>
      <c r="G32" s="168"/>
      <c r="H32" s="168"/>
      <c r="I32" s="168"/>
      <c r="J32" s="168"/>
      <c r="K32" s="99"/>
    </row>
    <row r="33" spans="1:11" x14ac:dyDescent="0.25">
      <c r="A33" s="31">
        <v>31</v>
      </c>
      <c r="B33" s="168"/>
      <c r="C33" s="168"/>
      <c r="D33" s="168"/>
      <c r="E33" s="168"/>
      <c r="F33" s="168"/>
      <c r="G33" s="168"/>
      <c r="H33" s="168"/>
      <c r="I33" s="168"/>
      <c r="J33" s="168"/>
      <c r="K33" s="99"/>
    </row>
    <row r="34" spans="1:11" x14ac:dyDescent="0.25">
      <c r="A34" s="31">
        <v>32</v>
      </c>
      <c r="B34" s="168"/>
      <c r="C34" s="168"/>
      <c r="D34" s="168"/>
      <c r="E34" s="168"/>
      <c r="F34" s="168"/>
      <c r="G34" s="168"/>
      <c r="H34" s="168"/>
      <c r="I34" s="168"/>
      <c r="J34" s="168"/>
      <c r="K34" s="99"/>
    </row>
    <row r="35" spans="1:11" x14ac:dyDescent="0.25">
      <c r="A35" s="31">
        <v>33</v>
      </c>
      <c r="B35" s="168"/>
      <c r="C35" s="168"/>
      <c r="D35" s="168"/>
      <c r="E35" s="168"/>
      <c r="F35" s="168"/>
      <c r="G35" s="168"/>
      <c r="H35" s="168"/>
      <c r="I35" s="168"/>
      <c r="J35" s="168"/>
      <c r="K35" s="99"/>
    </row>
    <row r="36" spans="1:11" x14ac:dyDescent="0.25">
      <c r="A36" s="31">
        <v>34</v>
      </c>
      <c r="B36" s="168"/>
      <c r="C36" s="168"/>
      <c r="D36" s="168"/>
      <c r="E36" s="168"/>
      <c r="F36" s="168"/>
      <c r="G36" s="168"/>
      <c r="H36" s="168"/>
      <c r="I36" s="168"/>
      <c r="J36" s="168"/>
      <c r="K36" s="99"/>
    </row>
    <row r="37" spans="1:11" x14ac:dyDescent="0.25">
      <c r="A37" s="31">
        <v>35</v>
      </c>
      <c r="B37" s="168"/>
      <c r="C37" s="168"/>
      <c r="D37" s="168"/>
      <c r="E37" s="168"/>
      <c r="F37" s="168"/>
      <c r="G37" s="168"/>
      <c r="H37" s="168"/>
      <c r="I37" s="168"/>
      <c r="J37" s="168"/>
      <c r="K37" s="99"/>
    </row>
    <row r="38" spans="1:11" x14ac:dyDescent="0.25">
      <c r="A38" s="31">
        <v>36</v>
      </c>
      <c r="B38" s="168"/>
      <c r="C38" s="168"/>
      <c r="D38" s="168"/>
      <c r="E38" s="168"/>
      <c r="F38" s="168"/>
      <c r="G38" s="168"/>
      <c r="H38" s="168"/>
      <c r="I38" s="168"/>
      <c r="J38" s="168"/>
      <c r="K38" s="99"/>
    </row>
    <row r="39" spans="1:11" x14ac:dyDescent="0.25">
      <c r="A39" s="31">
        <v>37</v>
      </c>
      <c r="B39" s="168"/>
      <c r="C39" s="168"/>
      <c r="D39" s="168"/>
      <c r="E39" s="168"/>
      <c r="F39" s="168"/>
      <c r="G39" s="168"/>
      <c r="H39" s="168"/>
      <c r="I39" s="168"/>
      <c r="J39" s="168"/>
      <c r="K39" s="99"/>
    </row>
    <row r="40" spans="1:11" x14ac:dyDescent="0.25">
      <c r="A40" s="31">
        <v>38</v>
      </c>
      <c r="B40" s="168"/>
      <c r="C40" s="168"/>
      <c r="D40" s="168"/>
      <c r="E40" s="168"/>
      <c r="F40" s="168"/>
      <c r="G40" s="168"/>
      <c r="H40" s="168"/>
      <c r="I40" s="168"/>
      <c r="J40" s="168"/>
      <c r="K40" s="99"/>
    </row>
    <row r="41" spans="1:11" x14ac:dyDescent="0.25">
      <c r="A41" s="31">
        <v>39</v>
      </c>
      <c r="B41" s="168"/>
      <c r="C41" s="168"/>
      <c r="D41" s="168"/>
      <c r="E41" s="168"/>
      <c r="F41" s="168"/>
      <c r="G41" s="168"/>
      <c r="H41" s="168"/>
      <c r="I41" s="168"/>
      <c r="J41" s="168"/>
      <c r="K41" s="99"/>
    </row>
    <row r="42" spans="1:11" ht="15.75" thickBot="1" x14ac:dyDescent="0.3">
      <c r="A42" s="31">
        <v>40</v>
      </c>
      <c r="B42" s="168"/>
      <c r="C42" s="168"/>
      <c r="D42" s="168"/>
      <c r="E42" s="168"/>
      <c r="F42" s="168"/>
      <c r="G42" s="168"/>
      <c r="H42" s="168"/>
      <c r="I42" s="168"/>
      <c r="J42" s="168"/>
      <c r="K42" s="99"/>
    </row>
    <row r="43" spans="1:11" ht="15.75" thickTop="1" x14ac:dyDescent="0.25">
      <c r="A43" s="109" t="s">
        <v>13</v>
      </c>
      <c r="B43" s="166" t="e">
        <f>AVERAGE(B3:B42)</f>
        <v>#DIV/0!</v>
      </c>
      <c r="C43" s="166" t="e">
        <f t="shared" ref="C43:J43" si="0">AVERAGE(C3:C42)</f>
        <v>#DIV/0!</v>
      </c>
      <c r="D43" s="166" t="e">
        <f t="shared" si="0"/>
        <v>#DIV/0!</v>
      </c>
      <c r="E43" s="166" t="e">
        <f t="shared" si="0"/>
        <v>#DIV/0!</v>
      </c>
      <c r="F43" s="166" t="e">
        <f t="shared" si="0"/>
        <v>#DIV/0!</v>
      </c>
      <c r="G43" s="166" t="e">
        <f t="shared" si="0"/>
        <v>#DIV/0!</v>
      </c>
      <c r="H43" s="166" t="e">
        <f t="shared" si="0"/>
        <v>#DIV/0!</v>
      </c>
      <c r="I43" s="166" t="e">
        <f t="shared" si="0"/>
        <v>#DIV/0!</v>
      </c>
      <c r="J43" s="166" t="e">
        <f t="shared" si="0"/>
        <v>#DIV/0!</v>
      </c>
      <c r="K43" s="35"/>
    </row>
    <row r="44" spans="1:11" x14ac:dyDescent="0.25">
      <c r="A44" s="36" t="s">
        <v>174</v>
      </c>
      <c r="B44" s="167" t="e">
        <f>AVERAGEIF(B43:J43, "&lt;&gt;#DIV/0!")</f>
        <v>#DIV/0!</v>
      </c>
      <c r="C44" s="169"/>
      <c r="D44" s="167"/>
      <c r="E44" s="167"/>
      <c r="F44" s="167"/>
      <c r="G44" s="167"/>
      <c r="H44" s="167"/>
      <c r="I44" s="167"/>
      <c r="J44" s="167"/>
      <c r="K44" s="32"/>
    </row>
    <row r="45" spans="1:11" x14ac:dyDescent="0.25">
      <c r="A45" s="36" t="s">
        <v>175</v>
      </c>
      <c r="B45" s="32">
        <f>COUNTIF(B3:B42, "&lt;&gt;")</f>
        <v>0</v>
      </c>
      <c r="C45" s="32">
        <f t="shared" ref="C45:J45" si="1">COUNTIF(C3:C42, "&lt;&gt;")</f>
        <v>0</v>
      </c>
      <c r="D45" s="32">
        <f t="shared" si="1"/>
        <v>0</v>
      </c>
      <c r="E45" s="32">
        <f t="shared" si="1"/>
        <v>0</v>
      </c>
      <c r="F45" s="32">
        <f t="shared" si="1"/>
        <v>0</v>
      </c>
      <c r="G45" s="32">
        <f t="shared" si="1"/>
        <v>0</v>
      </c>
      <c r="H45" s="32">
        <f t="shared" si="1"/>
        <v>0</v>
      </c>
      <c r="I45" s="32">
        <f t="shared" si="1"/>
        <v>0</v>
      </c>
      <c r="J45" s="32">
        <f t="shared" si="1"/>
        <v>0</v>
      </c>
      <c r="K45" s="32"/>
    </row>
    <row r="46" spans="1:11" x14ac:dyDescent="0.25">
      <c r="A46" s="92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x14ac:dyDescent="0.25">
      <c r="A47" s="9"/>
      <c r="B47" s="19" t="s">
        <v>176</v>
      </c>
      <c r="C47" s="19" t="s">
        <v>177</v>
      </c>
      <c r="D47" s="19" t="s">
        <v>178</v>
      </c>
      <c r="E47" s="19" t="s">
        <v>179</v>
      </c>
      <c r="F47" s="19" t="s">
        <v>180</v>
      </c>
      <c r="G47" s="19" t="s">
        <v>181</v>
      </c>
      <c r="H47" s="20" t="s">
        <v>182</v>
      </c>
      <c r="I47" s="20" t="s">
        <v>60</v>
      </c>
      <c r="J47" s="85"/>
      <c r="K47" s="85"/>
    </row>
    <row r="48" spans="1:11" x14ac:dyDescent="0.25">
      <c r="A48" s="101" t="s">
        <v>183</v>
      </c>
      <c r="B48" s="13">
        <f>COUNTIF($B$2:$D$2, "A")</f>
        <v>0</v>
      </c>
      <c r="C48" s="13">
        <f>COUNTIF($B$2:$D$2, "Q")</f>
        <v>0</v>
      </c>
      <c r="D48" s="13">
        <f>COUNTIF($B$2:$D$2, "M")</f>
        <v>0</v>
      </c>
      <c r="E48" s="13">
        <f>COUNTIF($B$2:$D$2, "F")</f>
        <v>0</v>
      </c>
      <c r="F48" s="13">
        <f>COUNTIF($B$2:$D$2, "P")</f>
        <v>0</v>
      </c>
      <c r="G48" s="13">
        <f>COUNTIF($B$2:$D$2, "L")</f>
        <v>0</v>
      </c>
      <c r="H48" s="13">
        <f>COUNTIF($B$2:$D$2, "OT")</f>
        <v>0</v>
      </c>
      <c r="I48" s="9">
        <f>SUM(B48:H48)</f>
        <v>0</v>
      </c>
      <c r="J48" s="85"/>
      <c r="K48" s="85"/>
    </row>
    <row r="49" spans="1:11" x14ac:dyDescent="0.25">
      <c r="A49" s="102" t="s">
        <v>184</v>
      </c>
      <c r="B49" s="13">
        <f>COUNTIF($E$2:$G$2, "A") + COUNTIF($J$2, "A")</f>
        <v>0</v>
      </c>
      <c r="C49" s="13">
        <f>COUNTIF($E$2:$G$2, "Q") + COUNTIF($J$2, "Q")</f>
        <v>0</v>
      </c>
      <c r="D49" s="13">
        <f>COUNTIF($E$2:$G$2, "M") + COUNTIF($J$2, "M")</f>
        <v>0</v>
      </c>
      <c r="E49" s="13">
        <f>COUNTIF($E$2:$G$2, "F") + COUNTIF($J$2, "F")</f>
        <v>0</v>
      </c>
      <c r="F49" s="13">
        <f>COUNTIF($E$2:$G$2, "P") + COUNTIF($J$2, "P")</f>
        <v>0</v>
      </c>
      <c r="G49" s="13">
        <f>COUNTIF($E$2:$G$2, "L") + COUNTIF($J$2, "L")</f>
        <v>0</v>
      </c>
      <c r="H49" s="13">
        <f>COUNTIF($E$2:$G$2, "OT") + COUNTIF($J$2, "OT")</f>
        <v>0</v>
      </c>
      <c r="I49" s="9">
        <f t="shared" ref="I49:I50" si="2">SUM(B49:H49)</f>
        <v>0</v>
      </c>
      <c r="J49" s="85"/>
      <c r="K49" s="85"/>
    </row>
    <row r="50" spans="1:11" x14ac:dyDescent="0.25">
      <c r="A50" s="103" t="s">
        <v>185</v>
      </c>
      <c r="B50" s="13">
        <f>COUNTIF($H$2:$I$2, "A")</f>
        <v>0</v>
      </c>
      <c r="C50" s="13">
        <f>COUNTIF($H$2:$I$2, "Q")</f>
        <v>0</v>
      </c>
      <c r="D50" s="13">
        <f>COUNTIF($H$2:$I$2, "M")</f>
        <v>0</v>
      </c>
      <c r="E50" s="13">
        <f>COUNTIF($H$2:$I$2, "F")</f>
        <v>0</v>
      </c>
      <c r="F50" s="13">
        <f>COUNTIF($H$2:$I$2, "P")</f>
        <v>0</v>
      </c>
      <c r="G50" s="13">
        <f>COUNTIF($H$2:$I$2, "L")</f>
        <v>0</v>
      </c>
      <c r="H50" s="13">
        <f>COUNTIF($H$2:$I$2, "OT")</f>
        <v>0</v>
      </c>
      <c r="I50" s="9">
        <f t="shared" si="2"/>
        <v>0</v>
      </c>
      <c r="J50" s="85"/>
      <c r="K50" s="85"/>
    </row>
    <row r="51" spans="1:11" x14ac:dyDescent="0.25">
      <c r="A51" s="19" t="s">
        <v>60</v>
      </c>
      <c r="B51" s="9">
        <f>SUM(B48:B50)</f>
        <v>0</v>
      </c>
      <c r="C51" s="9">
        <f t="shared" ref="C51:H51" si="3">SUM(C48:C50)</f>
        <v>0</v>
      </c>
      <c r="D51" s="9">
        <f t="shared" si="3"/>
        <v>0</v>
      </c>
      <c r="E51" s="9">
        <f>SUM(E48:E50)</f>
        <v>0</v>
      </c>
      <c r="F51" s="9">
        <f t="shared" si="3"/>
        <v>0</v>
      </c>
      <c r="G51" s="9">
        <f t="shared" si="3"/>
        <v>0</v>
      </c>
      <c r="H51" s="9">
        <f t="shared" si="3"/>
        <v>0</v>
      </c>
      <c r="I51" s="9">
        <f>SUM(I48:I50)</f>
        <v>0</v>
      </c>
      <c r="J51" s="85"/>
      <c r="K51" s="85"/>
    </row>
    <row r="53" spans="1:11" ht="18.75" thickBot="1" x14ac:dyDescent="0.3">
      <c r="A53" s="87" t="s">
        <v>186</v>
      </c>
      <c r="B53" s="87"/>
      <c r="C53" s="87"/>
      <c r="D53" s="87"/>
      <c r="E53" s="87"/>
      <c r="F53" s="87"/>
      <c r="H53" s="85"/>
      <c r="I53" s="85"/>
      <c r="J53" s="85"/>
    </row>
    <row r="54" spans="1:11" ht="16.5" thickBot="1" x14ac:dyDescent="0.3">
      <c r="A54" s="111" t="s">
        <v>25</v>
      </c>
      <c r="B54" s="150" t="s">
        <v>131</v>
      </c>
      <c r="C54" s="150" t="s">
        <v>133</v>
      </c>
      <c r="D54" s="150" t="s">
        <v>135</v>
      </c>
      <c r="E54" s="151" t="s">
        <v>141</v>
      </c>
      <c r="F54" s="151" t="s">
        <v>137</v>
      </c>
      <c r="G54" s="151" t="s">
        <v>139</v>
      </c>
      <c r="H54" s="152" t="s">
        <v>143</v>
      </c>
      <c r="I54" s="152" t="s">
        <v>145</v>
      </c>
      <c r="J54" s="151" t="s">
        <v>147</v>
      </c>
      <c r="K54" s="40" t="s">
        <v>13</v>
      </c>
    </row>
    <row r="55" spans="1:11" ht="16.5" thickBot="1" x14ac:dyDescent="0.3">
      <c r="A55" s="112" t="s">
        <v>27</v>
      </c>
      <c r="B55" s="117" t="e">
        <f>(COUNTIF(B3:B42, "&lt;=59%"))/B45</f>
        <v>#DIV/0!</v>
      </c>
      <c r="C55" s="117" t="e">
        <f t="shared" ref="C55:J55" si="4">(COUNTIF(C3:C42, "&lt;=59%"))/C45</f>
        <v>#DIV/0!</v>
      </c>
      <c r="D55" s="117" t="e">
        <f t="shared" si="4"/>
        <v>#DIV/0!</v>
      </c>
      <c r="E55" s="117" t="e">
        <f t="shared" si="4"/>
        <v>#DIV/0!</v>
      </c>
      <c r="F55" s="117" t="e">
        <f t="shared" si="4"/>
        <v>#DIV/0!</v>
      </c>
      <c r="G55" s="117" t="e">
        <f t="shared" si="4"/>
        <v>#DIV/0!</v>
      </c>
      <c r="H55" s="117" t="e">
        <f t="shared" si="4"/>
        <v>#DIV/0!</v>
      </c>
      <c r="I55" s="117" t="e">
        <f t="shared" si="4"/>
        <v>#DIV/0!</v>
      </c>
      <c r="J55" s="117" t="e">
        <f t="shared" si="4"/>
        <v>#DIV/0!</v>
      </c>
      <c r="K55" s="41" t="e">
        <f>AVERAGEIF(B55:J55, "&lt;&gt;#DIV/0!")</f>
        <v>#DIV/0!</v>
      </c>
    </row>
    <row r="56" spans="1:11" ht="16.5" thickBot="1" x14ac:dyDescent="0.3">
      <c r="A56" s="113" t="s">
        <v>29</v>
      </c>
      <c r="B56" s="120" t="e">
        <f>(COUNTIFS(B3:B42, "&gt;= 60%", B3:B42, "&lt;=69%" ))/B45</f>
        <v>#DIV/0!</v>
      </c>
      <c r="C56" s="120" t="e">
        <f t="shared" ref="C56:J56" si="5">(COUNTIFS(C3:C42, "&gt;= 60%", C3:C42, "&lt;=69%" ))/C45</f>
        <v>#DIV/0!</v>
      </c>
      <c r="D56" s="120" t="e">
        <f t="shared" si="5"/>
        <v>#DIV/0!</v>
      </c>
      <c r="E56" s="120" t="e">
        <f t="shared" si="5"/>
        <v>#DIV/0!</v>
      </c>
      <c r="F56" s="120" t="e">
        <f t="shared" si="5"/>
        <v>#DIV/0!</v>
      </c>
      <c r="G56" s="120" t="e">
        <f t="shared" si="5"/>
        <v>#DIV/0!</v>
      </c>
      <c r="H56" s="120" t="e">
        <f t="shared" si="5"/>
        <v>#DIV/0!</v>
      </c>
      <c r="I56" s="120" t="e">
        <f t="shared" si="5"/>
        <v>#DIV/0!</v>
      </c>
      <c r="J56" s="120" t="e">
        <f t="shared" si="5"/>
        <v>#DIV/0!</v>
      </c>
      <c r="K56" s="41" t="e">
        <f>AVERAGEIF(B56:J56, "&lt;&gt;#DIV/0!")</f>
        <v>#DIV/0!</v>
      </c>
    </row>
    <row r="57" spans="1:11" ht="16.5" thickBot="1" x14ac:dyDescent="0.3">
      <c r="A57" s="114" t="s">
        <v>31</v>
      </c>
      <c r="B57" s="120" t="e">
        <f>(COUNTIFS(B3:B42, "&gt;= 70%", B3:B42, "&lt;=79%" ))/B45</f>
        <v>#DIV/0!</v>
      </c>
      <c r="C57" s="120" t="e">
        <f t="shared" ref="C57:J57" si="6">(COUNTIFS(C3:C42, "&gt;= 70%", C3:C42, "&lt;=79%" ))/C45</f>
        <v>#DIV/0!</v>
      </c>
      <c r="D57" s="120" t="e">
        <f t="shared" si="6"/>
        <v>#DIV/0!</v>
      </c>
      <c r="E57" s="120" t="e">
        <f t="shared" si="6"/>
        <v>#DIV/0!</v>
      </c>
      <c r="F57" s="120" t="e">
        <f t="shared" si="6"/>
        <v>#DIV/0!</v>
      </c>
      <c r="G57" s="120" t="e">
        <f t="shared" si="6"/>
        <v>#DIV/0!</v>
      </c>
      <c r="H57" s="120" t="e">
        <f t="shared" si="6"/>
        <v>#DIV/0!</v>
      </c>
      <c r="I57" s="120" t="e">
        <f t="shared" si="6"/>
        <v>#DIV/0!</v>
      </c>
      <c r="J57" s="120" t="e">
        <f t="shared" si="6"/>
        <v>#DIV/0!</v>
      </c>
      <c r="K57" s="41" t="e">
        <f>AVERAGEIF(B57:J57, "&lt;&gt;#DIV/0!")</f>
        <v>#DIV/0!</v>
      </c>
    </row>
    <row r="58" spans="1:11" ht="16.5" thickBot="1" x14ac:dyDescent="0.3">
      <c r="A58" s="115" t="s">
        <v>33</v>
      </c>
      <c r="B58" s="120" t="e">
        <f>(COUNTIF(B3:B42,"&gt;= 80%")/B45)</f>
        <v>#DIV/0!</v>
      </c>
      <c r="C58" s="120" t="e">
        <f t="shared" ref="C58:J58" si="7">(COUNTIF(C3:C42,"&gt;= 80%")/C45)</f>
        <v>#DIV/0!</v>
      </c>
      <c r="D58" s="120" t="e">
        <f t="shared" si="7"/>
        <v>#DIV/0!</v>
      </c>
      <c r="E58" s="120" t="e">
        <f t="shared" si="7"/>
        <v>#DIV/0!</v>
      </c>
      <c r="F58" s="120" t="e">
        <f t="shared" si="7"/>
        <v>#DIV/0!</v>
      </c>
      <c r="G58" s="120" t="e">
        <f t="shared" si="7"/>
        <v>#DIV/0!</v>
      </c>
      <c r="H58" s="120" t="e">
        <f t="shared" si="7"/>
        <v>#DIV/0!</v>
      </c>
      <c r="I58" s="120" t="e">
        <f t="shared" si="7"/>
        <v>#DIV/0!</v>
      </c>
      <c r="J58" s="120" t="e">
        <f t="shared" si="7"/>
        <v>#DIV/0!</v>
      </c>
      <c r="K58" s="129" t="e">
        <f>AVERAGEIF(B58:J58, "&lt;&gt;#DIV/0!")</f>
        <v>#DIV/0!</v>
      </c>
    </row>
    <row r="59" spans="1:11" ht="15.75" thickBot="1" x14ac:dyDescent="0.3">
      <c r="A59" s="116"/>
      <c r="B59" s="128">
        <f t="shared" ref="B59:K59" si="8">SUMIF(B55:B58, "&lt;&gt;#DIV/0!")</f>
        <v>0</v>
      </c>
      <c r="C59" s="127">
        <f>SUMIF(C55:C58, "&lt;&gt;#DIV/0!")</f>
        <v>0</v>
      </c>
      <c r="D59" s="128">
        <f t="shared" si="8"/>
        <v>0</v>
      </c>
      <c r="E59" s="128">
        <f t="shared" si="8"/>
        <v>0</v>
      </c>
      <c r="F59" s="128">
        <f t="shared" si="8"/>
        <v>0</v>
      </c>
      <c r="G59" s="128">
        <f t="shared" si="8"/>
        <v>0</v>
      </c>
      <c r="H59" s="128">
        <f t="shared" si="8"/>
        <v>0</v>
      </c>
      <c r="I59" s="128">
        <f t="shared" si="8"/>
        <v>0</v>
      </c>
      <c r="J59" s="128">
        <f t="shared" si="8"/>
        <v>0</v>
      </c>
      <c r="K59" s="128">
        <f t="shared" si="8"/>
        <v>0</v>
      </c>
    </row>
    <row r="60" spans="1:11" ht="15.75" thickBot="1" x14ac:dyDescent="0.3"/>
    <row r="61" spans="1:11" ht="15.75" thickBot="1" x14ac:dyDescent="0.3">
      <c r="A61" s="25"/>
      <c r="B61" s="42" t="s">
        <v>188</v>
      </c>
      <c r="C61" s="42" t="s">
        <v>187</v>
      </c>
    </row>
    <row r="62" spans="1:11" ht="16.5" thickBot="1" x14ac:dyDescent="0.3">
      <c r="A62" s="38" t="s">
        <v>33</v>
      </c>
      <c r="B62" s="43">
        <v>100</v>
      </c>
      <c r="C62" s="44" t="s">
        <v>189</v>
      </c>
    </row>
    <row r="63" spans="1:11" ht="16.5" thickBot="1" x14ac:dyDescent="0.3">
      <c r="A63" s="38" t="s">
        <v>31</v>
      </c>
      <c r="B63" s="43">
        <v>79</v>
      </c>
      <c r="C63" s="44" t="s">
        <v>190</v>
      </c>
    </row>
    <row r="64" spans="1:11" ht="16.5" thickBot="1" x14ac:dyDescent="0.3">
      <c r="A64" s="38" t="s">
        <v>29</v>
      </c>
      <c r="B64" s="43">
        <v>69</v>
      </c>
      <c r="C64" s="44" t="s">
        <v>191</v>
      </c>
    </row>
    <row r="65" spans="1:3" ht="16.5" thickBot="1" x14ac:dyDescent="0.3">
      <c r="A65" s="38" t="s">
        <v>27</v>
      </c>
      <c r="B65" s="43">
        <v>59</v>
      </c>
      <c r="C65" s="44" t="s">
        <v>192</v>
      </c>
    </row>
  </sheetData>
  <mergeCells count="1">
    <mergeCell ref="K3:K22"/>
  </mergeCells>
  <conditionalFormatting sqref="C3:C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5" priority="9" operator="greaterThanOrEqual">
      <formula>80</formula>
    </cfRule>
    <cfRule type="containsBlanks" dxfId="34" priority="10" stopIfTrue="1">
      <formula>LEN(TRIM(C3))=0</formula>
    </cfRule>
    <cfRule type="cellIs" dxfId="33" priority="11" operator="greaterThanOrEqual">
      <formula>80</formula>
    </cfRule>
    <cfRule type="cellIs" dxfId="32" priority="12" operator="between">
      <formula>70</formula>
      <formula>79</formula>
    </cfRule>
    <cfRule type="cellIs" dxfId="31" priority="13" operator="between">
      <formula>60</formula>
      <formula>69</formula>
    </cfRule>
    <cfRule type="cellIs" dxfId="30" priority="14" operator="between">
      <formula>0</formula>
      <formula>59</formula>
    </cfRule>
  </conditionalFormatting>
  <conditionalFormatting sqref="F3:F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" priority="2" operator="greaterThanOrEqual">
      <formula>80</formula>
    </cfRule>
    <cfRule type="containsBlanks" dxfId="28" priority="3" stopIfTrue="1">
      <formula>LEN(TRIM(F3))=0</formula>
    </cfRule>
    <cfRule type="cellIs" dxfId="27" priority="4" operator="greaterThanOrEqual">
      <formula>80</formula>
    </cfRule>
    <cfRule type="cellIs" dxfId="26" priority="5" operator="between">
      <formula>70</formula>
      <formula>79</formula>
    </cfRule>
    <cfRule type="cellIs" dxfId="25" priority="6" operator="between">
      <formula>60</formula>
      <formula>69</formula>
    </cfRule>
    <cfRule type="cellIs" dxfId="24" priority="7" operator="between">
      <formula>0</formula>
      <formula>59</formula>
    </cfRule>
  </conditionalFormatting>
  <conditionalFormatting sqref="D3:E42 B3:B42 G3:J42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" priority="660" operator="greaterThanOrEqual">
      <formula>80</formula>
    </cfRule>
    <cfRule type="containsBlanks" dxfId="22" priority="661" stopIfTrue="1">
      <formula>LEN(TRIM(B3))=0</formula>
    </cfRule>
    <cfRule type="cellIs" dxfId="21" priority="662" operator="greaterThanOrEqual">
      <formula>80</formula>
    </cfRule>
    <cfRule type="cellIs" dxfId="20" priority="663" operator="between">
      <formula>70</formula>
      <formula>79</formula>
    </cfRule>
    <cfRule type="cellIs" dxfId="19" priority="664" operator="between">
      <formula>60</formula>
      <formula>69</formula>
    </cfRule>
    <cfRule type="cellIs" dxfId="18" priority="665" operator="between">
      <formula>0</formula>
      <formula>59</formula>
    </cfRule>
  </conditionalFormatting>
  <dataValidations count="1">
    <dataValidation type="list" allowBlank="1" showInputMessage="1" showErrorMessage="1" sqref="B2:J2" xr:uid="{BC8C6F43-388E-4B12-A442-49124A0BBDCE}">
      <formula1>$M$4:$M$11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FDAD2-E421-40FA-BA86-D3AEC8A8EF7D}">
  <dimension ref="A1:N65"/>
  <sheetViews>
    <sheetView topLeftCell="A26" zoomScale="70" zoomScaleNormal="70" workbookViewId="0">
      <selection activeCell="B55" sqref="B55:B58"/>
    </sheetView>
  </sheetViews>
  <sheetFormatPr defaultRowHeight="15" x14ac:dyDescent="0.25"/>
  <cols>
    <col min="1" max="1" width="44.85546875" bestFit="1" customWidth="1"/>
    <col min="2" max="2" width="18.85546875" bestFit="1" customWidth="1"/>
    <col min="3" max="3" width="14.5703125" bestFit="1" customWidth="1"/>
    <col min="4" max="4" width="15.85546875" bestFit="1" customWidth="1"/>
    <col min="5" max="5" width="17.7109375" bestFit="1" customWidth="1"/>
    <col min="6" max="7" width="14.28515625" bestFit="1" customWidth="1"/>
    <col min="8" max="8" width="17.7109375" bestFit="1" customWidth="1"/>
    <col min="9" max="11" width="14.5703125" bestFit="1" customWidth="1"/>
    <col min="12" max="12" width="9.28515625" bestFit="1" customWidth="1"/>
    <col min="14" max="14" width="4.28515625" bestFit="1" customWidth="1"/>
  </cols>
  <sheetData>
    <row r="1" spans="1:14" x14ac:dyDescent="0.25">
      <c r="A1" s="9" t="s">
        <v>165</v>
      </c>
      <c r="B1" s="150" t="s">
        <v>151</v>
      </c>
      <c r="C1" s="152" t="s">
        <v>155</v>
      </c>
      <c r="D1" s="150" t="s">
        <v>149</v>
      </c>
      <c r="E1" s="152" t="s">
        <v>153</v>
      </c>
      <c r="F1" s="152" t="s">
        <v>157</v>
      </c>
      <c r="G1" s="152" t="s">
        <v>159</v>
      </c>
      <c r="H1" s="152" t="s">
        <v>161</v>
      </c>
      <c r="I1" s="152" t="s">
        <v>162</v>
      </c>
      <c r="J1" s="152" t="s">
        <v>163</v>
      </c>
      <c r="K1" s="152" t="s">
        <v>164</v>
      </c>
      <c r="L1" s="30">
        <f>COUNTA(B1:K1)</f>
        <v>10</v>
      </c>
    </row>
    <row r="2" spans="1:14" ht="30" x14ac:dyDescent="0.25">
      <c r="A2" s="12" t="s">
        <v>166</v>
      </c>
      <c r="B2" s="9"/>
      <c r="C2" s="9"/>
      <c r="D2" s="9"/>
      <c r="E2" s="9"/>
      <c r="F2" s="9"/>
      <c r="G2" s="9"/>
      <c r="H2" s="9"/>
      <c r="I2" s="9"/>
      <c r="J2" s="9"/>
      <c r="K2" s="9"/>
      <c r="L2" s="30">
        <f>COUNTIF(B2:K2, "&lt;&gt;")</f>
        <v>0</v>
      </c>
    </row>
    <row r="3" spans="1:14" x14ac:dyDescent="0.25">
      <c r="A3" s="31">
        <v>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81"/>
    </row>
    <row r="4" spans="1:14" x14ac:dyDescent="0.25">
      <c r="A4" s="31">
        <v>2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82"/>
      <c r="N4" s="108" t="s">
        <v>167</v>
      </c>
    </row>
    <row r="5" spans="1:14" x14ac:dyDescent="0.25">
      <c r="A5" s="31">
        <v>3</v>
      </c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82"/>
      <c r="N5" s="108" t="s">
        <v>168</v>
      </c>
    </row>
    <row r="6" spans="1:14" x14ac:dyDescent="0.25">
      <c r="A6" s="31">
        <v>4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82"/>
      <c r="N6" s="108" t="s">
        <v>169</v>
      </c>
    </row>
    <row r="7" spans="1:14" x14ac:dyDescent="0.25">
      <c r="A7" s="31">
        <v>5</v>
      </c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82"/>
      <c r="N7" s="108" t="s">
        <v>170</v>
      </c>
    </row>
    <row r="8" spans="1:14" x14ac:dyDescent="0.25">
      <c r="A8" s="31">
        <v>6</v>
      </c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82"/>
      <c r="N8" s="108" t="s">
        <v>171</v>
      </c>
    </row>
    <row r="9" spans="1:14" x14ac:dyDescent="0.25">
      <c r="A9" s="31">
        <v>7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82"/>
      <c r="N9" s="108" t="s">
        <v>172</v>
      </c>
    </row>
    <row r="10" spans="1:14" x14ac:dyDescent="0.25">
      <c r="A10" s="31">
        <v>8</v>
      </c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82"/>
      <c r="N10" s="108" t="s">
        <v>173</v>
      </c>
    </row>
    <row r="11" spans="1:14" x14ac:dyDescent="0.25">
      <c r="A11" s="31">
        <v>9</v>
      </c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82"/>
    </row>
    <row r="12" spans="1:14" x14ac:dyDescent="0.25">
      <c r="A12" s="31">
        <v>10</v>
      </c>
      <c r="B12" s="162"/>
      <c r="C12" s="162"/>
      <c r="D12" s="162"/>
      <c r="E12" s="162"/>
      <c r="F12" s="162"/>
      <c r="G12" s="162"/>
      <c r="H12" s="162"/>
      <c r="I12" s="162"/>
      <c r="J12" s="162"/>
      <c r="K12" s="162"/>
      <c r="L12" s="182"/>
    </row>
    <row r="13" spans="1:14" x14ac:dyDescent="0.25">
      <c r="A13" s="31">
        <v>11</v>
      </c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82"/>
    </row>
    <row r="14" spans="1:14" x14ac:dyDescent="0.25">
      <c r="A14" s="31">
        <v>12</v>
      </c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82"/>
    </row>
    <row r="15" spans="1:14" x14ac:dyDescent="0.25">
      <c r="A15" s="31">
        <v>13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82"/>
    </row>
    <row r="16" spans="1:14" x14ac:dyDescent="0.25">
      <c r="A16" s="31">
        <v>14</v>
      </c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82"/>
    </row>
    <row r="17" spans="1:12" x14ac:dyDescent="0.25">
      <c r="A17" s="31">
        <v>15</v>
      </c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82"/>
    </row>
    <row r="18" spans="1:12" x14ac:dyDescent="0.25">
      <c r="A18" s="31">
        <v>16</v>
      </c>
      <c r="B18" s="162"/>
      <c r="C18" s="162"/>
      <c r="D18" s="162"/>
      <c r="E18" s="162"/>
      <c r="F18" s="162"/>
      <c r="G18" s="162"/>
      <c r="H18" s="162"/>
      <c r="I18" s="162"/>
      <c r="J18" s="162"/>
      <c r="K18" s="162"/>
      <c r="L18" s="182"/>
    </row>
    <row r="19" spans="1:12" x14ac:dyDescent="0.25">
      <c r="A19" s="31">
        <v>17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82"/>
    </row>
    <row r="20" spans="1:12" x14ac:dyDescent="0.25">
      <c r="A20" s="31">
        <v>18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82"/>
    </row>
    <row r="21" spans="1:12" x14ac:dyDescent="0.25">
      <c r="A21" s="31">
        <v>19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82"/>
    </row>
    <row r="22" spans="1:12" ht="15.75" thickBot="1" x14ac:dyDescent="0.3">
      <c r="A22" s="31">
        <v>20</v>
      </c>
      <c r="B22" s="162"/>
      <c r="C22" s="162"/>
      <c r="D22" s="162"/>
      <c r="E22" s="162"/>
      <c r="F22" s="162"/>
      <c r="G22" s="162"/>
      <c r="H22" s="162"/>
      <c r="I22" s="162"/>
      <c r="J22" s="162"/>
      <c r="K22" s="162"/>
      <c r="L22" s="183"/>
    </row>
    <row r="23" spans="1:12" ht="15.75" thickTop="1" x14ac:dyDescent="0.25">
      <c r="A23" s="31">
        <v>21</v>
      </c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99"/>
    </row>
    <row r="24" spans="1:12" x14ac:dyDescent="0.25">
      <c r="A24" s="31">
        <v>22</v>
      </c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99"/>
    </row>
    <row r="25" spans="1:12" x14ac:dyDescent="0.25">
      <c r="A25" s="31">
        <v>23</v>
      </c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99"/>
    </row>
    <row r="26" spans="1:12" x14ac:dyDescent="0.25">
      <c r="A26" s="31">
        <v>24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99"/>
    </row>
    <row r="27" spans="1:12" x14ac:dyDescent="0.25">
      <c r="A27" s="31">
        <v>25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99"/>
    </row>
    <row r="28" spans="1:12" x14ac:dyDescent="0.25">
      <c r="A28" s="31">
        <v>26</v>
      </c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99"/>
    </row>
    <row r="29" spans="1:12" x14ac:dyDescent="0.25">
      <c r="A29" s="31">
        <v>27</v>
      </c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99"/>
    </row>
    <row r="30" spans="1:12" x14ac:dyDescent="0.25">
      <c r="A30" s="31">
        <v>28</v>
      </c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99"/>
    </row>
    <row r="31" spans="1:12" x14ac:dyDescent="0.25">
      <c r="A31" s="31">
        <v>29</v>
      </c>
      <c r="B31" s="168"/>
      <c r="C31" s="168"/>
      <c r="D31" s="168"/>
      <c r="E31" s="168"/>
      <c r="F31" s="168"/>
      <c r="G31" s="168"/>
      <c r="H31" s="168"/>
      <c r="I31" s="168"/>
      <c r="J31" s="168"/>
      <c r="K31" s="168"/>
      <c r="L31" s="99"/>
    </row>
    <row r="32" spans="1:12" x14ac:dyDescent="0.25">
      <c r="A32" s="31">
        <v>30</v>
      </c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99"/>
    </row>
    <row r="33" spans="1:12" x14ac:dyDescent="0.25">
      <c r="A33" s="31">
        <v>31</v>
      </c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99"/>
    </row>
    <row r="34" spans="1:12" x14ac:dyDescent="0.25">
      <c r="A34" s="31">
        <v>32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99"/>
    </row>
    <row r="35" spans="1:12" x14ac:dyDescent="0.25">
      <c r="A35" s="31">
        <v>33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99"/>
    </row>
    <row r="36" spans="1:12" x14ac:dyDescent="0.25">
      <c r="A36" s="31">
        <v>34</v>
      </c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99"/>
    </row>
    <row r="37" spans="1:12" x14ac:dyDescent="0.25">
      <c r="A37" s="31">
        <v>35</v>
      </c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99"/>
    </row>
    <row r="38" spans="1:12" x14ac:dyDescent="0.25">
      <c r="A38" s="31">
        <v>36</v>
      </c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99"/>
    </row>
    <row r="39" spans="1:12" x14ac:dyDescent="0.25">
      <c r="A39" s="31">
        <v>37</v>
      </c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99"/>
    </row>
    <row r="40" spans="1:12" x14ac:dyDescent="0.25">
      <c r="A40" s="31">
        <v>38</v>
      </c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99"/>
    </row>
    <row r="41" spans="1:12" x14ac:dyDescent="0.25">
      <c r="A41" s="31">
        <v>39</v>
      </c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99"/>
    </row>
    <row r="42" spans="1:12" ht="15.75" thickBot="1" x14ac:dyDescent="0.3">
      <c r="A42" s="31">
        <v>40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99"/>
    </row>
    <row r="43" spans="1:12" ht="15.75" thickTop="1" x14ac:dyDescent="0.25">
      <c r="A43" s="109" t="s">
        <v>13</v>
      </c>
      <c r="B43" s="166" t="e">
        <f>AVERAGE(B3:B42)</f>
        <v>#DIV/0!</v>
      </c>
      <c r="C43" s="166" t="e">
        <f t="shared" ref="C43:K43" si="0">AVERAGE(C3:C42)</f>
        <v>#DIV/0!</v>
      </c>
      <c r="D43" s="166" t="e">
        <f t="shared" si="0"/>
        <v>#DIV/0!</v>
      </c>
      <c r="E43" s="166" t="e">
        <f t="shared" si="0"/>
        <v>#DIV/0!</v>
      </c>
      <c r="F43" s="166" t="e">
        <f t="shared" si="0"/>
        <v>#DIV/0!</v>
      </c>
      <c r="G43" s="166" t="e">
        <f t="shared" si="0"/>
        <v>#DIV/0!</v>
      </c>
      <c r="H43" s="166" t="e">
        <f t="shared" si="0"/>
        <v>#DIV/0!</v>
      </c>
      <c r="I43" s="166" t="e">
        <f t="shared" si="0"/>
        <v>#DIV/0!</v>
      </c>
      <c r="J43" s="166" t="e">
        <f t="shared" si="0"/>
        <v>#DIV/0!</v>
      </c>
      <c r="K43" s="166" t="e">
        <f t="shared" si="0"/>
        <v>#DIV/0!</v>
      </c>
      <c r="L43" s="35"/>
    </row>
    <row r="44" spans="1:12" x14ac:dyDescent="0.25">
      <c r="A44" s="36" t="s">
        <v>174</v>
      </c>
      <c r="B44" s="167" t="e">
        <f>AVERAGEIF(B43:K43, "&lt;&gt;#DIV/0!")</f>
        <v>#DIV/0!</v>
      </c>
      <c r="C44" s="169"/>
      <c r="D44" s="167"/>
      <c r="E44" s="167"/>
      <c r="F44" s="167"/>
      <c r="G44" s="167"/>
      <c r="H44" s="167"/>
      <c r="I44" s="167"/>
      <c r="J44" s="167"/>
      <c r="K44" s="167"/>
      <c r="L44" s="32"/>
    </row>
    <row r="45" spans="1:12" x14ac:dyDescent="0.25">
      <c r="A45" s="36" t="s">
        <v>175</v>
      </c>
      <c r="B45" s="32">
        <f>COUNTIF(B3:B42, "&lt;&gt;")</f>
        <v>0</v>
      </c>
      <c r="C45" s="32">
        <f t="shared" ref="C45:J45" si="1">COUNTIF(C3:C42, "&lt;&gt;")</f>
        <v>0</v>
      </c>
      <c r="D45" s="32">
        <f t="shared" si="1"/>
        <v>0</v>
      </c>
      <c r="E45" s="32">
        <f t="shared" si="1"/>
        <v>0</v>
      </c>
      <c r="F45" s="32">
        <f t="shared" si="1"/>
        <v>0</v>
      </c>
      <c r="G45" s="32">
        <f t="shared" si="1"/>
        <v>0</v>
      </c>
      <c r="H45" s="32">
        <f t="shared" si="1"/>
        <v>0</v>
      </c>
      <c r="I45" s="32">
        <f t="shared" si="1"/>
        <v>0</v>
      </c>
      <c r="J45" s="32">
        <f t="shared" si="1"/>
        <v>0</v>
      </c>
      <c r="K45" s="32">
        <f>COUNTIF(K3:K42, "&lt;&gt;")</f>
        <v>0</v>
      </c>
      <c r="L45" s="32"/>
    </row>
    <row r="46" spans="1:12" x14ac:dyDescent="0.25">
      <c r="A46" s="92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</row>
    <row r="47" spans="1:12" x14ac:dyDescent="0.25">
      <c r="A47" s="9"/>
      <c r="B47" s="19" t="s">
        <v>176</v>
      </c>
      <c r="C47" s="19" t="s">
        <v>177</v>
      </c>
      <c r="D47" s="19" t="s">
        <v>178</v>
      </c>
      <c r="E47" s="19" t="s">
        <v>179</v>
      </c>
      <c r="F47" s="19" t="s">
        <v>180</v>
      </c>
      <c r="G47" s="19" t="s">
        <v>181</v>
      </c>
      <c r="H47" s="20" t="s">
        <v>182</v>
      </c>
      <c r="I47" s="20" t="s">
        <v>60</v>
      </c>
      <c r="J47" s="85"/>
      <c r="K47" s="85"/>
      <c r="L47" s="85"/>
    </row>
    <row r="48" spans="1:12" x14ac:dyDescent="0.25">
      <c r="A48" s="101" t="s">
        <v>183</v>
      </c>
      <c r="B48" s="13">
        <f>COUNTIF($B$2, "A") + COUNTIF($D$2, "A")</f>
        <v>0</v>
      </c>
      <c r="C48" s="13">
        <f>COUNTIF($B$2, "Q") + COUNTIF($D$2, "Q")</f>
        <v>0</v>
      </c>
      <c r="D48" s="13">
        <f>COUNTIF($B$2, "M") + COUNTIF($D$2, "M")</f>
        <v>0</v>
      </c>
      <c r="E48" s="13">
        <f>COUNTIF($B$2, "F") + COUNTIF($D$2, "F")</f>
        <v>0</v>
      </c>
      <c r="F48" s="13">
        <f>COUNTIF($B$2, "P") + COUNTIF($D$2, "P")</f>
        <v>0</v>
      </c>
      <c r="G48" s="13">
        <f>COUNTIF($B$2, "L") + COUNTIF($D$2, "L")</f>
        <v>0</v>
      </c>
      <c r="H48" s="13">
        <f>COUNTIF($B$2, "OT") + COUNTIF($D$2, "OT")</f>
        <v>0</v>
      </c>
      <c r="I48" s="9">
        <f>SUM(B48:H48)</f>
        <v>0</v>
      </c>
      <c r="J48" s="85"/>
      <c r="K48" s="85"/>
      <c r="L48" s="85"/>
    </row>
    <row r="49" spans="1:12" x14ac:dyDescent="0.25">
      <c r="A49" s="102" t="s">
        <v>184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9">
        <f>SUM(B49:H49)</f>
        <v>0</v>
      </c>
      <c r="J49" s="85"/>
      <c r="K49" s="85"/>
      <c r="L49" s="85"/>
    </row>
    <row r="50" spans="1:12" x14ac:dyDescent="0.25">
      <c r="A50" s="103" t="s">
        <v>185</v>
      </c>
      <c r="B50" s="13">
        <f>COUNTIF($C$2, "A") + COUNTIF($E$2:$K$2, "A")</f>
        <v>0</v>
      </c>
      <c r="C50" s="13">
        <f>COUNTIF($C$2, "Q") + COUNTIF($E$2:$K$2, "Q")</f>
        <v>0</v>
      </c>
      <c r="D50" s="13">
        <f>COUNTIF($C$2, "M") + COUNTIF($E$2:$K$2, "M")</f>
        <v>0</v>
      </c>
      <c r="E50" s="13">
        <f>COUNTIF($C$2, "F") + COUNTIF($E$2:$K$2, "F")</f>
        <v>0</v>
      </c>
      <c r="F50" s="13">
        <f>COUNTIF($C$2, "P") + COUNTIF($E$2:$K$2, "P")</f>
        <v>0</v>
      </c>
      <c r="G50" s="13">
        <f>COUNTIF($C$2, "L") + COUNTIF($E$2:$K$2, "L")</f>
        <v>0</v>
      </c>
      <c r="H50" s="13">
        <f>COUNTIF($C$2, "OT") + COUNTIF($E$2:$K$2, "OT")</f>
        <v>0</v>
      </c>
      <c r="I50" s="9">
        <f>SUM(B50:H50)</f>
        <v>0</v>
      </c>
      <c r="J50" s="85"/>
      <c r="K50" s="85"/>
      <c r="L50" s="85"/>
    </row>
    <row r="51" spans="1:12" x14ac:dyDescent="0.25">
      <c r="A51" s="19" t="s">
        <v>60</v>
      </c>
      <c r="B51" s="9">
        <f>SUM(B48:B50)</f>
        <v>0</v>
      </c>
      <c r="C51" s="9">
        <f t="shared" ref="C51:H51" si="2">SUM(C48:C50)</f>
        <v>0</v>
      </c>
      <c r="D51" s="9">
        <f t="shared" si="2"/>
        <v>0</v>
      </c>
      <c r="E51" s="9">
        <f>SUM(E48:E50)</f>
        <v>0</v>
      </c>
      <c r="F51" s="9">
        <f t="shared" si="2"/>
        <v>0</v>
      </c>
      <c r="G51" s="9">
        <f t="shared" si="2"/>
        <v>0</v>
      </c>
      <c r="H51" s="9">
        <f t="shared" si="2"/>
        <v>0</v>
      </c>
      <c r="I51" s="9">
        <f>SUM(I48:I50)</f>
        <v>0</v>
      </c>
      <c r="J51" s="85"/>
      <c r="K51" s="85"/>
      <c r="L51" s="85"/>
    </row>
    <row r="52" spans="1:12" x14ac:dyDescent="0.25">
      <c r="A52" s="92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</row>
    <row r="53" spans="1:12" ht="18.75" thickBot="1" x14ac:dyDescent="0.3">
      <c r="A53" s="87" t="s">
        <v>186</v>
      </c>
      <c r="B53" s="87"/>
      <c r="C53" s="87"/>
      <c r="D53" s="87"/>
      <c r="E53" s="87"/>
      <c r="F53" s="87"/>
      <c r="H53" s="85"/>
      <c r="I53" s="85"/>
      <c r="J53" s="85"/>
      <c r="K53" s="85"/>
    </row>
    <row r="54" spans="1:12" ht="16.5" thickBot="1" x14ac:dyDescent="0.3">
      <c r="A54" s="111" t="s">
        <v>25</v>
      </c>
      <c r="B54" s="150" t="s">
        <v>151</v>
      </c>
      <c r="C54" s="152" t="s">
        <v>155</v>
      </c>
      <c r="D54" s="150" t="s">
        <v>149</v>
      </c>
      <c r="E54" s="152" t="s">
        <v>153</v>
      </c>
      <c r="F54" s="152" t="s">
        <v>157</v>
      </c>
      <c r="G54" s="152" t="s">
        <v>159</v>
      </c>
      <c r="H54" s="152" t="s">
        <v>161</v>
      </c>
      <c r="I54" s="152" t="s">
        <v>162</v>
      </c>
      <c r="J54" s="152" t="s">
        <v>163</v>
      </c>
      <c r="K54" s="152" t="s">
        <v>164</v>
      </c>
      <c r="L54" s="40" t="s">
        <v>13</v>
      </c>
    </row>
    <row r="55" spans="1:12" ht="16.5" thickBot="1" x14ac:dyDescent="0.3">
      <c r="A55" s="112" t="s">
        <v>27</v>
      </c>
      <c r="B55" s="117" t="e">
        <f>(COUNTIF(B3:B42, "&lt;=59%"))/B45</f>
        <v>#DIV/0!</v>
      </c>
      <c r="C55" s="117" t="e">
        <f t="shared" ref="C55:K55" si="3">(COUNTIF(C3:C42, "&lt;=59%"))/C45</f>
        <v>#DIV/0!</v>
      </c>
      <c r="D55" s="117" t="e">
        <f t="shared" si="3"/>
        <v>#DIV/0!</v>
      </c>
      <c r="E55" s="117" t="e">
        <f t="shared" si="3"/>
        <v>#DIV/0!</v>
      </c>
      <c r="F55" s="117" t="e">
        <f t="shared" si="3"/>
        <v>#DIV/0!</v>
      </c>
      <c r="G55" s="117" t="e">
        <f t="shared" si="3"/>
        <v>#DIV/0!</v>
      </c>
      <c r="H55" s="117" t="e">
        <f t="shared" si="3"/>
        <v>#DIV/0!</v>
      </c>
      <c r="I55" s="117" t="e">
        <f t="shared" si="3"/>
        <v>#DIV/0!</v>
      </c>
      <c r="J55" s="117" t="e">
        <f t="shared" si="3"/>
        <v>#DIV/0!</v>
      </c>
      <c r="K55" s="117" t="e">
        <f t="shared" si="3"/>
        <v>#DIV/0!</v>
      </c>
      <c r="L55" s="41" t="e">
        <f>AVERAGEIF(B55:K55, "&lt;&gt;#DIV/0!")</f>
        <v>#DIV/0!</v>
      </c>
    </row>
    <row r="56" spans="1:12" ht="16.5" thickBot="1" x14ac:dyDescent="0.3">
      <c r="A56" s="113" t="s">
        <v>29</v>
      </c>
      <c r="B56" s="120" t="e">
        <f>(COUNTIFS(B3:B42, "&gt;= 60%", B3:B42, "&lt;=69%" ))/B45</f>
        <v>#DIV/0!</v>
      </c>
      <c r="C56" s="120" t="e">
        <f t="shared" ref="C56:K56" si="4">(COUNTIFS(C3:C42, "&gt;= 60%", C3:C42, "&lt;=69%" ))/C45</f>
        <v>#DIV/0!</v>
      </c>
      <c r="D56" s="120" t="e">
        <f t="shared" si="4"/>
        <v>#DIV/0!</v>
      </c>
      <c r="E56" s="120" t="e">
        <f t="shared" si="4"/>
        <v>#DIV/0!</v>
      </c>
      <c r="F56" s="120" t="e">
        <f t="shared" si="4"/>
        <v>#DIV/0!</v>
      </c>
      <c r="G56" s="120" t="e">
        <f t="shared" si="4"/>
        <v>#DIV/0!</v>
      </c>
      <c r="H56" s="120" t="e">
        <f t="shared" si="4"/>
        <v>#DIV/0!</v>
      </c>
      <c r="I56" s="120" t="e">
        <f t="shared" si="4"/>
        <v>#DIV/0!</v>
      </c>
      <c r="J56" s="120" t="e">
        <f t="shared" si="4"/>
        <v>#DIV/0!</v>
      </c>
      <c r="K56" s="120" t="e">
        <f t="shared" si="4"/>
        <v>#DIV/0!</v>
      </c>
      <c r="L56" s="41" t="e">
        <f>AVERAGEIF(B56:K56, "&lt;&gt;#DIV/0!")</f>
        <v>#DIV/0!</v>
      </c>
    </row>
    <row r="57" spans="1:12" ht="16.5" thickBot="1" x14ac:dyDescent="0.3">
      <c r="A57" s="114" t="s">
        <v>31</v>
      </c>
      <c r="B57" s="120" t="e">
        <f>(COUNTIFS(B3:B42, "&gt;= 70%", B3:B42, "&lt;=79%" ))/B45</f>
        <v>#DIV/0!</v>
      </c>
      <c r="C57" s="120" t="e">
        <f t="shared" ref="C57:K57" si="5">(COUNTIFS(C3:C42, "&gt;= 70%", C3:C42, "&lt;=79%" ))/C45</f>
        <v>#DIV/0!</v>
      </c>
      <c r="D57" s="120" t="e">
        <f t="shared" si="5"/>
        <v>#DIV/0!</v>
      </c>
      <c r="E57" s="120" t="e">
        <f t="shared" si="5"/>
        <v>#DIV/0!</v>
      </c>
      <c r="F57" s="120" t="e">
        <f t="shared" si="5"/>
        <v>#DIV/0!</v>
      </c>
      <c r="G57" s="120" t="e">
        <f t="shared" si="5"/>
        <v>#DIV/0!</v>
      </c>
      <c r="H57" s="120" t="e">
        <f t="shared" si="5"/>
        <v>#DIV/0!</v>
      </c>
      <c r="I57" s="120" t="e">
        <f t="shared" si="5"/>
        <v>#DIV/0!</v>
      </c>
      <c r="J57" s="120" t="e">
        <f t="shared" si="5"/>
        <v>#DIV/0!</v>
      </c>
      <c r="K57" s="120" t="e">
        <f t="shared" si="5"/>
        <v>#DIV/0!</v>
      </c>
      <c r="L57" s="41" t="e">
        <f>AVERAGEIF(B57:K57, "&lt;&gt;#DIV/0!")</f>
        <v>#DIV/0!</v>
      </c>
    </row>
    <row r="58" spans="1:12" ht="16.5" thickBot="1" x14ac:dyDescent="0.3">
      <c r="A58" s="115" t="s">
        <v>33</v>
      </c>
      <c r="B58" s="120" t="e">
        <f>(COUNTIF(B3:B42,"&gt;= 80%")/B45)</f>
        <v>#DIV/0!</v>
      </c>
      <c r="C58" s="120" t="e">
        <f t="shared" ref="C58:K58" si="6">(COUNTIF(C3:C42,"&gt;= 80%")/C45)</f>
        <v>#DIV/0!</v>
      </c>
      <c r="D58" s="120" t="e">
        <f t="shared" si="6"/>
        <v>#DIV/0!</v>
      </c>
      <c r="E58" s="120" t="e">
        <f t="shared" si="6"/>
        <v>#DIV/0!</v>
      </c>
      <c r="F58" s="120" t="e">
        <f t="shared" si="6"/>
        <v>#DIV/0!</v>
      </c>
      <c r="G58" s="120" t="e">
        <f t="shared" si="6"/>
        <v>#DIV/0!</v>
      </c>
      <c r="H58" s="120" t="e">
        <f t="shared" si="6"/>
        <v>#DIV/0!</v>
      </c>
      <c r="I58" s="120" t="e">
        <f t="shared" si="6"/>
        <v>#DIV/0!</v>
      </c>
      <c r="J58" s="120" t="e">
        <f t="shared" si="6"/>
        <v>#DIV/0!</v>
      </c>
      <c r="K58" s="120" t="e">
        <f t="shared" si="6"/>
        <v>#DIV/0!</v>
      </c>
      <c r="L58" s="129" t="e">
        <f>AVERAGEIF(B58:K58, "&lt;&gt;#DIV/0!")</f>
        <v>#DIV/0!</v>
      </c>
    </row>
    <row r="59" spans="1:12" ht="15.75" thickBot="1" x14ac:dyDescent="0.3">
      <c r="A59" s="116"/>
      <c r="B59" s="128">
        <f t="shared" ref="B59:L59" si="7">SUMIF(B55:B58, "&lt;&gt;#DIV/0!")</f>
        <v>0</v>
      </c>
      <c r="C59" s="127">
        <f>SUMIF(C55:C58, "&lt;&gt;#DIV/0!")</f>
        <v>0</v>
      </c>
      <c r="D59" s="128">
        <f t="shared" si="7"/>
        <v>0</v>
      </c>
      <c r="E59" s="128">
        <f t="shared" si="7"/>
        <v>0</v>
      </c>
      <c r="F59" s="128">
        <f t="shared" si="7"/>
        <v>0</v>
      </c>
      <c r="G59" s="128">
        <f t="shared" si="7"/>
        <v>0</v>
      </c>
      <c r="H59" s="128">
        <f t="shared" si="7"/>
        <v>0</v>
      </c>
      <c r="I59" s="128">
        <f t="shared" si="7"/>
        <v>0</v>
      </c>
      <c r="J59" s="128">
        <f t="shared" si="7"/>
        <v>0</v>
      </c>
      <c r="K59" s="128">
        <f t="shared" si="7"/>
        <v>0</v>
      </c>
      <c r="L59" s="128">
        <f t="shared" si="7"/>
        <v>0</v>
      </c>
    </row>
    <row r="60" spans="1:12" ht="15.75" thickBot="1" x14ac:dyDescent="0.3"/>
    <row r="61" spans="1:12" ht="15.75" thickBot="1" x14ac:dyDescent="0.3">
      <c r="A61" s="25"/>
      <c r="B61" s="42" t="s">
        <v>188</v>
      </c>
      <c r="C61" s="42" t="s">
        <v>187</v>
      </c>
    </row>
    <row r="62" spans="1:12" ht="16.5" thickBot="1" x14ac:dyDescent="0.3">
      <c r="A62" s="38" t="s">
        <v>33</v>
      </c>
      <c r="B62" s="43">
        <v>100</v>
      </c>
      <c r="C62" s="44" t="s">
        <v>189</v>
      </c>
    </row>
    <row r="63" spans="1:12" ht="16.5" thickBot="1" x14ac:dyDescent="0.3">
      <c r="A63" s="38" t="s">
        <v>31</v>
      </c>
      <c r="B63" s="43">
        <v>79</v>
      </c>
      <c r="C63" s="44" t="s">
        <v>190</v>
      </c>
    </row>
    <row r="64" spans="1:12" ht="16.5" thickBot="1" x14ac:dyDescent="0.3">
      <c r="A64" s="38" t="s">
        <v>29</v>
      </c>
      <c r="B64" s="43">
        <v>69</v>
      </c>
      <c r="C64" s="44" t="s">
        <v>191</v>
      </c>
    </row>
    <row r="65" spans="1:3" ht="16.5" thickBot="1" x14ac:dyDescent="0.3">
      <c r="A65" s="38" t="s">
        <v>27</v>
      </c>
      <c r="B65" s="43">
        <v>59</v>
      </c>
      <c r="C65" s="44" t="s">
        <v>192</v>
      </c>
    </row>
  </sheetData>
  <mergeCells count="1">
    <mergeCell ref="L3:L22"/>
  </mergeCells>
  <conditionalFormatting sqref="C3:C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9" operator="greaterThanOrEqual">
      <formula>80</formula>
    </cfRule>
    <cfRule type="containsBlanks" dxfId="16" priority="10" stopIfTrue="1">
      <formula>LEN(TRIM(C3))=0</formula>
    </cfRule>
    <cfRule type="cellIs" dxfId="15" priority="11" operator="greaterThanOrEqual">
      <formula>80</formula>
    </cfRule>
    <cfRule type="cellIs" dxfId="14" priority="12" operator="between">
      <formula>70</formula>
      <formula>79</formula>
    </cfRule>
    <cfRule type="cellIs" dxfId="13" priority="13" operator="between">
      <formula>60</formula>
      <formula>69</formula>
    </cfRule>
    <cfRule type="cellIs" dxfId="12" priority="14" operator="between">
      <formula>0</formula>
      <formula>59</formula>
    </cfRule>
  </conditionalFormatting>
  <conditionalFormatting sqref="F3:F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2" operator="greaterThanOrEqual">
      <formula>80</formula>
    </cfRule>
    <cfRule type="containsBlanks" dxfId="10" priority="3" stopIfTrue="1">
      <formula>LEN(TRIM(F3))=0</formula>
    </cfRule>
    <cfRule type="cellIs" dxfId="9" priority="4" operator="greaterThanOrEqual">
      <formula>80</formula>
    </cfRule>
    <cfRule type="cellIs" dxfId="8" priority="5" operator="between">
      <formula>70</formula>
      <formula>79</formula>
    </cfRule>
    <cfRule type="cellIs" dxfId="7" priority="6" operator="between">
      <formula>60</formula>
      <formula>69</formula>
    </cfRule>
    <cfRule type="cellIs" dxfId="6" priority="7" operator="between">
      <formula>0</formula>
      <formula>59</formula>
    </cfRule>
  </conditionalFormatting>
  <conditionalFormatting sqref="D3:E42 B3:B42 G3:K42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667" operator="greaterThanOrEqual">
      <formula>80</formula>
    </cfRule>
    <cfRule type="containsBlanks" dxfId="4" priority="668" stopIfTrue="1">
      <formula>LEN(TRIM(B3))=0</formula>
    </cfRule>
    <cfRule type="cellIs" dxfId="3" priority="669" operator="greaterThanOrEqual">
      <formula>80</formula>
    </cfRule>
    <cfRule type="cellIs" dxfId="2" priority="670" operator="between">
      <formula>70</formula>
      <formula>79</formula>
    </cfRule>
    <cfRule type="cellIs" dxfId="1" priority="671" operator="between">
      <formula>60</formula>
      <formula>69</formula>
    </cfRule>
    <cfRule type="cellIs" dxfId="0" priority="672" operator="between">
      <formula>0</formula>
      <formula>59</formula>
    </cfRule>
  </conditionalFormatting>
  <dataValidations count="1">
    <dataValidation type="list" allowBlank="1" showInputMessage="1" showErrorMessage="1" sqref="B2:K2" xr:uid="{4E4FA210-0CB7-42BB-90BD-DBE9AB0A1E63}">
      <formula1>$N$4:$N$11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104a0a-7dca-4b0e-8aea-6c2c6caf948b" xsi:nil="true"/>
    <lcf76f155ced4ddcb4097134ff3c332f xmlns="31dbb07f-092f-49b1-9a1d-d223bd337d7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F45DC0A3C954ABA89DD02E820906F" ma:contentTypeVersion="11" ma:contentTypeDescription="Create a new document." ma:contentTypeScope="" ma:versionID="b0688eacb81fb978b375cd1c5979fc0d">
  <xsd:schema xmlns:xsd="http://www.w3.org/2001/XMLSchema" xmlns:xs="http://www.w3.org/2001/XMLSchema" xmlns:p="http://schemas.microsoft.com/office/2006/metadata/properties" xmlns:ns2="31dbb07f-092f-49b1-9a1d-d223bd337d78" xmlns:ns3="a7104a0a-7dca-4b0e-8aea-6c2c6caf948b" targetNamespace="http://schemas.microsoft.com/office/2006/metadata/properties" ma:root="true" ma:fieldsID="6e512f2f5c5dcaf2484cac517cdcd517" ns2:_="" ns3:_="">
    <xsd:import namespace="31dbb07f-092f-49b1-9a1d-d223bd337d78"/>
    <xsd:import namespace="a7104a0a-7dca-4b0e-8aea-6c2c6caf94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bb07f-092f-49b1-9a1d-d223bd337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dd023b0-06f2-48ac-bdf3-902a2de659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104a0a-7dca-4b0e-8aea-6c2c6caf948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97f204-1f91-4834-b5cb-5af6782d6ba1}" ma:internalName="TaxCatchAll" ma:showField="CatchAllData" ma:web="a7104a0a-7dca-4b0e-8aea-6c2c6caf94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15C71E-5C74-48E4-8CBE-A80C607B70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376907-55D7-4C3E-8DAB-8E51086F959A}">
  <ds:schemaRefs>
    <ds:schemaRef ds:uri="http://schemas.microsoft.com/office/2006/metadata/properties"/>
    <ds:schemaRef ds:uri="http://schemas.microsoft.com/office/infopath/2007/PartnerControls"/>
    <ds:schemaRef ds:uri="a7104a0a-7dca-4b0e-8aea-6c2c6caf948b"/>
    <ds:schemaRef ds:uri="31dbb07f-092f-49b1-9a1d-d223bd337d78"/>
  </ds:schemaRefs>
</ds:datastoreItem>
</file>

<file path=customXml/itemProps3.xml><?xml version="1.0" encoding="utf-8"?>
<ds:datastoreItem xmlns:ds="http://schemas.openxmlformats.org/officeDocument/2006/customXml" ds:itemID="{B91ADE84-86C0-4C50-9A3D-99D9431AAD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dbb07f-092f-49b1-9a1d-d223bd337d78"/>
    <ds:schemaRef ds:uri="a7104a0a-7dca-4b0e-8aea-6c2c6caf94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Analysis</vt:lpstr>
      <vt:lpstr>4a</vt:lpstr>
      <vt:lpstr>4b</vt:lpstr>
      <vt:lpstr>4c</vt:lpstr>
      <vt:lpstr>4d</vt:lpstr>
      <vt:lpstr>4e</vt:lpstr>
      <vt:lpstr>4f</vt:lpstr>
      <vt:lpstr>4g</vt:lpstr>
      <vt:lpstr>4h</vt:lpstr>
      <vt:lpstr>Indicator Map</vt:lpstr>
    </vt:vector>
  </TitlesOfParts>
  <Manager/>
  <Company>Thompson Rivers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Fahmed</dc:creator>
  <cp:keywords/>
  <dc:description/>
  <cp:lastModifiedBy>varundel</cp:lastModifiedBy>
  <cp:revision/>
  <dcterms:created xsi:type="dcterms:W3CDTF">2021-08-10T23:02:18Z</dcterms:created>
  <dcterms:modified xsi:type="dcterms:W3CDTF">2022-07-21T21:40:30Z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0x010100EFBF45DC0A3C954ABA89DD02E820906F</vt:lpwstr>
  </property>
  <property fmtid="{D5CDD505-2E9C-101B-9397-08002B2CF9AE}" pid="3" name="MediaServiceImageTags">
    <vt:lpwstr/>
  </property>
</Properties>
</file>