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7630" yWindow="1170" windowWidth="24390" windowHeight="13335" tabRatio="600" firstSheet="0" activeTab="6" autoFilterDateGrouping="1"/>
  </bookViews>
  <sheets>
    <sheet name="Analysis" sheetId="1" state="visible" r:id="rId1"/>
    <sheet name="6a" sheetId="2" state="visible" r:id="rId2"/>
    <sheet name="6b" sheetId="3" state="visible" r:id="rId3"/>
    <sheet name="6c" sheetId="4" state="visible" r:id="rId4"/>
    <sheet name="6d" sheetId="5" state="visible" r:id="rId5"/>
    <sheet name="6e" sheetId="6" state="visible" r:id="rId6"/>
    <sheet name="6f" sheetId="7" state="visible" r:id="rId7"/>
    <sheet name="Indicator Map" sheetId="8" state="visible" r:id="rId8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8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b val="1"/>
      <color theme="1"/>
      <sz val="14"/>
    </font>
    <font>
      <name val="Calibri"/>
      <family val="2"/>
      <sz val="8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rgb="FFC0000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12"/>
    </font>
  </fonts>
  <fills count="21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A6C50"/>
        <bgColor indexed="64"/>
      </patternFill>
    </fill>
    <fill>
      <patternFill patternType="solid">
        <fgColor rgb="FFFBA5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7030A0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15" fillId="0" borderId="0"/>
    <xf numFmtId="0" fontId="8" fillId="0" borderId="0"/>
    <xf numFmtId="9" fontId="15" fillId="0" borderId="0"/>
  </cellStyleXfs>
  <cellXfs count="19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0" borderId="1" pivotButton="0" quotePrefix="0" xfId="0"/>
    <xf numFmtId="0" fontId="5" fillId="3" borderId="1" pivotButton="0" quotePrefix="0" xfId="0"/>
    <xf numFmtId="0" fontId="5" fillId="0" borderId="1" pivotButton="0" quotePrefix="0" xfId="0"/>
    <xf numFmtId="0" fontId="2" fillId="0" borderId="1" pivotButton="0" quotePrefix="0" xfId="0"/>
    <xf numFmtId="0" fontId="3" fillId="4" borderId="1" pivotButton="0" quotePrefix="0" xfId="0"/>
    <xf numFmtId="0" fontId="3" fillId="0" borderId="0" pivotButton="0" quotePrefix="0" xfId="0"/>
    <xf numFmtId="0" fontId="3" fillId="5" borderId="1" pivotButton="0" quotePrefix="0" xfId="0"/>
    <xf numFmtId="0" fontId="0" fillId="8" borderId="6" applyAlignment="1" pivotButton="0" quotePrefix="0" xfId="0">
      <alignment horizontal="center" vertical="center"/>
    </xf>
    <xf numFmtId="2" fontId="0" fillId="8" borderId="6" applyAlignment="1" pivotButton="0" quotePrefix="0" xfId="0">
      <alignment horizontal="center" vertical="center" wrapText="1"/>
    </xf>
    <xf numFmtId="1" fontId="0" fillId="9" borderId="6" applyAlignment="1" pivotButton="0" quotePrefix="0" xfId="0">
      <alignment horizontal="center" vertical="center"/>
    </xf>
    <xf numFmtId="0" fontId="0" fillId="8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164" fontId="0" fillId="0" borderId="8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8" borderId="6" applyAlignment="1" pivotButton="0" quotePrefix="0" xfId="0">
      <alignment horizontal="center" vertical="center"/>
    </xf>
    <xf numFmtId="2" fontId="1" fillId="8" borderId="6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" fillId="0" borderId="11" applyAlignment="1" pivotButton="0" quotePrefix="0" xfId="0">
      <alignment horizontal="center" vertical="center"/>
    </xf>
    <xf numFmtId="10" fontId="0" fillId="0" borderId="5" applyAlignment="1" pivotButton="0" quotePrefix="0" xfId="0">
      <alignment horizontal="center" vertical="center"/>
    </xf>
    <xf numFmtId="164" fontId="10" fillId="0" borderId="17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3" borderId="2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1" fontId="0" fillId="0" borderId="5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164" fontId="2" fillId="0" borderId="11" applyAlignment="1" pivotButton="0" quotePrefix="0" xfId="0">
      <alignment horizontal="center"/>
    </xf>
    <xf numFmtId="0" fontId="2" fillId="3" borderId="5" pivotButton="0" quotePrefix="0" xfId="0"/>
    <xf numFmtId="10" fontId="0" fillId="0" borderId="16" applyAlignment="1" pivotButton="0" quotePrefix="0" xfId="0">
      <alignment horizontal="center"/>
    </xf>
    <xf numFmtId="0" fontId="0" fillId="11" borderId="12" applyAlignment="1" pivotButton="0" quotePrefix="0" xfId="0">
      <alignment horizontal="center" vertical="center"/>
    </xf>
    <xf numFmtId="10" fontId="0" fillId="11" borderId="1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" fontId="0" fillId="0" borderId="5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0" fontId="8" fillId="0" borderId="6" pivotButton="0" quotePrefix="0" xfId="0"/>
    <xf numFmtId="0" fontId="9" fillId="0" borderId="6" pivotButton="0" quotePrefix="0" xfId="0"/>
    <xf numFmtId="0" fontId="8" fillId="0" borderId="6" applyAlignment="1" pivotButton="0" quotePrefix="0" xfId="0">
      <alignment horizontal="center"/>
    </xf>
    <xf numFmtId="0" fontId="8" fillId="0" borderId="19" pivotButton="0" quotePrefix="0" xfId="0"/>
    <xf numFmtId="0" fontId="9" fillId="11" borderId="19" applyAlignment="1" pivotButton="0" quotePrefix="0" xfId="0">
      <alignment horizontal="center"/>
    </xf>
    <xf numFmtId="0" fontId="9" fillId="3" borderId="19" pivotButton="0" quotePrefix="0" xfId="0"/>
    <xf numFmtId="0" fontId="9" fillId="3" borderId="6" pivotButton="0" quotePrefix="0" xfId="0"/>
    <xf numFmtId="10" fontId="8" fillId="0" borderId="6" pivotButton="0" quotePrefix="0" xfId="0"/>
    <xf numFmtId="10" fontId="9" fillId="11" borderId="6" pivotButton="0" quotePrefix="0" xfId="0"/>
    <xf numFmtId="9" fontId="8" fillId="0" borderId="6" pivotButton="0" quotePrefix="0" xfId="0"/>
    <xf numFmtId="0" fontId="12" fillId="7" borderId="6" applyAlignment="1" pivotButton="0" quotePrefix="0" xfId="0">
      <alignment horizontal="center"/>
    </xf>
    <xf numFmtId="0" fontId="12" fillId="7" borderId="18" applyAlignment="1" pivotButton="0" quotePrefix="0" xfId="0">
      <alignment horizontal="center"/>
    </xf>
    <xf numFmtId="0" fontId="12" fillId="7" borderId="20" applyAlignment="1" pivotButton="0" quotePrefix="0" xfId="0">
      <alignment horizontal="center"/>
    </xf>
    <xf numFmtId="0" fontId="12" fillId="7" borderId="25" applyAlignment="1" pivotButton="0" quotePrefix="0" xfId="0">
      <alignment horizontal="center"/>
    </xf>
    <xf numFmtId="0" fontId="12" fillId="7" borderId="22" applyAlignment="1" pivotButton="0" quotePrefix="0" xfId="0">
      <alignment horizontal="center"/>
    </xf>
    <xf numFmtId="0" fontId="12" fillId="7" borderId="19" applyAlignment="1" pivotButton="0" quotePrefix="0" xfId="0">
      <alignment horizontal="center"/>
    </xf>
    <xf numFmtId="0" fontId="8" fillId="0" borderId="7" pivotButton="0" quotePrefix="0" xfId="0"/>
    <xf numFmtId="0" fontId="8" fillId="12" borderId="7" pivotButton="0" quotePrefix="0" xfId="0"/>
    <xf numFmtId="0" fontId="8" fillId="0" borderId="9" pivotButton="0" quotePrefix="0" xfId="0"/>
    <xf numFmtId="0" fontId="8" fillId="13" borderId="19" pivotButton="0" quotePrefix="0" xfId="0"/>
    <xf numFmtId="0" fontId="8" fillId="13" borderId="6" pivotButton="0" quotePrefix="0" xfId="0"/>
    <xf numFmtId="0" fontId="5" fillId="3" borderId="0" pivotButton="0" quotePrefix="0" xfId="0"/>
    <xf numFmtId="0" fontId="14" fillId="11" borderId="6" applyAlignment="1" pivotButton="0" quotePrefix="0" xfId="0">
      <alignment horizontal="center"/>
    </xf>
    <xf numFmtId="0" fontId="9" fillId="0" borderId="19" pivotButton="0" quotePrefix="0" xfId="0"/>
    <xf numFmtId="0" fontId="8" fillId="14" borderId="19" applyAlignment="1" pivotButton="0" quotePrefix="0" xfId="0">
      <alignment horizontal="center"/>
    </xf>
    <xf numFmtId="2" fontId="9" fillId="11" borderId="19" applyAlignment="1" pivotButton="0" quotePrefix="0" xfId="0">
      <alignment horizontal="center"/>
    </xf>
    <xf numFmtId="0" fontId="8" fillId="0" borderId="26" pivotButton="0" quotePrefix="0" xfId="0"/>
    <xf numFmtId="0" fontId="9" fillId="0" borderId="23" applyAlignment="1" pivotButton="0" quotePrefix="0" xfId="0">
      <alignment horizontal="center"/>
    </xf>
    <xf numFmtId="0" fontId="9" fillId="11" borderId="24" applyAlignment="1" pivotButton="0" quotePrefix="0" xfId="0">
      <alignment horizontal="center"/>
    </xf>
    <xf numFmtId="0" fontId="9" fillId="0" borderId="7" pivotButton="0" quotePrefix="0" xfId="0"/>
    <xf numFmtId="0" fontId="8" fillId="0" borderId="7" applyAlignment="1" pivotButton="0" quotePrefix="0" xfId="0">
      <alignment horizontal="center"/>
    </xf>
    <xf numFmtId="10" fontId="8" fillId="0" borderId="19" pivotButton="0" quotePrefix="0" xfId="0"/>
    <xf numFmtId="9" fontId="8" fillId="0" borderId="19" pivotButton="0" quotePrefix="0" xfId="0"/>
    <xf numFmtId="9" fontId="9" fillId="11" borderId="19" pivotButton="0" quotePrefix="0" xfId="0"/>
    <xf numFmtId="164" fontId="9" fillId="0" borderId="26" applyAlignment="1" pivotButton="0" quotePrefix="0" xfId="0">
      <alignment horizontal="center"/>
    </xf>
    <xf numFmtId="0" fontId="9" fillId="0" borderId="2" applyAlignment="1" pivotButton="0" quotePrefix="0" xfId="0">
      <alignment horizontal="center" vertical="center"/>
    </xf>
    <xf numFmtId="0" fontId="8" fillId="15" borderId="6" pivotButton="0" quotePrefix="0" xfId="0"/>
    <xf numFmtId="0" fontId="8" fillId="15" borderId="7" pivotButton="0" quotePrefix="0" xfId="0"/>
    <xf numFmtId="0" fontId="8" fillId="9" borderId="6" pivotButton="0" quotePrefix="0" xfId="0"/>
    <xf numFmtId="0" fontId="8" fillId="9" borderId="7" pivotButton="0" quotePrefix="0" xfId="0"/>
    <xf numFmtId="16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164" fontId="10" fillId="0" borderId="0" pivotButton="0" quotePrefix="0" xfId="0"/>
    <xf numFmtId="10" fontId="0" fillId="11" borderId="14" applyAlignment="1" pivotButton="0" quotePrefix="0" xfId="0">
      <alignment horizontal="center" vertical="center"/>
    </xf>
    <xf numFmtId="10" fontId="0" fillId="0" borderId="15" applyAlignment="1" pivotButton="0" quotePrefix="0" xfId="0">
      <alignment horizontal="center"/>
    </xf>
    <xf numFmtId="10" fontId="9" fillId="11" borderId="19" pivotButton="0" quotePrefix="0" xfId="0"/>
    <xf numFmtId="0" fontId="1" fillId="8" borderId="25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wrapText="1"/>
    </xf>
    <xf numFmtId="0" fontId="3" fillId="0" borderId="1" applyAlignment="1" pivotButton="0" quotePrefix="0" xfId="0">
      <alignment textRotation="255"/>
    </xf>
    <xf numFmtId="0" fontId="8" fillId="15" borderId="6" applyAlignment="1" pivotButton="0" quotePrefix="0" xfId="0">
      <alignment horizontal="center"/>
    </xf>
    <xf numFmtId="0" fontId="13" fillId="15" borderId="6" applyAlignment="1" pivotButton="0" quotePrefix="0" xfId="0">
      <alignment horizontal="center"/>
    </xf>
    <xf numFmtId="10" fontId="0" fillId="0" borderId="27" applyAlignment="1" pivotButton="0" quotePrefix="0" xfId="0">
      <alignment horizontal="center" vertical="center"/>
    </xf>
    <xf numFmtId="0" fontId="2" fillId="11" borderId="5" applyAlignment="1" pivotButton="0" quotePrefix="0" xfId="0">
      <alignment vertical="center"/>
    </xf>
    <xf numFmtId="0" fontId="1" fillId="4" borderId="6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17" fillId="16" borderId="5" applyAlignment="1" pivotButton="0" quotePrefix="0" xfId="0">
      <alignment vertical="center"/>
    </xf>
    <xf numFmtId="0" fontId="2" fillId="17" borderId="5" applyAlignment="1" pivotButton="0" quotePrefix="0" xfId="0">
      <alignment vertical="center"/>
    </xf>
    <xf numFmtId="0" fontId="2" fillId="18" borderId="5" applyAlignment="1" pivotButton="0" quotePrefix="0" xfId="0">
      <alignment vertical="center"/>
    </xf>
    <xf numFmtId="0" fontId="1" fillId="19" borderId="6" applyAlignment="1" pivotButton="0" quotePrefix="0" xfId="0">
      <alignment horizontal="center" vertical="center"/>
    </xf>
    <xf numFmtId="0" fontId="16" fillId="0" borderId="0" pivotButton="0" quotePrefix="0" xfId="0"/>
    <xf numFmtId="0" fontId="1" fillId="0" borderId="19" applyAlignment="1" pivotButton="0" quotePrefix="0" xfId="0">
      <alignment horizontal="center"/>
    </xf>
    <xf numFmtId="0" fontId="0" fillId="0" borderId="19" applyAlignment="1" pivotButton="0" quotePrefix="0" xfId="0">
      <alignment horizontal="center" vertical="center"/>
    </xf>
    <xf numFmtId="164" fontId="2" fillId="0" borderId="28" applyAlignment="1" pivotButton="0" quotePrefix="0" xfId="0">
      <alignment horizontal="center"/>
    </xf>
    <xf numFmtId="0" fontId="17" fillId="16" borderId="2" applyAlignment="1" pivotButton="0" quotePrefix="0" xfId="0">
      <alignment vertical="center"/>
    </xf>
    <xf numFmtId="0" fontId="2" fillId="17" borderId="2" applyAlignment="1" pivotButton="0" quotePrefix="0" xfId="0">
      <alignment vertical="center"/>
    </xf>
    <xf numFmtId="0" fontId="2" fillId="11" borderId="2" applyAlignment="1" pivotButton="0" quotePrefix="0" xfId="0">
      <alignment vertical="center"/>
    </xf>
    <xf numFmtId="0" fontId="2" fillId="18" borderId="2" applyAlignment="1" pivotButton="0" quotePrefix="0" xfId="0">
      <alignment vertical="center"/>
    </xf>
    <xf numFmtId="164" fontId="0" fillId="0" borderId="29" applyAlignment="1" pivotButton="0" quotePrefix="0" xfId="0">
      <alignment horizontal="center"/>
    </xf>
    <xf numFmtId="10" fontId="0" fillId="0" borderId="13" applyAlignment="1" pivotButton="0" quotePrefix="0" xfId="2">
      <alignment horizontal="center" vertical="center"/>
    </xf>
    <xf numFmtId="2" fontId="0" fillId="11" borderId="30" applyAlignment="1" pivotButton="0" quotePrefix="0" xfId="0">
      <alignment horizontal="center" vertical="center"/>
    </xf>
    <xf numFmtId="164" fontId="10" fillId="0" borderId="0" applyAlignment="1" pivotButton="0" quotePrefix="0" xfId="0">
      <alignment vertical="center"/>
    </xf>
    <xf numFmtId="10" fontId="0" fillId="0" borderId="13" applyAlignment="1" pivotButton="0" quotePrefix="0" xfId="0">
      <alignment horizontal="center" vertical="center"/>
    </xf>
    <xf numFmtId="10" fontId="0" fillId="0" borderId="21" applyAlignment="1" pivotButton="0" quotePrefix="0" xfId="0">
      <alignment horizontal="center" vertical="center"/>
    </xf>
    <xf numFmtId="0" fontId="0" fillId="11" borderId="30" applyAlignment="1" pivotButton="0" quotePrefix="0" xfId="0">
      <alignment horizontal="center" vertical="center"/>
    </xf>
    <xf numFmtId="164" fontId="0" fillId="0" borderId="29" applyAlignment="1" pivotButton="0" quotePrefix="0" xfId="0">
      <alignment horizontal="center" vertical="center"/>
    </xf>
    <xf numFmtId="164" fontId="2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0" fontId="0" fillId="0" borderId="21" applyAlignment="1" pivotButton="0" quotePrefix="0" xfId="0">
      <alignment horizontal="center"/>
    </xf>
    <xf numFmtId="10" fontId="0" fillId="0" borderId="31" applyAlignment="1" pivotButton="0" quotePrefix="0" xfId="0">
      <alignment horizontal="center"/>
    </xf>
    <xf numFmtId="10" fontId="0" fillId="0" borderId="31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wrapText="1"/>
    </xf>
    <xf numFmtId="0" fontId="4" fillId="3" borderId="0" pivotButton="0" quotePrefix="0" xfId="0"/>
    <xf numFmtId="0" fontId="0" fillId="3" borderId="0" pivotButton="0" quotePrefix="0" xfId="0"/>
    <xf numFmtId="0" fontId="4" fillId="3" borderId="0" applyAlignment="1" pivotButton="0" quotePrefix="0" xfId="0">
      <alignment horizontal="center"/>
    </xf>
    <xf numFmtId="0" fontId="14" fillId="3" borderId="6" applyAlignment="1" pivotButton="0" quotePrefix="0" xfId="0">
      <alignment horizontal="center"/>
    </xf>
    <xf numFmtId="164" fontId="2" fillId="3" borderId="0" applyAlignment="1" pivotButton="0" quotePrefix="0" xfId="0">
      <alignment vertical="center"/>
    </xf>
    <xf numFmtId="0" fontId="2" fillId="3" borderId="0" pivotButton="0" quotePrefix="0" xfId="0"/>
    <xf numFmtId="10" fontId="3" fillId="3" borderId="0" pivotButton="0" quotePrefix="0" xfId="0"/>
    <xf numFmtId="0" fontId="3" fillId="3" borderId="0" pivotButton="0" quotePrefix="0" xfId="0"/>
    <xf numFmtId="164" fontId="2" fillId="3" borderId="0" applyAlignment="1" pivotButton="0" quotePrefix="0" xfId="0">
      <alignment horizontal="center"/>
    </xf>
    <xf numFmtId="9" fontId="3" fillId="3" borderId="0" pivotButton="0" quotePrefix="0" xfId="0"/>
    <xf numFmtId="0" fontId="8" fillId="3" borderId="0" pivotButton="0" quotePrefix="0" xfId="0"/>
    <xf numFmtId="9" fontId="1" fillId="3" borderId="0" pivotButton="0" quotePrefix="0" xfId="0"/>
    <xf numFmtId="2" fontId="8" fillId="0" borderId="6" pivotButton="0" quotePrefix="0" xfId="0"/>
    <xf numFmtId="164" fontId="8" fillId="0" borderId="6" pivotButton="0" quotePrefix="0" xfId="0"/>
    <xf numFmtId="0" fontId="10" fillId="0" borderId="0" pivotButton="0" quotePrefix="0" xfId="0"/>
    <xf numFmtId="0" fontId="3" fillId="9" borderId="1" pivotButton="0" quotePrefix="0" xfId="0"/>
    <xf numFmtId="2" fontId="1" fillId="0" borderId="0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/>
    </xf>
    <xf numFmtId="0" fontId="0" fillId="9" borderId="6" applyAlignment="1" pivotButton="0" quotePrefix="0" xfId="0">
      <alignment horizontal="center"/>
    </xf>
    <xf numFmtId="0" fontId="8" fillId="9" borderId="19" pivotButton="0" quotePrefix="0" xfId="0"/>
    <xf numFmtId="0" fontId="13" fillId="3" borderId="26" applyAlignment="1" pivotButton="0" quotePrefix="0" xfId="0">
      <alignment horizontal="center"/>
    </xf>
    <xf numFmtId="0" fontId="13" fillId="0" borderId="23" applyAlignment="1" pivotButton="0" quotePrefix="0" xfId="0">
      <alignment horizontal="center"/>
    </xf>
    <xf numFmtId="0" fontId="13" fillId="0" borderId="24" applyAlignment="1" pivotButton="0" quotePrefix="0" xfId="0">
      <alignment horizontal="center"/>
    </xf>
    <xf numFmtId="164" fontId="9" fillId="11" borderId="6" pivotButton="0" quotePrefix="0" xfId="0"/>
    <xf numFmtId="1" fontId="0" fillId="0" borderId="6" applyAlignment="1" pivotButton="0" quotePrefix="0" xfId="0">
      <alignment horizontal="center" vertical="center"/>
    </xf>
    <xf numFmtId="1" fontId="0" fillId="8" borderId="6" applyAlignment="1" pivotButton="0" quotePrefix="0" xfId="0">
      <alignment horizontal="center" vertical="center"/>
    </xf>
    <xf numFmtId="0" fontId="1" fillId="0" borderId="0" pivotButton="0" quotePrefix="0" xfId="0"/>
    <xf numFmtId="0" fontId="0" fillId="4" borderId="6" applyAlignment="1" pivotButton="0" quotePrefix="0" xfId="0">
      <alignment horizontal="center" vertical="center"/>
    </xf>
    <xf numFmtId="0" fontId="4" fillId="20" borderId="1" pivotButton="0" quotePrefix="0" xfId="0"/>
    <xf numFmtId="0" fontId="9" fillId="0" borderId="32" applyAlignment="1" pivotButton="0" quotePrefix="0" xfId="0">
      <alignment horizontal="center"/>
    </xf>
    <xf numFmtId="0" fontId="3" fillId="5" borderId="0" pivotButton="0" quotePrefix="0" xfId="0"/>
    <xf numFmtId="0" fontId="3" fillId="5" borderId="33" pivotButton="0" quotePrefix="0" xfId="0"/>
    <xf numFmtId="0" fontId="3" fillId="5" borderId="34" pivotButton="0" quotePrefix="0" xfId="0"/>
    <xf numFmtId="0" fontId="3" fillId="0" borderId="35" pivotButton="0" quotePrefix="0" xfId="0"/>
    <xf numFmtId="0" fontId="0" fillId="5" borderId="6" applyAlignment="1" pivotButton="0" quotePrefix="0" xfId="0">
      <alignment horizontal="center"/>
    </xf>
    <xf numFmtId="0" fontId="0" fillId="5" borderId="6" applyAlignment="1" pivotButton="0" quotePrefix="0" xfId="0">
      <alignment horizontal="center" vertical="center"/>
    </xf>
    <xf numFmtId="10" fontId="0" fillId="0" borderId="6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10" fontId="0" fillId="0" borderId="8" applyAlignment="1" pivotButton="0" quotePrefix="0" xfId="0">
      <alignment horizontal="center" vertical="center"/>
    </xf>
    <xf numFmtId="10" fontId="0" fillId="0" borderId="9" applyAlignment="1" pivotButton="0" quotePrefix="0" xfId="0">
      <alignment horizontal="center" vertical="center"/>
    </xf>
    <xf numFmtId="10" fontId="0" fillId="0" borderId="8" applyAlignment="1" pivotButton="0" quotePrefix="0" xfId="0">
      <alignment horizontal="center"/>
    </xf>
    <xf numFmtId="10" fontId="0" fillId="0" borderId="6" applyAlignment="1" pivotButton="0" quotePrefix="0" xfId="0">
      <alignment horizontal="center"/>
    </xf>
    <xf numFmtId="10" fontId="0" fillId="0" borderId="19" applyAlignment="1" pivotButton="0" quotePrefix="0" xfId="0">
      <alignment horizontal="center" vertical="center"/>
    </xf>
    <xf numFmtId="0" fontId="7" fillId="10" borderId="26" applyAlignment="1" pivotButton="0" quotePrefix="0" xfId="0">
      <alignment horizontal="center" wrapText="1"/>
    </xf>
    <xf numFmtId="0" fontId="7" fillId="10" borderId="23" applyAlignment="1" pivotButton="0" quotePrefix="0" xfId="0">
      <alignment horizontal="center" wrapText="1"/>
    </xf>
    <xf numFmtId="0" fontId="7" fillId="10" borderId="32" applyAlignment="1" pivotButton="0" quotePrefix="0" xfId="0">
      <alignment horizontal="center" wrapText="1"/>
    </xf>
    <xf numFmtId="0" fontId="7" fillId="10" borderId="24" applyAlignment="1" pivotButton="0" quotePrefix="0" xfId="0">
      <alignment horizontal="center" wrapText="1"/>
    </xf>
    <xf numFmtId="0" fontId="2" fillId="3" borderId="0" applyAlignment="1" pivotButton="0" quotePrefix="0" xfId="0">
      <alignment horizontal="center" wrapText="1"/>
    </xf>
    <xf numFmtId="0" fontId="6" fillId="3" borderId="2" applyAlignment="1" pivotButton="0" quotePrefix="0" xfId="0">
      <alignment horizontal="center"/>
    </xf>
    <xf numFmtId="0" fontId="6" fillId="3" borderId="3" applyAlignment="1" pivotButton="0" quotePrefix="0" xfId="0">
      <alignment horizontal="center"/>
    </xf>
    <xf numFmtId="0" fontId="6" fillId="3" borderId="4" applyAlignment="1" pivotButton="0" quotePrefix="0" xfId="0">
      <alignment horizontal="center"/>
    </xf>
    <xf numFmtId="164" fontId="0" fillId="8" borderId="7" applyAlignment="1" pivotButton="0" quotePrefix="0" xfId="0">
      <alignment horizontal="center" vertical="center"/>
    </xf>
    <xf numFmtId="164" fontId="0" fillId="8" borderId="9" applyAlignment="1" pivotButton="0" quotePrefix="0" xfId="0">
      <alignment horizontal="center" vertical="center"/>
    </xf>
    <xf numFmtId="164" fontId="0" fillId="8" borderId="10" applyAlignment="1" pivotButton="0" quotePrefix="0" xfId="0">
      <alignment horizontal="center" vertical="center"/>
    </xf>
    <xf numFmtId="164" fontId="0" fillId="8" borderId="7" applyAlignment="1" pivotButton="0" quotePrefix="0" xfId="0">
      <alignment horizontal="center"/>
    </xf>
    <xf numFmtId="164" fontId="0" fillId="8" borderId="9" applyAlignment="1" pivotButton="0" quotePrefix="0" xfId="0">
      <alignment horizontal="center"/>
    </xf>
    <xf numFmtId="164" fontId="0" fillId="8" borderId="1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6" fillId="3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38" pivotButton="0" quotePrefix="0" xfId="0"/>
    <xf numFmtId="0" fontId="0" fillId="0" borderId="39" pivotButton="0" quotePrefix="0" xfId="0"/>
    <xf numFmtId="164" fontId="0" fillId="8" borderId="4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0" fillId="8" borderId="42" applyAlignment="1" pivotButton="0" quotePrefix="0" xfId="0">
      <alignment horizontal="center"/>
    </xf>
  </cellXfs>
  <cellStyles count="3">
    <cellStyle name="Normal" xfId="0" builtinId="0"/>
    <cellStyle name="Normal 7" xfId="1"/>
    <cellStyle name="Percent" xfId="2" builtinId="5"/>
  </cellStyles>
  <dxfs count="232"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and Teamwork (GA-6)</a:t>
            </a:r>
            <a:r>
              <a:rPr lang="en-US"/>
              <a:t>Number of Courses per Indicator Analysis</a:t>
            </a:r>
            <a:br>
              <a:rPr lang="en-US"/>
            </a:b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Analysis!$E$5</f>
              <strCache>
                <ptCount val="1"/>
                <pt idx="0">
                  <v>Number of Courses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6a</v>
                </pt>
                <pt idx="1">
                  <v>6b</v>
                </pt>
                <pt idx="2">
                  <v>6c</v>
                </pt>
                <pt idx="3">
                  <v>6e</v>
                </pt>
                <pt idx="4">
                  <v>6e</v>
                </pt>
                <pt idx="5">
                  <v>6f</v>
                </pt>
                <pt idx="6">
                  <v>Average</v>
                </pt>
              </strCache>
            </strRef>
          </cat>
          <val>
            <numRef>
              <f>Analysis!$F$5:$L$5</f>
              <numCache>
                <formatCode>General</formatCode>
                <ptCount val="7"/>
                <pt idx="0">
                  <v>10</v>
                </pt>
                <pt idx="1">
                  <v>6</v>
                </pt>
                <pt idx="2">
                  <v>8</v>
                </pt>
                <pt idx="3">
                  <v>3</v>
                </pt>
                <pt idx="4">
                  <v>11</v>
                </pt>
                <pt idx="5">
                  <v>3</v>
                </pt>
                <pt idx="6">
                  <formatCode>0.00</formatCode>
                  <v>7.6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0676431"/>
        <axId val="191088799"/>
      </barChart>
      <catAx>
        <axId val="1806764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1088799"/>
        <crosses val="autoZero"/>
        <auto val="1"/>
        <lblAlgn val="ctr"/>
        <lblOffset val="100"/>
        <noMultiLvlLbl val="0"/>
      </catAx>
      <valAx>
        <axId val="1910887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676431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and Teamwork (GA-6)</a:t>
            </a:r>
          </a:p>
          <a:p>
            <a:pPr>
              <a:defRPr/>
            </a:pPr>
            <a:r>
              <a:rPr lang="en-US"/>
              <a:t>Number of Course Learning Outcome (CLO) per Indicator 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Analysis!$E$6</f>
              <strCache>
                <ptCount val="1"/>
                <pt idx="0">
                  <v>Number of CLO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2"/>
            <invertIfNegative val="0"/>
            <bubble3D val="0"/>
            <spPr>
              <a:ln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spPr>
          </dPt>
          <dLbls>
            <dLbl>
              <idx val="2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6a</v>
                </pt>
                <pt idx="1">
                  <v>6b</v>
                </pt>
                <pt idx="2">
                  <v>6c</v>
                </pt>
                <pt idx="3">
                  <v>6e</v>
                </pt>
                <pt idx="4">
                  <v>6e</v>
                </pt>
                <pt idx="5">
                  <v>6f</v>
                </pt>
                <pt idx="6">
                  <v>Average</v>
                </pt>
              </strCache>
            </strRef>
          </cat>
          <val>
            <numRef>
              <f>Analysis!$F$6:$L$6</f>
              <numCache>
                <formatCode>General</formatCode>
                <ptCount val="7"/>
                <pt idx="0">
                  <v>10</v>
                </pt>
                <pt idx="1">
                  <v>7</v>
                </pt>
                <pt idx="2">
                  <v>10</v>
                </pt>
                <pt idx="3">
                  <v>3</v>
                </pt>
                <pt idx="4">
                  <v>12</v>
                </pt>
                <pt idx="5">
                  <v>3</v>
                </pt>
                <pt idx="6">
                  <formatCode>0.00</formatCode>
                  <v>8.4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6563295"/>
        <axId val="86564543"/>
      </barChart>
      <catAx>
        <axId val="86563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6564543"/>
        <crosses val="autoZero"/>
        <auto val="1"/>
        <lblAlgn val="ctr"/>
        <lblOffset val="100"/>
        <noMultiLvlLbl val="0"/>
      </catAx>
      <valAx>
        <axId val="865645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6563295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and Teamwork (GA-6)</a:t>
            </a:r>
          </a:p>
          <a:p>
            <a:pPr>
              <a:defRPr/>
            </a:pPr>
            <a:r>
              <a:rPr lang="en-US" baseline="0"/>
              <a:t>Number of Courses per Indicator Analysis at I, D &amp; A Levels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Introduced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1"/>
            <invertIfNegative val="0"/>
            <bubble3D val="0"/>
            <spPr>
              <a:ln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6a</v>
                </pt>
                <pt idx="1">
                  <v>6b</v>
                </pt>
                <pt idx="2">
                  <v>6c</v>
                </pt>
                <pt idx="3">
                  <v>6e</v>
                </pt>
                <pt idx="4">
                  <v>6e</v>
                </pt>
                <pt idx="5">
                  <v>6f</v>
                </pt>
                <pt idx="6">
                  <v>Average</v>
                </pt>
              </strCache>
            </strRef>
          </cat>
          <val>
            <numRef>
              <f>Analysis!$F$7:$L$7</f>
              <numCache>
                <formatCode>General</formatCode>
                <ptCount val="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1</v>
                </pt>
                <pt idx="4">
                  <v>3</v>
                </pt>
                <pt idx="5">
                  <v>1</v>
                </pt>
                <pt idx="6">
                  <formatCode>0.00</formatCode>
                  <v>2</v>
                </pt>
              </numCache>
            </numRef>
          </val>
        </ser>
        <ser>
          <idx val="1"/>
          <order val="1"/>
          <tx>
            <v>Developed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6a</v>
                </pt>
                <pt idx="1">
                  <v>6b</v>
                </pt>
                <pt idx="2">
                  <v>6c</v>
                </pt>
                <pt idx="3">
                  <v>6e</v>
                </pt>
                <pt idx="4">
                  <v>6e</v>
                </pt>
                <pt idx="5">
                  <v>6f</v>
                </pt>
                <pt idx="6">
                  <v>Average</v>
                </pt>
              </strCache>
            </strRef>
          </cat>
          <val>
            <numRef>
              <f>Analysis!$F$8:$L$8</f>
              <numCache>
                <formatCode>General</formatCode>
                <ptCount val="7"/>
                <pt idx="0">
                  <v>2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3</v>
                </pt>
                <pt idx="5">
                  <v>2</v>
                </pt>
                <pt idx="6">
                  <formatCode>0.00</formatCode>
                  <v>1.6</v>
                </pt>
              </numCache>
            </numRef>
          </val>
        </ser>
        <ser>
          <idx val="2"/>
          <order val="2"/>
          <tx>
            <v>Applied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6a</v>
                </pt>
                <pt idx="1">
                  <v>6b</v>
                </pt>
                <pt idx="2">
                  <v>6c</v>
                </pt>
                <pt idx="3">
                  <v>6e</v>
                </pt>
                <pt idx="4">
                  <v>6e</v>
                </pt>
                <pt idx="5">
                  <v>6f</v>
                </pt>
                <pt idx="6">
                  <v>Average</v>
                </pt>
              </strCache>
            </strRef>
          </cat>
          <val>
            <numRef>
              <f>Analysis!$F$9:$L$9</f>
              <numCache>
                <formatCode>General</formatCode>
                <ptCount val="7"/>
                <pt idx="0">
                  <v>7</v>
                </pt>
                <pt idx="1">
                  <v>3</v>
                </pt>
                <pt idx="2">
                  <v>4</v>
                </pt>
                <pt idx="3">
                  <v>1</v>
                </pt>
                <pt idx="4">
                  <v>5</v>
                </pt>
                <pt idx="5">
                  <v>0</v>
                </pt>
                <pt idx="6">
                  <formatCode>0.00</formatCode>
                  <v>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86363120"/>
        <axId val="188702735"/>
      </barChart>
      <catAx>
        <axId val="19863631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8702735"/>
        <crosses val="autoZero"/>
        <auto val="1"/>
        <lblAlgn val="ctr"/>
        <lblOffset val="100"/>
        <noMultiLvlLbl val="0"/>
      </catAx>
      <valAx>
        <axId val="1887027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63631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109536</colOff>
      <row>28</row>
      <rowOff>76200</rowOff>
    </from>
    <to>
      <col>20</col>
      <colOff>587902</colOff>
      <row>40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128587</colOff>
      <row>2</row>
      <rowOff>19050</rowOff>
    </from>
    <to>
      <col>20</col>
      <colOff>606953</colOff>
      <row>14</row>
      <rowOff>63500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119061</colOff>
      <row>15</row>
      <rowOff>47625</rowOff>
    </from>
    <to>
      <col>20</col>
      <colOff>597427</colOff>
      <row>27</row>
      <rowOff>123825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82"/>
  <sheetViews>
    <sheetView zoomScale="90" zoomScaleNormal="90" workbookViewId="0">
      <selection activeCell="F25" sqref="F25"/>
    </sheetView>
  </sheetViews>
  <sheetFormatPr baseColWidth="8" defaultRowHeight="15.75" outlineLevelCol="0"/>
  <cols>
    <col width="17.5703125" bestFit="1" customWidth="1" style="127" min="1" max="1"/>
    <col width="5.85546875" bestFit="1" customWidth="1" style="128" min="2" max="2"/>
    <col width="5.85546875" customWidth="1" style="128" min="3" max="3"/>
    <col width="9.140625" bestFit="1" customWidth="1" style="129" min="4" max="4"/>
    <col width="45.42578125" bestFit="1" customWidth="1" style="129" min="5" max="5"/>
    <col width="8.28515625" bestFit="1" customWidth="1" style="129" min="6" max="11"/>
    <col width="9" bestFit="1" customWidth="1" style="129" min="12" max="12"/>
    <col width="9.140625" customWidth="1" style="129" min="13" max="13"/>
    <col width="13" customWidth="1" style="129" min="14" max="14"/>
    <col width="9.140625" customWidth="1" style="129" min="15" max="20"/>
    <col width="10.5703125" customWidth="1" style="129" min="21" max="21"/>
    <col width="9.140625" customWidth="1" style="129" min="22" max="22"/>
    <col width="12.140625" customWidth="1" style="129" min="23" max="23"/>
    <col width="9.140625" customWidth="1" style="129" min="24" max="27"/>
    <col width="12.5703125" customWidth="1" style="129" min="28" max="28"/>
    <col width="9.140625" customWidth="1" style="129" min="29" max="16384"/>
  </cols>
  <sheetData>
    <row r="1" ht="24" customHeight="1" thickBot="1">
      <c r="D1" s="128" t="n"/>
      <c r="E1" s="186" t="inlineStr">
        <is>
          <t>Individual and Teamwork (GA-6) 2022-2023</t>
        </is>
      </c>
      <c r="F1" s="187" t="n"/>
      <c r="G1" s="187" t="n"/>
      <c r="H1" s="187" t="n"/>
      <c r="I1" s="187" t="n"/>
      <c r="J1" s="187" t="n"/>
      <c r="K1" s="187" t="n"/>
      <c r="L1" s="187" t="n"/>
      <c r="M1" s="187" t="n"/>
      <c r="N1" s="188" t="n"/>
    </row>
    <row r="2" thickBot="1">
      <c r="A2" s="129" t="n"/>
      <c r="B2" s="129" t="n"/>
      <c r="C2" s="129" t="n"/>
    </row>
    <row r="3" ht="20.25" customHeight="1" thickBot="1" thickTop="1">
      <c r="A3" s="1" t="inlineStr">
        <is>
          <t>LO#</t>
        </is>
      </c>
      <c r="B3" s="156" t="inlineStr">
        <is>
          <t>GA-6</t>
        </is>
      </c>
      <c r="C3" s="130" t="n"/>
      <c r="E3" s="171" t="inlineStr">
        <is>
          <t>Individual and Teamwork (GA-6)</t>
        </is>
      </c>
      <c r="F3" s="189" t="n"/>
      <c r="G3" s="189" t="n"/>
      <c r="H3" s="189" t="n"/>
      <c r="I3" s="189" t="n"/>
      <c r="J3" s="189" t="n"/>
      <c r="K3" s="189" t="n"/>
      <c r="L3" s="190" t="n"/>
      <c r="N3" s="132" t="n"/>
      <c r="O3" s="175" t="n"/>
    </row>
    <row r="4" ht="17.25" customHeight="1" thickBot="1" thickTop="1">
      <c r="A4" s="2" t="inlineStr">
        <is>
          <t>ENGR-1100-1</t>
        </is>
      </c>
      <c r="B4" s="3" t="inlineStr">
        <is>
          <t>6a</t>
        </is>
      </c>
      <c r="C4" s="66" t="n"/>
      <c r="E4" s="71" t="n"/>
      <c r="F4" s="72" t="inlineStr">
        <is>
          <t>6a</t>
        </is>
      </c>
      <c r="G4" s="72" t="inlineStr">
        <is>
          <t>6b</t>
        </is>
      </c>
      <c r="H4" s="72" t="inlineStr">
        <is>
          <t>6c</t>
        </is>
      </c>
      <c r="I4" s="72" t="inlineStr">
        <is>
          <t>6e</t>
        </is>
      </c>
      <c r="J4" s="72" t="inlineStr">
        <is>
          <t>6e</t>
        </is>
      </c>
      <c r="K4" s="157" t="inlineStr">
        <is>
          <t>6f</t>
        </is>
      </c>
      <c r="L4" s="73" t="inlineStr">
        <is>
          <t>Average</t>
        </is>
      </c>
      <c r="N4" s="132" t="n"/>
      <c r="O4" s="133" t="n"/>
      <c r="P4" s="133" t="n"/>
      <c r="Q4" s="133" t="n"/>
      <c r="R4" s="133" t="n"/>
      <c r="S4" s="133" t="n"/>
      <c r="T4" s="133" t="n"/>
      <c r="U4" s="133" t="n"/>
    </row>
    <row r="5" ht="17.25" customHeight="1" thickBot="1" thickTop="1">
      <c r="A5" s="2" t="inlineStr">
        <is>
          <t>CENG-3010-5</t>
        </is>
      </c>
      <c r="B5" s="4" t="inlineStr">
        <is>
          <t>6a</t>
        </is>
      </c>
      <c r="C5" s="66" t="n"/>
      <c r="E5" s="68" t="inlineStr">
        <is>
          <t>Number of Courses</t>
        </is>
      </c>
      <c r="F5" s="69">
        <f>COUNTIF(F29:F77, "&gt;0")</f>
        <v/>
      </c>
      <c r="G5" s="69">
        <f>COUNTIF(G29:G77, "&gt;0")</f>
        <v/>
      </c>
      <c r="H5" s="69">
        <f>COUNTIF(H29:H77, "&gt;0")</f>
        <v/>
      </c>
      <c r="I5" s="69">
        <f>COUNTIF(I29:I77, "&gt;0")</f>
        <v/>
      </c>
      <c r="J5" s="69">
        <f>COUNTIF(J29:J77, "&gt;0")</f>
        <v/>
      </c>
      <c r="K5" s="69">
        <f>COUNTIF(K29:K77, "&gt;0")</f>
        <v/>
      </c>
      <c r="L5" s="70">
        <f>AVERAGE(F5:J5)</f>
        <v/>
      </c>
      <c r="N5" s="133" t="n"/>
      <c r="O5" s="134" t="n"/>
      <c r="P5" s="134" t="n"/>
      <c r="Q5" s="134" t="n"/>
      <c r="R5" s="134" t="n"/>
      <c r="S5" s="134" t="n"/>
      <c r="T5" s="134" t="n"/>
      <c r="U5" s="135" t="n"/>
    </row>
    <row r="6" ht="17.25" customHeight="1" thickBot="1" thickTop="1">
      <c r="A6" s="2" t="inlineStr">
        <is>
          <t>SENG-3130-5</t>
        </is>
      </c>
      <c r="B6" s="4" t="inlineStr">
        <is>
          <t>6a</t>
        </is>
      </c>
      <c r="C6" s="66" t="n"/>
      <c r="E6" s="46" t="inlineStr">
        <is>
          <t>Number of CLO</t>
        </is>
      </c>
      <c r="F6" s="95">
        <f>COUNTIF(B:B, "6a")</f>
        <v/>
      </c>
      <c r="G6" s="95">
        <f>COUNTIF(B:B, "6b")</f>
        <v/>
      </c>
      <c r="H6" s="95">
        <f>COUNTIF(B:B, "6c")</f>
        <v/>
      </c>
      <c r="I6" s="95">
        <f>COUNTIF(B:B, "6d")</f>
        <v/>
      </c>
      <c r="J6" s="95">
        <f>COUNTIF(B:B, "6e")</f>
        <v/>
      </c>
      <c r="K6" s="95">
        <f>COUNTIF(B:B, "6f")</f>
        <v/>
      </c>
      <c r="L6" s="70">
        <f>AVERAGE(F6:J6)</f>
        <v/>
      </c>
      <c r="N6" s="133" t="n"/>
      <c r="O6" s="175" t="n"/>
    </row>
    <row r="7" ht="17.25" customHeight="1" thickBot="1" thickTop="1">
      <c r="A7" s="2" t="inlineStr">
        <is>
          <t>COMP-3610-6</t>
        </is>
      </c>
      <c r="B7" s="4" t="inlineStr">
        <is>
          <t>6a</t>
        </is>
      </c>
      <c r="C7" s="66" t="n"/>
      <c r="E7" s="46" t="inlineStr">
        <is>
          <t>Introduced (Number of Courses)</t>
        </is>
      </c>
      <c r="F7" s="47">
        <f>COUNTIF('Indicator Map'!$B$11:$M$11, "*a*")</f>
        <v/>
      </c>
      <c r="G7" s="47">
        <f>COUNTIF('Indicator Map'!$B$11:$M$11, "*b*")</f>
        <v/>
      </c>
      <c r="H7" s="47">
        <f>COUNTIF('Indicator Map'!$B$11:$M$11, "*c*")</f>
        <v/>
      </c>
      <c r="I7" s="47">
        <f>COUNTIF('Indicator Map'!$B$11:$M$11, "*d*")</f>
        <v/>
      </c>
      <c r="J7" s="47">
        <f>COUNTIF('Indicator Map'!$B$11:$M$11, "*e*")</f>
        <v/>
      </c>
      <c r="K7" s="47">
        <f>COUNTIF('Indicator Map'!$B$11:$M$11, "*f*")</f>
        <v/>
      </c>
      <c r="L7" s="70">
        <f>AVERAGE(F7:J7)</f>
        <v/>
      </c>
      <c r="N7" s="136" t="n"/>
      <c r="O7" s="133" t="n"/>
      <c r="P7" s="133" t="n"/>
      <c r="Q7" s="133" t="n"/>
      <c r="R7" s="133" t="n"/>
      <c r="S7" s="133" t="n"/>
      <c r="T7" s="133" t="n"/>
      <c r="U7" s="133" t="n"/>
    </row>
    <row r="8" ht="17.25" customHeight="1" thickBot="1" thickTop="1">
      <c r="A8" s="2" t="inlineStr">
        <is>
          <t>SENG-3120-2</t>
        </is>
      </c>
      <c r="B8" s="3" t="inlineStr">
        <is>
          <t>6a</t>
        </is>
      </c>
      <c r="C8" s="66" t="n"/>
      <c r="E8" s="46" t="inlineStr">
        <is>
          <t>Developed (Number of Courses)</t>
        </is>
      </c>
      <c r="F8" s="47">
        <f>COUNTIF('Indicator Map'!$B$14:$K$14, "*a*")</f>
        <v/>
      </c>
      <c r="G8" s="47">
        <f>COUNTIF('Indicator Map'!$B$14:$K$14, "*b*")</f>
        <v/>
      </c>
      <c r="H8" s="47">
        <f>COUNTIF('Indicator Map'!$B$14:$K$14, "*c*")</f>
        <v/>
      </c>
      <c r="I8" s="47">
        <f>COUNTIF('Indicator Map'!$B$14:$K$14, "*d*")</f>
        <v/>
      </c>
      <c r="J8" s="47">
        <f>COUNTIF('Indicator Map'!$B$14:$K$14, "*e*")</f>
        <v/>
      </c>
      <c r="K8" s="47">
        <f>COUNTIF('Indicator Map'!$B$14:$K$14, "*f*")</f>
        <v/>
      </c>
      <c r="L8" s="70">
        <f>AVERAGE(F8:J8)</f>
        <v/>
      </c>
      <c r="N8" s="133" t="n"/>
      <c r="O8" s="137" t="n"/>
      <c r="P8" s="137" t="n"/>
      <c r="Q8" s="137" t="n"/>
      <c r="R8" s="137" t="n"/>
      <c r="S8" s="137" t="n"/>
      <c r="T8" s="137" t="n"/>
      <c r="U8" s="137" t="n"/>
    </row>
    <row r="9" ht="17.25" customHeight="1" thickBot="1" thickTop="1">
      <c r="A9" s="2" t="inlineStr">
        <is>
          <t>CENG-3020-1</t>
        </is>
      </c>
      <c r="B9" s="3" t="inlineStr">
        <is>
          <t>6a</t>
        </is>
      </c>
      <c r="C9" s="66" t="n"/>
      <c r="E9" s="74" t="inlineStr">
        <is>
          <t>Applied (Number of Courses)</t>
        </is>
      </c>
      <c r="F9" s="75">
        <f>COUNTIF('Indicator Map'!$B$17:$K$17, "*a*")</f>
        <v/>
      </c>
      <c r="G9" s="75">
        <f>COUNTIF('Indicator Map'!$B$17:$K$17, "*b*")</f>
        <v/>
      </c>
      <c r="H9" s="75">
        <f>COUNTIF('Indicator Map'!$B$17:$K$17, "*c*")</f>
        <v/>
      </c>
      <c r="I9" s="75">
        <f>COUNTIF('Indicator Map'!$B$17:$K$17, "*d*")</f>
        <v/>
      </c>
      <c r="J9" s="75">
        <f>COUNTIF('Indicator Map'!$B$17:$K$17, "*e*")</f>
        <v/>
      </c>
      <c r="K9" s="75">
        <f>COUNTIF('Indicator Map'!$B$17:$K$17, "*f*")</f>
        <v/>
      </c>
      <c r="L9" s="70">
        <f>AVERAGE(F9:J9)</f>
        <v/>
      </c>
      <c r="N9" s="133" t="n"/>
      <c r="O9" s="137" t="n"/>
      <c r="P9" s="137" t="n"/>
      <c r="Q9" s="137" t="n"/>
      <c r="R9" s="137" t="n"/>
      <c r="S9" s="137" t="n"/>
      <c r="T9" s="137" t="n"/>
      <c r="U9" s="137" t="n"/>
    </row>
    <row r="10" ht="17.25" customHeight="1" thickBot="1" thickTop="1">
      <c r="A10" s="2" t="inlineStr">
        <is>
          <t>SENG-4100-1</t>
        </is>
      </c>
      <c r="B10" s="3" t="inlineStr">
        <is>
          <t>6a</t>
        </is>
      </c>
      <c r="C10" s="66" t="n"/>
      <c r="E10" s="80" t="inlineStr">
        <is>
          <t>Scale</t>
        </is>
      </c>
      <c r="F10" s="72" t="inlineStr">
        <is>
          <t>6a</t>
        </is>
      </c>
      <c r="G10" s="72" t="inlineStr">
        <is>
          <t>6b</t>
        </is>
      </c>
      <c r="H10" s="72" t="inlineStr">
        <is>
          <t>6c</t>
        </is>
      </c>
      <c r="I10" s="72" t="inlineStr">
        <is>
          <t>6e</t>
        </is>
      </c>
      <c r="J10" s="72" t="inlineStr">
        <is>
          <t>6e</t>
        </is>
      </c>
      <c r="K10" s="157" t="inlineStr">
        <is>
          <t>6f</t>
        </is>
      </c>
      <c r="L10" s="73" t="inlineStr">
        <is>
          <t>Average</t>
        </is>
      </c>
      <c r="N10" s="133" t="n"/>
      <c r="O10" s="137" t="n"/>
      <c r="P10" s="137" t="n"/>
      <c r="Q10" s="137" t="n"/>
      <c r="R10" s="137" t="n"/>
      <c r="S10" s="137" t="n"/>
      <c r="T10" s="137" t="n"/>
      <c r="U10" s="137" t="n"/>
    </row>
    <row r="11" ht="17.25" customHeight="1" thickBot="1" thickTop="1">
      <c r="A11" s="2" t="inlineStr">
        <is>
          <t>SENG-4130-6</t>
        </is>
      </c>
      <c r="B11" s="4" t="inlineStr">
        <is>
          <t>6a</t>
        </is>
      </c>
      <c r="C11" s="66" t="n"/>
      <c r="E11" s="50" t="inlineStr">
        <is>
          <t>Below Expectation (C- and below)  (%)</t>
        </is>
      </c>
      <c r="F11" s="76">
        <f>'6a'!L55</f>
        <v/>
      </c>
      <c r="G11" s="76">
        <f>'6b'!I55</f>
        <v/>
      </c>
      <c r="H11" s="76">
        <f>'6c'!L55</f>
        <v/>
      </c>
      <c r="I11" s="76">
        <f>'6d'!E55</f>
        <v/>
      </c>
      <c r="J11" s="76">
        <f>'6e'!N55</f>
        <v/>
      </c>
      <c r="K11" s="76">
        <f>'6f'!E55</f>
        <v/>
      </c>
      <c r="L11" s="90">
        <f>AVERAGE(F11:J11)</f>
        <v/>
      </c>
      <c r="N11" s="133" t="n"/>
      <c r="O11" s="137" t="n"/>
      <c r="P11" s="137" t="n"/>
      <c r="Q11" s="137" t="n"/>
      <c r="R11" s="137" t="n"/>
      <c r="S11" s="137" t="n"/>
      <c r="T11" s="137" t="n"/>
      <c r="U11" s="137" t="n"/>
    </row>
    <row r="12" ht="17.25" customHeight="1" thickBot="1" thickTop="1">
      <c r="A12" s="2" t="inlineStr">
        <is>
          <t>SENG-4140-2</t>
        </is>
      </c>
      <c r="B12" s="3" t="inlineStr">
        <is>
          <t>6a</t>
        </is>
      </c>
      <c r="C12" s="66" t="n"/>
      <c r="E12" s="51" t="inlineStr">
        <is>
          <t>Marginal (C+, C)  (%)</t>
        </is>
      </c>
      <c r="F12" s="52">
        <f>'6a'!L56</f>
        <v/>
      </c>
      <c r="G12" s="52">
        <f>'6b'!I56</f>
        <v/>
      </c>
      <c r="H12" s="52">
        <f>'6c'!L56</f>
        <v/>
      </c>
      <c r="I12" s="52">
        <f>'6d'!E56</f>
        <v/>
      </c>
      <c r="J12" s="76">
        <f>'6e'!N56</f>
        <v/>
      </c>
      <c r="K12" s="76">
        <f>'6f'!E56</f>
        <v/>
      </c>
      <c r="L12" s="90">
        <f>AVERAGE(F12:J12)</f>
        <v/>
      </c>
      <c r="N12" s="133" t="n"/>
      <c r="O12" s="137" t="n"/>
      <c r="P12" s="137" t="n"/>
      <c r="Q12" s="137" t="n"/>
      <c r="R12" s="137" t="n"/>
      <c r="S12" s="137" t="n"/>
      <c r="T12" s="137" t="n"/>
      <c r="U12" s="137" t="n"/>
    </row>
    <row r="13" ht="17.25" customHeight="1" thickBot="1" thickTop="1">
      <c r="A13" s="2" t="inlineStr">
        <is>
          <t>SENG-4640-1</t>
        </is>
      </c>
      <c r="B13" s="3" t="inlineStr">
        <is>
          <t>6a</t>
        </is>
      </c>
      <c r="C13" s="66" t="n"/>
      <c r="E13" s="51" t="inlineStr">
        <is>
          <t>Meets Expectation (B+, B, B-) (%)</t>
        </is>
      </c>
      <c r="F13" s="52">
        <f>'6a'!L57</f>
        <v/>
      </c>
      <c r="G13" s="52">
        <f>'6b'!I57</f>
        <v/>
      </c>
      <c r="H13" s="52">
        <f>'6c'!L57</f>
        <v/>
      </c>
      <c r="I13" s="52">
        <f>'6d'!E57</f>
        <v/>
      </c>
      <c r="J13" s="76">
        <f>'6e'!N57</f>
        <v/>
      </c>
      <c r="K13" s="76">
        <f>'6f'!E57</f>
        <v/>
      </c>
      <c r="L13" s="90">
        <f>AVERAGE(F13:J13)</f>
        <v/>
      </c>
      <c r="N13" s="133" t="n"/>
      <c r="O13" s="137" t="n"/>
      <c r="P13" s="137" t="n"/>
      <c r="Q13" s="137" t="n"/>
      <c r="R13" s="137" t="n"/>
      <c r="S13" s="137" t="n"/>
      <c r="T13" s="137" t="n"/>
      <c r="U13" s="137" t="n"/>
    </row>
    <row r="14" ht="17.25" customHeight="1" thickBot="1" thickTop="1">
      <c r="A14" s="2" t="inlineStr">
        <is>
          <t>ENGR-1100-2</t>
        </is>
      </c>
      <c r="B14" s="3" t="inlineStr">
        <is>
          <t>6b</t>
        </is>
      </c>
      <c r="C14" s="66" t="n"/>
      <c r="E14" s="51" t="inlineStr">
        <is>
          <t>Exceeds Expectation (A+, A, A-) (%)</t>
        </is>
      </c>
      <c r="F14" s="52">
        <f>'6a'!L58</f>
        <v/>
      </c>
      <c r="G14" s="52">
        <f>'6b'!I58</f>
        <v/>
      </c>
      <c r="H14" s="52">
        <f>'6c'!L58</f>
        <v/>
      </c>
      <c r="I14" s="52">
        <f>'6d'!E58</f>
        <v/>
      </c>
      <c r="J14" s="76">
        <f>'6e'!N58</f>
        <v/>
      </c>
      <c r="K14" s="76">
        <f>'6f'!E58</f>
        <v/>
      </c>
      <c r="L14" s="90">
        <f>AVERAGE(F14:J14)</f>
        <v/>
      </c>
      <c r="N14" s="133" t="n"/>
      <c r="O14" s="137" t="n"/>
      <c r="P14" s="137" t="n"/>
      <c r="Q14" s="137" t="n"/>
      <c r="R14" s="137" t="n"/>
      <c r="S14" s="137" t="n"/>
      <c r="T14" s="137" t="n"/>
      <c r="U14" s="137" t="n"/>
    </row>
    <row r="15" ht="17.25" customHeight="1" thickBot="1" thickTop="1">
      <c r="A15" s="2" t="inlineStr">
        <is>
          <t>ENGR-1200-7</t>
        </is>
      </c>
      <c r="B15" s="3" t="inlineStr">
        <is>
          <t>6b</t>
        </is>
      </c>
      <c r="C15" s="66" t="n"/>
      <c r="E15" s="46" t="inlineStr">
        <is>
          <t>Frequency Distribution Analysis (70% cutoff)</t>
        </is>
      </c>
      <c r="F15" s="52">
        <f>SUM(F13:F14)</f>
        <v/>
      </c>
      <c r="G15" s="52">
        <f>SUM(G13:G14)</f>
        <v/>
      </c>
      <c r="H15" s="52">
        <f>SUM(H13:H14)</f>
        <v/>
      </c>
      <c r="I15" s="52">
        <f>SUM(I13:I14)</f>
        <v/>
      </c>
      <c r="J15" s="52">
        <f>SUM(J13:J14)</f>
        <v/>
      </c>
      <c r="K15" s="52">
        <f>SUM(K13:K14)</f>
        <v/>
      </c>
      <c r="L15" s="53">
        <f>AVERAGE(F15:J15)</f>
        <v/>
      </c>
    </row>
    <row r="16" ht="17.25" customHeight="1" thickBot="1" thickTop="1">
      <c r="A16" s="2" t="inlineStr">
        <is>
          <t>ENGR-3300-1</t>
        </is>
      </c>
      <c r="B16" s="4" t="inlineStr">
        <is>
          <t>6b</t>
        </is>
      </c>
      <c r="C16" s="66" t="n"/>
      <c r="E16" s="51" t="inlineStr">
        <is>
          <t>Overall indicator simple Average Analysis</t>
        </is>
      </c>
      <c r="F16" s="141">
        <f>'6a'!B44</f>
        <v/>
      </c>
      <c r="G16" s="141">
        <f>'6b'!B44</f>
        <v/>
      </c>
      <c r="H16" s="141">
        <f>'6c'!B44</f>
        <v/>
      </c>
      <c r="I16" s="141">
        <f>'6d'!B44</f>
        <v/>
      </c>
      <c r="J16" s="140">
        <f>'6e'!B44</f>
        <v/>
      </c>
      <c r="K16" s="140">
        <f>'6f'!B44</f>
        <v/>
      </c>
      <c r="L16" s="151">
        <f>AVERAGE(F16:J16)</f>
        <v/>
      </c>
    </row>
    <row r="17" ht="17.25" customHeight="1" thickBot="1" thickTop="1">
      <c r="A17" s="2" t="inlineStr">
        <is>
          <t>SENG-3120-3</t>
        </is>
      </c>
      <c r="B17" s="3" t="inlineStr">
        <is>
          <t>6b</t>
        </is>
      </c>
      <c r="C17" s="66" t="n"/>
      <c r="E17" s="79" t="inlineStr">
        <is>
          <t>Assessment Tool</t>
        </is>
      </c>
      <c r="F17" s="72" t="inlineStr">
        <is>
          <t>6a</t>
        </is>
      </c>
      <c r="G17" s="72" t="inlineStr">
        <is>
          <t>6b</t>
        </is>
      </c>
      <c r="H17" s="72" t="inlineStr">
        <is>
          <t>6c</t>
        </is>
      </c>
      <c r="I17" s="72" t="inlineStr">
        <is>
          <t>6e</t>
        </is>
      </c>
      <c r="J17" s="72" t="inlineStr">
        <is>
          <t>6e</t>
        </is>
      </c>
      <c r="K17" s="157" t="inlineStr">
        <is>
          <t>6f</t>
        </is>
      </c>
      <c r="L17" s="73" t="inlineStr">
        <is>
          <t>Average</t>
        </is>
      </c>
    </row>
    <row r="18" ht="17.25" customHeight="1" thickBot="1" thickTop="1">
      <c r="A18" s="2" t="inlineStr">
        <is>
          <t>SENG-3210-4</t>
        </is>
      </c>
      <c r="B18" s="3" t="inlineStr">
        <is>
          <t>6b</t>
        </is>
      </c>
      <c r="C18" s="66" t="n"/>
      <c r="E18" s="50" t="inlineStr">
        <is>
          <t>Assignment</t>
        </is>
      </c>
      <c r="F18" s="77">
        <f>'6a'!B51/'6a'!I51</f>
        <v/>
      </c>
      <c r="G18" s="77">
        <f>'6b'!B51/'6b'!I51</f>
        <v/>
      </c>
      <c r="H18" s="77">
        <f>'6c'!B51/'6c'!I51</f>
        <v/>
      </c>
      <c r="I18" s="77">
        <f>'6d'!B51/'6d'!I51</f>
        <v/>
      </c>
      <c r="J18" s="77">
        <f>'6e'!B51/'6e'!I51</f>
        <v/>
      </c>
      <c r="K18" s="77">
        <f>'6f'!B51/'6f'!I51</f>
        <v/>
      </c>
      <c r="L18" s="78">
        <f>AVERAGE(F18:J18)</f>
        <v/>
      </c>
      <c r="M18" s="138" t="n"/>
    </row>
    <row r="19" ht="17.25" customHeight="1" thickBot="1" thickTop="1">
      <c r="A19" s="2" t="inlineStr">
        <is>
          <t>SENG-4100-4</t>
        </is>
      </c>
      <c r="B19" s="3" t="inlineStr">
        <is>
          <t>6b</t>
        </is>
      </c>
      <c r="C19" s="66" t="n"/>
      <c r="E19" s="51" t="inlineStr">
        <is>
          <t>Quiz</t>
        </is>
      </c>
      <c r="F19" s="54">
        <f>'6a'!C51/'6a'!I51</f>
        <v/>
      </c>
      <c r="G19" s="77">
        <f>'6b'!C51/'6b'!I51</f>
        <v/>
      </c>
      <c r="H19" s="54">
        <f>'6c'!C51/'6c'!I51</f>
        <v/>
      </c>
      <c r="I19" s="54">
        <f>'6d'!C51/'6d'!I51</f>
        <v/>
      </c>
      <c r="J19" s="54">
        <f>'6e'!C51/'6e'!I51</f>
        <v/>
      </c>
      <c r="K19" s="77">
        <f>'6f'!C51/'6f'!I51</f>
        <v/>
      </c>
      <c r="L19" s="78">
        <f>AVERAGE(F19:J19)</f>
        <v/>
      </c>
      <c r="M19" s="138" t="n"/>
    </row>
    <row r="20" ht="17.25" customHeight="1" thickBot="1" thickTop="1">
      <c r="A20" s="2" t="inlineStr">
        <is>
          <t>SENG-4100-8</t>
        </is>
      </c>
      <c r="B20" s="3" t="inlineStr">
        <is>
          <t>6b</t>
        </is>
      </c>
      <c r="C20" s="66" t="n"/>
      <c r="E20" s="51" t="inlineStr">
        <is>
          <t>Mid Term</t>
        </is>
      </c>
      <c r="F20" s="54">
        <f>'6a'!D51/'6a'!I51</f>
        <v/>
      </c>
      <c r="G20" s="77">
        <f>'6b'!D51/'6b'!I51</f>
        <v/>
      </c>
      <c r="H20" s="54">
        <f>'6c'!D51/'6c'!I51</f>
        <v/>
      </c>
      <c r="I20" s="54">
        <f>'6d'!D51/'6d'!I51</f>
        <v/>
      </c>
      <c r="J20" s="54">
        <f>'6e'!D51/'6e'!I51</f>
        <v/>
      </c>
      <c r="K20" s="77">
        <f>'6f'!D51/'6f'!I51</f>
        <v/>
      </c>
      <c r="L20" s="78">
        <f>AVERAGE(F20:J20)</f>
        <v/>
      </c>
      <c r="M20" s="138" t="n"/>
    </row>
    <row r="21" ht="17.25" customHeight="1" thickBot="1" thickTop="1">
      <c r="A21" s="2" t="inlineStr">
        <is>
          <t>ENGR-1200-6</t>
        </is>
      </c>
      <c r="B21" s="3" t="inlineStr">
        <is>
          <t>6c</t>
        </is>
      </c>
      <c r="C21" s="66" t="n"/>
      <c r="E21" s="51" t="inlineStr">
        <is>
          <t>Final Exam</t>
        </is>
      </c>
      <c r="F21" s="54">
        <f>'6a'!E51/'6a'!I51</f>
        <v/>
      </c>
      <c r="G21" s="77">
        <f>'6b'!E51/'6b'!I51</f>
        <v/>
      </c>
      <c r="H21" s="54">
        <f>'6c'!E51/'6c'!I51</f>
        <v/>
      </c>
      <c r="I21" s="54">
        <f>'6d'!E51/'6d'!I51</f>
        <v/>
      </c>
      <c r="J21" s="54">
        <f>'6e'!E51/'6e'!I51</f>
        <v/>
      </c>
      <c r="K21" s="77">
        <f>'6f'!E51/'6f'!I51</f>
        <v/>
      </c>
      <c r="L21" s="78">
        <f>AVERAGE(F21:J21)</f>
        <v/>
      </c>
      <c r="M21" s="138" t="n"/>
    </row>
    <row r="22" ht="17.25" customHeight="1" thickBot="1" thickTop="1">
      <c r="A22" s="2" t="inlineStr">
        <is>
          <t>ENGR-2000-7</t>
        </is>
      </c>
      <c r="B22" s="3" t="inlineStr">
        <is>
          <t>6c</t>
        </is>
      </c>
      <c r="C22" s="66" t="n"/>
      <c r="E22" s="46" t="inlineStr">
        <is>
          <t>Project</t>
        </is>
      </c>
      <c r="F22" s="54">
        <f>'6a'!F51/'6a'!I51</f>
        <v/>
      </c>
      <c r="G22" s="77">
        <f>'6b'!F51/'6b'!I51</f>
        <v/>
      </c>
      <c r="H22" s="54">
        <f>'6c'!F51/'6c'!I51</f>
        <v/>
      </c>
      <c r="I22" s="54">
        <f>'6d'!F51/'6d'!I51</f>
        <v/>
      </c>
      <c r="J22" s="54">
        <f>'6e'!F51/'6e'!I51</f>
        <v/>
      </c>
      <c r="K22" s="77">
        <f>'6f'!F51/'6f'!I51</f>
        <v/>
      </c>
      <c r="L22" s="78">
        <f>AVERAGE(F22:J22)</f>
        <v/>
      </c>
      <c r="M22" s="138" t="n"/>
    </row>
    <row r="23" ht="17.25" customHeight="1" thickBot="1" thickTop="1">
      <c r="A23" s="2" t="inlineStr">
        <is>
          <t>ENGR-2300-2</t>
        </is>
      </c>
      <c r="B23" s="4" t="inlineStr">
        <is>
          <t>6c</t>
        </is>
      </c>
      <c r="C23" s="66" t="n"/>
      <c r="E23" s="46" t="inlineStr">
        <is>
          <t>Lab</t>
        </is>
      </c>
      <c r="F23" s="54">
        <f>'6a'!G51/'6a'!I51</f>
        <v/>
      </c>
      <c r="G23" s="77">
        <f>'6b'!G51/'6b'!I51</f>
        <v/>
      </c>
      <c r="H23" s="54">
        <f>'6c'!G51/'6c'!I51</f>
        <v/>
      </c>
      <c r="I23" s="54">
        <f>'6d'!G51/'6d'!I51</f>
        <v/>
      </c>
      <c r="J23" s="54">
        <f>'6e'!G51/'6e'!I51</f>
        <v/>
      </c>
      <c r="K23" s="77">
        <f>'6f'!G51/'6f'!I51</f>
        <v/>
      </c>
      <c r="L23" s="78">
        <f>AVERAGE(F23:J23)</f>
        <v/>
      </c>
      <c r="M23" s="138" t="n"/>
    </row>
    <row r="24" ht="17.25" customHeight="1" thickBot="1" thickTop="1">
      <c r="A24" s="2" t="inlineStr">
        <is>
          <t>ENGR-2400-4</t>
        </is>
      </c>
      <c r="B24" s="4" t="inlineStr">
        <is>
          <t>6c</t>
        </is>
      </c>
      <c r="C24" s="66" t="n"/>
      <c r="E24" s="51" t="inlineStr">
        <is>
          <t>Anyother</t>
        </is>
      </c>
      <c r="F24" s="54">
        <f>'6a'!H51/'6a'!I51</f>
        <v/>
      </c>
      <c r="G24" s="77">
        <f>'6b'!H51/'6b'!I51</f>
        <v/>
      </c>
      <c r="H24" s="54">
        <f>'6c'!H51/'6c'!I51</f>
        <v/>
      </c>
      <c r="I24" s="54">
        <f>'6d'!H51/'6d'!I51</f>
        <v/>
      </c>
      <c r="J24" s="54">
        <f>'6e'!H51/'6e'!I51</f>
        <v/>
      </c>
      <c r="K24" s="77">
        <f>'6f'!H51/'6f'!I51</f>
        <v/>
      </c>
      <c r="L24" s="78">
        <f>AVERAGE(F24:J24)</f>
        <v/>
      </c>
      <c r="M24" s="138" t="n"/>
    </row>
    <row r="25" ht="17.25" customHeight="1" thickBot="1" thickTop="1">
      <c r="A25" s="2" t="inlineStr">
        <is>
          <t>SENG-3210-3</t>
        </is>
      </c>
      <c r="B25" s="3" t="inlineStr">
        <is>
          <t>6c</t>
        </is>
      </c>
      <c r="C25" s="66" t="n"/>
      <c r="L25" s="139" t="n"/>
      <c r="M25" s="138" t="n"/>
    </row>
    <row r="26" ht="17.25" customHeight="1" thickBot="1" thickTop="1">
      <c r="A26" s="2" t="inlineStr">
        <is>
          <t>SENG-3210-5</t>
        </is>
      </c>
      <c r="B26" s="3" t="inlineStr">
        <is>
          <t>6c</t>
        </is>
      </c>
      <c r="C26" s="66" t="n"/>
      <c r="E26" s="138" t="n"/>
      <c r="F26" s="138" t="n"/>
      <c r="G26" s="138" t="n"/>
      <c r="H26" s="138" t="n"/>
      <c r="I26" s="138" t="n"/>
      <c r="J26" s="138" t="n"/>
      <c r="K26" s="138" t="n"/>
      <c r="L26" s="138" t="n"/>
      <c r="M26" s="138" t="n"/>
    </row>
    <row r="27" ht="17.25" customHeight="1" thickBot="1" thickTop="1">
      <c r="A27" s="2" t="inlineStr">
        <is>
          <t>SENG-4100-3</t>
        </is>
      </c>
      <c r="B27" s="3" t="inlineStr">
        <is>
          <t>6c</t>
        </is>
      </c>
      <c r="C27" s="66" t="n"/>
      <c r="F27" s="138" t="n"/>
      <c r="H27" s="138" t="n"/>
      <c r="I27" s="138" t="n"/>
      <c r="J27" s="138" t="n"/>
      <c r="K27" s="138" t="n"/>
      <c r="L27" s="138" t="n"/>
      <c r="M27" s="138" t="n"/>
    </row>
    <row r="28" ht="17.25" customHeight="1" thickBot="1" thickTop="1">
      <c r="A28" s="2" t="inlineStr">
        <is>
          <t>SENG-4140-3</t>
        </is>
      </c>
      <c r="B28" s="3" t="inlineStr">
        <is>
          <t>6c</t>
        </is>
      </c>
      <c r="D28" s="148" t="inlineStr">
        <is>
          <t>Total LO</t>
        </is>
      </c>
      <c r="E28" s="149" t="inlineStr">
        <is>
          <t>Course</t>
        </is>
      </c>
      <c r="F28" s="72" t="inlineStr">
        <is>
          <t>6a</t>
        </is>
      </c>
      <c r="G28" s="72" t="inlineStr">
        <is>
          <t>6b</t>
        </is>
      </c>
      <c r="H28" s="72" t="inlineStr">
        <is>
          <t>6c</t>
        </is>
      </c>
      <c r="I28" s="72" t="inlineStr">
        <is>
          <t>6e</t>
        </is>
      </c>
      <c r="J28" s="72" t="inlineStr">
        <is>
          <t>6e</t>
        </is>
      </c>
      <c r="K28" s="157" t="inlineStr">
        <is>
          <t>6f</t>
        </is>
      </c>
      <c r="L28" s="150" t="inlineStr">
        <is>
          <t>Total</t>
        </is>
      </c>
    </row>
    <row r="29" ht="17.25" customHeight="1" thickBot="1" thickTop="1">
      <c r="A29" s="2" t="inlineStr">
        <is>
          <t>SENG-4640-2</t>
        </is>
      </c>
      <c r="B29" s="3" t="inlineStr">
        <is>
          <t>6c</t>
        </is>
      </c>
      <c r="D29" s="60">
        <f>COUNTIF(A:A, "CENG-2010*")</f>
        <v/>
      </c>
      <c r="E29" s="60" t="inlineStr">
        <is>
          <t>CENG 2010</t>
        </is>
      </c>
      <c r="F29" s="48">
        <f>COUNTIF('6a'!$B$1:$K$1, "CENG-2010*")</f>
        <v/>
      </c>
      <c r="G29" s="48">
        <f>COUNTIF('6b'!$B$1:$H$1, "CENG-2010*")</f>
        <v/>
      </c>
      <c r="H29" s="48">
        <f>COUNTIF('6c'!$B$1:$K$1, "CENG-2010*")</f>
        <v/>
      </c>
      <c r="I29" s="48">
        <f>COUNTIF('6d'!$B$1:$D$1, "CENG-2010*")</f>
        <v/>
      </c>
      <c r="J29" s="147">
        <f>COUNTIFS('6e'!$B$1:$M$1, "CENG-2010*")</f>
        <v/>
      </c>
      <c r="K29" s="147">
        <f>COUNTIFS('6f'!$B$1:$D$1, "CENG-2010*")</f>
        <v/>
      </c>
      <c r="L29" s="49">
        <f>SUM(F29:K29)</f>
        <v/>
      </c>
    </row>
    <row r="30" ht="17.25" customHeight="1" thickBot="1" thickTop="1">
      <c r="A30" s="2" t="inlineStr">
        <is>
          <t>SENG-4640-3</t>
        </is>
      </c>
      <c r="B30" s="3" t="inlineStr">
        <is>
          <t>6c</t>
        </is>
      </c>
      <c r="D30" s="55">
        <f>COUNTIF(A:A, "CENG-2030*")</f>
        <v/>
      </c>
      <c r="E30" s="55" t="inlineStr">
        <is>
          <t>CENG 2030</t>
        </is>
      </c>
      <c r="F30" s="45">
        <f>COUNTIF('6a'!$B$1:$K$1, "CENG-2030*")</f>
        <v/>
      </c>
      <c r="G30" s="45">
        <f>COUNTIF('6b'!$B$1:$H$1, "CENG-2030*")</f>
        <v/>
      </c>
      <c r="H30" s="45">
        <f>COUNTIF('6c'!$B$1:$K$1, "CENG-2030*")</f>
        <v/>
      </c>
      <c r="I30" s="45">
        <f>COUNTIF('6d'!$B$1:$D$1, "CENG-2030*")</f>
        <v/>
      </c>
      <c r="J30" s="83">
        <f>COUNTIFS('6e'!$B$1:$M$1, "CENG-2030*")</f>
        <v/>
      </c>
      <c r="K30" s="83">
        <f>COUNTIFS('6f'!$B$1:$D$1, "CENG-2030*")</f>
        <v/>
      </c>
      <c r="L30" s="49">
        <f>SUM(F30:K30)</f>
        <v/>
      </c>
    </row>
    <row r="31" ht="17.25" customHeight="1" thickBot="1" thickTop="1">
      <c r="A31" s="2" t="inlineStr">
        <is>
          <t>ENGR-2300-1</t>
        </is>
      </c>
      <c r="B31" s="4" t="inlineStr">
        <is>
          <t>6d</t>
        </is>
      </c>
      <c r="D31" s="55">
        <f>COUNTIF(A:A, "CENG-3010*")</f>
        <v/>
      </c>
      <c r="E31" s="55" t="inlineStr">
        <is>
          <t>CENG 3010</t>
        </is>
      </c>
      <c r="F31" s="45">
        <f>COUNTIF('6a'!$B$1:$K$1, "CENG-3010*")</f>
        <v/>
      </c>
      <c r="G31" s="45">
        <f>COUNTIF('6b'!$B$1:$H$1, "CENG-3010*")</f>
        <v/>
      </c>
      <c r="H31" s="45">
        <f>COUNTIF('6c'!$B$1:$K$1, "CENG-3010*")</f>
        <v/>
      </c>
      <c r="I31" s="45">
        <f>COUNTIF('6d'!$B$1:$D$1, "CENG-3010*")</f>
        <v/>
      </c>
      <c r="J31" s="83">
        <f>COUNTIFS('6e'!$B$1:$M$1, "CENG-3010*")</f>
        <v/>
      </c>
      <c r="K31" s="83">
        <f>COUNTIFS('6f'!$B$1:$D$1, "CENG-3010*")</f>
        <v/>
      </c>
      <c r="L31" s="49">
        <f>SUM(F31:K31)</f>
        <v/>
      </c>
    </row>
    <row r="32" ht="17.25" customHeight="1" thickBot="1" thickTop="1">
      <c r="A32" s="2" t="inlineStr">
        <is>
          <t>ENGR-3300-2</t>
        </is>
      </c>
      <c r="B32" s="4" t="inlineStr">
        <is>
          <t>6d</t>
        </is>
      </c>
      <c r="D32" s="55">
        <f>COUNTIF(A:A, "CENG-3020*")</f>
        <v/>
      </c>
      <c r="E32" s="55" t="inlineStr">
        <is>
          <t>CENG 3020</t>
        </is>
      </c>
      <c r="F32" s="45">
        <f>COUNTIF('6a'!$B$1:$K$1, "CENG-3020*")</f>
        <v/>
      </c>
      <c r="G32" s="45">
        <f>COUNTIF('6b'!$B$1:$H$1, "CENG-3020*")</f>
        <v/>
      </c>
      <c r="H32" s="45">
        <f>COUNTIF('6c'!$B$1:$K$1, "CENG-3020*")</f>
        <v/>
      </c>
      <c r="I32" s="45">
        <f>COUNTIF('6d'!$B$1:$D$1, "CENG-3020*")</f>
        <v/>
      </c>
      <c r="J32" s="83">
        <f>COUNTIFS('6e'!$B$1:$M$1, "CENG-3020*")</f>
        <v/>
      </c>
      <c r="K32" s="83">
        <f>COUNTIFS('6f'!$B$1:$D$1, "CENG-3020*")</f>
        <v/>
      </c>
      <c r="L32" s="49">
        <f>SUM(F32:K32)</f>
        <v/>
      </c>
    </row>
    <row r="33" ht="17.25" customHeight="1" thickBot="1" thickTop="1">
      <c r="A33" s="2" t="inlineStr">
        <is>
          <t>SENG-4100-6</t>
        </is>
      </c>
      <c r="B33" s="3" t="inlineStr">
        <is>
          <t>6d</t>
        </is>
      </c>
      <c r="D33" s="55">
        <f>COUNTIF(A:A, "CENG-3310*")</f>
        <v/>
      </c>
      <c r="E33" s="55" t="inlineStr">
        <is>
          <t xml:space="preserve">CENG 3310 </t>
        </is>
      </c>
      <c r="F33" s="61">
        <f>COUNTIF('6a'!$B$1:$K$1, "CENG-3310*")</f>
        <v/>
      </c>
      <c r="G33" s="45">
        <f>COUNTIF('6b'!$B$1:$H$1, "CENG-3310*")</f>
        <v/>
      </c>
      <c r="H33" s="45">
        <f>COUNTIF('6c'!$B$1:$K$1, "CENG-3310*")</f>
        <v/>
      </c>
      <c r="I33" s="45">
        <f>COUNTIF('6d'!$B$1:$D$1, "CENG-3310*")</f>
        <v/>
      </c>
      <c r="J33" s="84">
        <f>COUNTIFS('6e'!$B$1:$M$1, "CENG-3310*")</f>
        <v/>
      </c>
      <c r="K33" s="84">
        <f>COUNTIFS('6f'!$B$1:$D$1, "CENG-3310*")</f>
        <v/>
      </c>
      <c r="L33" s="49">
        <f>SUM(F33:K33)</f>
        <v/>
      </c>
    </row>
    <row r="34" ht="17.25" customHeight="1" thickBot="1" thickTop="1">
      <c r="A34" s="2" t="inlineStr">
        <is>
          <t>ENGR-1100-9</t>
        </is>
      </c>
      <c r="B34" s="3" t="inlineStr">
        <is>
          <t>6e</t>
        </is>
      </c>
      <c r="D34" s="55">
        <f>COUNTIF(A:A, "CENG-4320*")</f>
        <v/>
      </c>
      <c r="E34" s="55" t="inlineStr">
        <is>
          <t>CENG 4320</t>
        </is>
      </c>
      <c r="F34" s="61">
        <f>COUNTIF('6a'!$B$1:$K$1, "CENG-4320*")</f>
        <v/>
      </c>
      <c r="G34" s="45">
        <f>COUNTIF('6b'!$B$1:$H$1, "CENG-4320*")</f>
        <v/>
      </c>
      <c r="H34" s="45">
        <f>COUNTIF('6c'!$B$1:$K$1, "CENG-4320*")</f>
        <v/>
      </c>
      <c r="I34" s="45">
        <f>COUNTIF('6d'!$B$1:$D$1, "CENG-4320*")</f>
        <v/>
      </c>
      <c r="J34" s="84">
        <f>COUNTIFS('6e'!$B$1:$M$1, "CENG-4320*")</f>
        <v/>
      </c>
      <c r="K34" s="84">
        <f>COUNTIFS('6f'!$B$1:$D$1, "CENG-4320*")</f>
        <v/>
      </c>
      <c r="L34" s="49">
        <f>SUM(F34:K34)</f>
        <v/>
      </c>
    </row>
    <row r="35" ht="17.25" customHeight="1" thickBot="1" thickTop="1">
      <c r="A35" s="2" t="inlineStr">
        <is>
          <t>ENGR-1200-5</t>
        </is>
      </c>
      <c r="B35" s="3" t="inlineStr">
        <is>
          <t>6e</t>
        </is>
      </c>
      <c r="D35" s="55">
        <f>COUNTIF(A:A, "CHEM-1520*")</f>
        <v/>
      </c>
      <c r="E35" s="55" t="inlineStr">
        <is>
          <t>CHEM 1520</t>
        </is>
      </c>
      <c r="F35" s="82">
        <f>COUNTIF('6a'!$B$1:$K$1, "CHEM-1520*")</f>
        <v/>
      </c>
      <c r="G35" s="45">
        <f>COUNTIF('6b'!$B$1:$H$1, "CHEM-1520*")</f>
        <v/>
      </c>
      <c r="H35" s="45">
        <f>COUNTIF('6c'!$B$1:$K$1, "CHEM-1520*")</f>
        <v/>
      </c>
      <c r="I35" s="45">
        <f>COUNTIF('6d'!$B$1:$D$1, "CHEM-1520*")</f>
        <v/>
      </c>
      <c r="J35" s="84">
        <f>COUNTIFS('6e'!$B$1:$M$1, "CHEM-1520*")</f>
        <v/>
      </c>
      <c r="K35" s="84">
        <f>COUNTIFS('6f'!$B$1:$D$1, "CHEM-1520*")</f>
        <v/>
      </c>
      <c r="L35" s="49">
        <f>SUM(F35:K35)</f>
        <v/>
      </c>
    </row>
    <row r="36" ht="17.25" customHeight="1" thickBot="1" thickTop="1">
      <c r="A36" s="2" t="inlineStr">
        <is>
          <t>ENGR-2000-8</t>
        </is>
      </c>
      <c r="B36" s="3" t="inlineStr">
        <is>
          <t>6e</t>
        </is>
      </c>
      <c r="D36" s="55">
        <f>COUNTIF(A:A, "CMNS-1290*")</f>
        <v/>
      </c>
      <c r="E36" s="55" t="inlineStr">
        <is>
          <t>CMNS 1290</t>
        </is>
      </c>
      <c r="F36" s="82">
        <f>COUNTIF('6a'!$B$1:$K$1, "CMNS-1290*")</f>
        <v/>
      </c>
      <c r="G36" s="45">
        <f>COUNTIF('6b'!$B$1:$H$1, "CMNS-1290*")</f>
        <v/>
      </c>
      <c r="H36" s="45">
        <f>COUNTIF('6c'!$B$1:$K$1, "CMNS-1290*")</f>
        <v/>
      </c>
      <c r="I36" s="45">
        <f>COUNTIF('6d'!$B$1:$D$1, "CMNS-1290*")</f>
        <v/>
      </c>
      <c r="J36" s="84">
        <f>COUNTIFS('6e'!$B$1:$M$1, "CMNS-1290*")</f>
        <v/>
      </c>
      <c r="K36" s="84">
        <f>COUNTIFS('6f'!$B$1:$D$1, "CMNS-1290*")</f>
        <v/>
      </c>
      <c r="L36" s="49">
        <f>SUM(F36:K36)</f>
        <v/>
      </c>
    </row>
    <row r="37" ht="17.25" customHeight="1" thickBot="1" thickTop="1">
      <c r="A37" s="2" t="inlineStr">
        <is>
          <t>ENGR-2300-5</t>
        </is>
      </c>
      <c r="B37" s="4" t="inlineStr">
        <is>
          <t>6e</t>
        </is>
      </c>
      <c r="D37" s="55">
        <f>COUNTIF(A:A, "COMP-3410*")</f>
        <v/>
      </c>
      <c r="E37" s="55" t="inlineStr">
        <is>
          <t>COMP 3410</t>
        </is>
      </c>
      <c r="F37" s="45">
        <f>COUNTIF('6a'!$B$1:$K$1, "COMP-3410*")</f>
        <v/>
      </c>
      <c r="G37" s="45">
        <f>COUNTIF('6b'!$B$1:$H$1, "COMP-3410*")</f>
        <v/>
      </c>
      <c r="H37" s="45">
        <f>COUNTIF('6c'!$B$1:$K$1, "COMP-3410*")</f>
        <v/>
      </c>
      <c r="I37" s="45">
        <f>COUNTIF('6d'!$B$1:$D$1, "COMP-3410*")</f>
        <v/>
      </c>
      <c r="J37" s="84">
        <f>COUNTIFS('6e'!$B$1:$M$1, "COMP-3410*")</f>
        <v/>
      </c>
      <c r="K37" s="84">
        <f>COUNTIFS('6f'!$B$1:$D$1, "COMP-3410*")</f>
        <v/>
      </c>
      <c r="L37" s="49">
        <f>SUM(F37:K37)</f>
        <v/>
      </c>
    </row>
    <row r="38" ht="17.25" customHeight="1" thickBot="1" thickTop="1">
      <c r="A38" s="2" t="inlineStr">
        <is>
          <t>EENG-3010-5</t>
        </is>
      </c>
      <c r="B38" s="4" t="inlineStr">
        <is>
          <t>6e</t>
        </is>
      </c>
      <c r="D38" s="55">
        <f>COUNTIF(A:A, "COMP-3610*")</f>
        <v/>
      </c>
      <c r="E38" s="55" t="inlineStr">
        <is>
          <t>COMP 3610</t>
        </is>
      </c>
      <c r="F38" s="45">
        <f>COUNTIF('6a'!$B$1:$K$1, "COMP-3610*")</f>
        <v/>
      </c>
      <c r="G38" s="45">
        <f>COUNTIF('6b'!$B$1:$H$1, "COMP-3610*")</f>
        <v/>
      </c>
      <c r="H38" s="45">
        <f>COUNTIF('6c'!$B$1:$K$1, "COMP-3610*")</f>
        <v/>
      </c>
      <c r="I38" s="45">
        <f>COUNTIF('6d'!$B$1:$D$1, "COMP-3610*")</f>
        <v/>
      </c>
      <c r="J38" s="84">
        <f>COUNTIFS('6e'!$B$1:$M$1, "COMP-3610*")</f>
        <v/>
      </c>
      <c r="K38" s="84">
        <f>COUNTIFS('6f'!$B$1:$D$1, "COMP-3610*")</f>
        <v/>
      </c>
      <c r="L38" s="49">
        <f>SUM(F38:K38)</f>
        <v/>
      </c>
    </row>
    <row r="39" ht="17.25" customHeight="1" thickBot="1" thickTop="1">
      <c r="A39" s="2" t="inlineStr">
        <is>
          <t>ENGR-3300-5</t>
        </is>
      </c>
      <c r="B39" s="4" t="inlineStr">
        <is>
          <t>6e</t>
        </is>
      </c>
      <c r="D39" s="55">
        <f>COUNTIF(A:A, "EENG-3010*")</f>
        <v/>
      </c>
      <c r="E39" s="55" t="inlineStr">
        <is>
          <t>EENG 3010</t>
        </is>
      </c>
      <c r="F39" s="48">
        <f>COUNTIF('6a'!$B$1:$K$1, "EENG-3010*")</f>
        <v/>
      </c>
      <c r="G39" s="45">
        <f>COUNTIF('6b'!$B$1:$H$1, "EENG-3010*")</f>
        <v/>
      </c>
      <c r="H39" s="45">
        <f>COUNTIF('6c'!$B$1:$K$1, "EENG-3010*")</f>
        <v/>
      </c>
      <c r="I39" s="45">
        <f>COUNTIF('6d'!$B$1:$D$1, "EENG-3010*")</f>
        <v/>
      </c>
      <c r="J39" s="84">
        <f>COUNTIFS('6e'!$B$1:$M$1, "EENG-3010*")</f>
        <v/>
      </c>
      <c r="K39" s="84">
        <f>COUNTIFS('6f'!$B$1:$D$1, "EENG-3010*")</f>
        <v/>
      </c>
      <c r="L39" s="49">
        <f>SUM(F39:K39)</f>
        <v/>
      </c>
    </row>
    <row r="40" ht="17.25" customHeight="1" thickBot="1" thickTop="1">
      <c r="A40" s="2" t="inlineStr">
        <is>
          <t>COMP-3610-10</t>
        </is>
      </c>
      <c r="B40" s="4" t="inlineStr">
        <is>
          <t>6e</t>
        </is>
      </c>
      <c r="D40" s="55">
        <f>COUNTIF(A:A, "ENGL-1100*")</f>
        <v/>
      </c>
      <c r="E40" s="55" t="inlineStr">
        <is>
          <t>ENGL 1100</t>
        </is>
      </c>
      <c r="F40" s="48">
        <f>COUNTIF('6a'!$B$1:$K$1, "ENGL-1100*")</f>
        <v/>
      </c>
      <c r="G40" s="45">
        <f>COUNTIF('6b'!$B$1:$H$1, "ENGL-1100*")</f>
        <v/>
      </c>
      <c r="H40" s="45">
        <f>COUNTIF('6c'!$B$1:$K$1, "ENGL-1100*")</f>
        <v/>
      </c>
      <c r="I40" s="45">
        <f>COUNTIF('6d'!$B$1:$D$1, "ENGL-1100*")</f>
        <v/>
      </c>
      <c r="J40" s="84">
        <f>COUNTIFS('6e'!$B$1:$M$1, "ENGL-1100*")</f>
        <v/>
      </c>
      <c r="K40" s="84">
        <f>COUNTIFS('6f'!$B$1:$D$1, "ENGL-1100*")</f>
        <v/>
      </c>
      <c r="L40" s="49">
        <f>SUM(F40:K40)</f>
        <v/>
      </c>
    </row>
    <row r="41" ht="17.25" customHeight="1" thickBot="1" thickTop="1">
      <c r="A41" s="2" t="inlineStr">
        <is>
          <t>CENG-3020-5</t>
        </is>
      </c>
      <c r="B41" s="3" t="inlineStr">
        <is>
          <t>6e</t>
        </is>
      </c>
      <c r="D41" s="55">
        <f>COUNTIF(A:A, "ENGR-1100*")</f>
        <v/>
      </c>
      <c r="E41" s="55" t="inlineStr">
        <is>
          <t>ENGR 1100</t>
        </is>
      </c>
      <c r="F41" s="48">
        <f>COUNTIF('6a'!$B$1:$K$1, "ENGR-1100*")</f>
        <v/>
      </c>
      <c r="G41" s="45">
        <f>COUNTIF('6b'!$B$1:$H$1, "ENGR-1100*")</f>
        <v/>
      </c>
      <c r="H41" s="45">
        <f>COUNTIF('6c'!$B$1:$K$1, "ENGR-1100*")</f>
        <v/>
      </c>
      <c r="I41" s="45">
        <f>COUNTIF('6d'!$B$1:$D$1, "ENGR-1100*")</f>
        <v/>
      </c>
      <c r="J41" s="84">
        <f>COUNTIFS('6e'!$B$1:$M$1, "ENGR-1100*")</f>
        <v/>
      </c>
      <c r="K41" s="84">
        <f>COUNTIFS('6f'!$B$1:$D$1, "ENGR-1100*")</f>
        <v/>
      </c>
      <c r="L41" s="49">
        <f>SUM(F41:K41)</f>
        <v/>
      </c>
    </row>
    <row r="42" ht="17.25" customHeight="1" thickBot="1" thickTop="1">
      <c r="A42" s="2" t="inlineStr">
        <is>
          <t>SENG-4100-2</t>
        </is>
      </c>
      <c r="B42" s="3" t="inlineStr">
        <is>
          <t>6e</t>
        </is>
      </c>
      <c r="D42" s="55">
        <f>COUNTIF(A:A, "ENGR-1200*")</f>
        <v/>
      </c>
      <c r="E42" s="55" t="inlineStr">
        <is>
          <t>ENGR 1200</t>
        </is>
      </c>
      <c r="F42" s="48">
        <f>COUNTIF('6a'!$B$1:$K$1, "ENGR-1200*")</f>
        <v/>
      </c>
      <c r="G42" s="45">
        <f>COUNTIF('6b'!$B$1:$H$1, "ENGR-1200*")</f>
        <v/>
      </c>
      <c r="H42" s="45">
        <f>COUNTIF('6c'!$B$1:$K$1, "ENGR-1200*")</f>
        <v/>
      </c>
      <c r="I42" s="45">
        <f>COUNTIF('6d'!$B$1:$D$1, "ENGR-1200*")</f>
        <v/>
      </c>
      <c r="J42" s="84">
        <f>COUNTIFS('6e'!$B$1:$M$1, "ENGR-1200*")</f>
        <v/>
      </c>
      <c r="K42" s="84">
        <f>COUNTIFS('6f'!$B$1:$D$1, "ENGR-1200*")</f>
        <v/>
      </c>
      <c r="L42" s="49">
        <f>SUM(F42:K42)</f>
        <v/>
      </c>
    </row>
    <row r="43" ht="17.25" customHeight="1" thickBot="1" thickTop="1">
      <c r="A43" s="2" t="inlineStr">
        <is>
          <t>SENG-4140-5</t>
        </is>
      </c>
      <c r="B43" s="3" t="inlineStr">
        <is>
          <t>6e</t>
        </is>
      </c>
      <c r="D43" s="55">
        <f>COUNTIF(A:A, "ENGR-2000*")</f>
        <v/>
      </c>
      <c r="E43" s="55" t="inlineStr">
        <is>
          <t>ENGR 2000</t>
        </is>
      </c>
      <c r="F43" s="48">
        <f>COUNTIF('6a'!$B$1:$K$1, "ENGR-2000*")</f>
        <v/>
      </c>
      <c r="G43" s="45">
        <f>COUNTIF('6b'!$B$1:$H$1, "ENGR-2000*")</f>
        <v/>
      </c>
      <c r="H43" s="45">
        <f>COUNTIF('6c'!$B$1:$K$1, "ENGR-2000*")</f>
        <v/>
      </c>
      <c r="I43" s="45">
        <f>COUNTIF('6d'!$B$1:$D$1, "ENGR-2000*")</f>
        <v/>
      </c>
      <c r="J43" s="84">
        <f>COUNTIFS('6e'!$B$1:$M$1, "ENGR-2000*")</f>
        <v/>
      </c>
      <c r="K43" s="84">
        <f>COUNTIFS('6f'!$B$1:$D$1, "ENGR-2000*")</f>
        <v/>
      </c>
      <c r="L43" s="49">
        <f>SUM(F43:K43)</f>
        <v/>
      </c>
    </row>
    <row r="44" ht="17.25" customHeight="1" thickBot="1" thickTop="1">
      <c r="A44" s="2" t="inlineStr">
        <is>
          <t>SENG-4640-4</t>
        </is>
      </c>
      <c r="B44" s="3" t="inlineStr">
        <is>
          <t>6e</t>
        </is>
      </c>
      <c r="D44" s="55">
        <f>COUNTIF(A:A, "ENGR-2200*")</f>
        <v/>
      </c>
      <c r="E44" s="55" t="inlineStr">
        <is>
          <t>ENGR 2200</t>
        </is>
      </c>
      <c r="F44" s="48">
        <f>COUNTIF('6a'!$B$1:$K$1, "ENGR-2200*")</f>
        <v/>
      </c>
      <c r="G44" s="45">
        <f>COUNTIF('6b'!$B$1:$H$1, "ENGR-2200*")</f>
        <v/>
      </c>
      <c r="H44" s="45">
        <f>COUNTIF('6c'!$B$1:$K$1, "ENGR-2200*")</f>
        <v/>
      </c>
      <c r="I44" s="45">
        <f>COUNTIF('6d'!$B$1:$D$1, "ENGR-2200*")</f>
        <v/>
      </c>
      <c r="J44" s="84">
        <f>COUNTIFS('6e'!$B$1:$M$1, "ENGR-2200*")</f>
        <v/>
      </c>
      <c r="K44" s="84">
        <f>COUNTIFS('6f'!$B$1:$D$1, "ENGR-2200*")</f>
        <v/>
      </c>
      <c r="L44" s="49">
        <f>SUM(F44:K44)</f>
        <v/>
      </c>
    </row>
    <row r="45" ht="17.25" customHeight="1" thickBot="1" thickTop="1">
      <c r="A45" s="2" t="inlineStr">
        <is>
          <t>SENG-4640-5</t>
        </is>
      </c>
      <c r="B45" s="3" t="inlineStr">
        <is>
          <t>6e</t>
        </is>
      </c>
      <c r="D45" s="55">
        <f>COUNTIF(A:A, "ENGR-2300*")</f>
        <v/>
      </c>
      <c r="E45" s="55" t="inlineStr">
        <is>
          <t>ENGR 2300</t>
        </is>
      </c>
      <c r="F45" s="48">
        <f>COUNTIF('6a'!$B$1:$K$1, "ENGR-2300*")</f>
        <v/>
      </c>
      <c r="G45" s="45">
        <f>COUNTIF('6b'!$B$1:$H$1, "ENGR-2300*")</f>
        <v/>
      </c>
      <c r="H45" s="45">
        <f>COUNTIF('6c'!$B$1:$K$1, "ENGR-2300*")</f>
        <v/>
      </c>
      <c r="I45" s="45">
        <f>COUNTIF('6d'!$B$1:$D$1, "ENGR-2300*")</f>
        <v/>
      </c>
      <c r="J45" s="84">
        <f>COUNTIFS('6e'!$B$1:$M$1, "ENGR-2300*")</f>
        <v/>
      </c>
      <c r="K45" s="84">
        <f>COUNTIFS('6f'!$B$1:$D$1, "ENGR-2300*")</f>
        <v/>
      </c>
      <c r="L45" s="49">
        <f>SUM(F45:K45)</f>
        <v/>
      </c>
    </row>
    <row r="46" ht="17.25" customHeight="1" thickBot="1" thickTop="1">
      <c r="A46" s="2" t="inlineStr">
        <is>
          <t>ENGR-2000-3</t>
        </is>
      </c>
      <c r="B46" s="3" t="inlineStr">
        <is>
          <t>6f</t>
        </is>
      </c>
      <c r="D46" s="55">
        <f>COUNTIF(A:A, "ENGR-2400*")</f>
        <v/>
      </c>
      <c r="E46" s="55" t="inlineStr">
        <is>
          <t>ENGR 2400</t>
        </is>
      </c>
      <c r="F46" s="48">
        <f>COUNTIF('6a'!$B$1:$K$1, "ENGR-2400*")</f>
        <v/>
      </c>
      <c r="G46" s="45">
        <f>COUNTIF('6b'!$B$1:$H$1, "ENGR-2400*")</f>
        <v/>
      </c>
      <c r="H46" s="45">
        <f>COUNTIF('6c'!$B$1:$K$1, "ENGR-2400*")</f>
        <v/>
      </c>
      <c r="I46" s="45">
        <f>COUNTIF('6d'!$B$1:$D$1, "ENGR-2400*")</f>
        <v/>
      </c>
      <c r="J46" s="84">
        <f>COUNTIFS('6e'!$B$1:$M$1, "ENGR-2400*")</f>
        <v/>
      </c>
      <c r="K46" s="84">
        <f>COUNTIFS('6f'!$B$1:$D$1, "ENGR-2400*")</f>
        <v/>
      </c>
      <c r="L46" s="49">
        <f>SUM(F46:K46)</f>
        <v/>
      </c>
    </row>
    <row r="47" ht="17.25" customHeight="1" thickBot="1" thickTop="1">
      <c r="A47" s="2" t="inlineStr">
        <is>
          <t>ENGR-2400-5</t>
        </is>
      </c>
      <c r="B47" s="4" t="inlineStr">
        <is>
          <t>6f</t>
        </is>
      </c>
      <c r="D47" s="55">
        <f>COUNTIF(A:A, "ENGR-3300*")</f>
        <v/>
      </c>
      <c r="E47" s="55" t="inlineStr">
        <is>
          <t>ENGR 3300</t>
        </is>
      </c>
      <c r="F47" s="48">
        <f>COUNTIF('6a'!$B$1:$K$1, "ENGR-4300*")</f>
        <v/>
      </c>
      <c r="G47" s="45">
        <f>COUNTIF('6b'!$B$1:$H$1, "ENGR-3300*")</f>
        <v/>
      </c>
      <c r="H47" s="45">
        <f>COUNTIF('6c'!$B$1:$K$1, "ENGR-3300*")</f>
        <v/>
      </c>
      <c r="I47" s="45">
        <f>COUNTIF('6d'!$B$1:$D$1, "ENGR-3300*")</f>
        <v/>
      </c>
      <c r="J47" s="84">
        <f>COUNTIFS('6e'!$B$1:$M$1, "ENGR-3300*")</f>
        <v/>
      </c>
      <c r="K47" s="84">
        <f>COUNTIFS('6f'!$B$1:$D$1, "ENGR-3300*")</f>
        <v/>
      </c>
      <c r="L47" s="49">
        <f>SUM(F47:K47)</f>
        <v/>
      </c>
    </row>
    <row r="48" ht="17.25" customHeight="1" thickBot="1" thickTop="1">
      <c r="A48" s="2" t="inlineStr">
        <is>
          <t>SENG-3130-4</t>
        </is>
      </c>
      <c r="B48" s="4" t="inlineStr">
        <is>
          <t>6f</t>
        </is>
      </c>
      <c r="D48" s="55">
        <f>COUNTIF(A:A, "EPHY-1170*")</f>
        <v/>
      </c>
      <c r="E48" s="56" t="inlineStr">
        <is>
          <t xml:space="preserve">EPHY 1170 </t>
        </is>
      </c>
      <c r="F48" s="62">
        <f>COUNTIF('6a'!$B$1:$K$1, "EPHY-1170*")</f>
        <v/>
      </c>
      <c r="G48" s="45">
        <f>COUNTIF('6b'!$B$1:$H$1, "EPHY-1170*")</f>
        <v/>
      </c>
      <c r="H48" s="45">
        <f>COUNTIF('6c'!$B$1:$K$1, "EPHY-1170*")</f>
        <v/>
      </c>
      <c r="I48" s="45">
        <f>COUNTIF('6d'!$B$1:$D$1, "EPHY-1170*")</f>
        <v/>
      </c>
      <c r="J48" s="84">
        <f>COUNTIFS('6e'!$B$1:$M$1, "EPHY-1170*")</f>
        <v/>
      </c>
      <c r="K48" s="84">
        <f>COUNTIFS('6f'!$B$1:$D$1, "EPHY-1170*")</f>
        <v/>
      </c>
      <c r="L48" s="49">
        <f>SUM(F48:K48)</f>
        <v/>
      </c>
    </row>
    <row r="49" ht="16.5" customFormat="1" customHeight="1" s="129" thickTop="1">
      <c r="C49" s="128" t="n"/>
      <c r="D49" s="55">
        <f>COUNTIF(A:A, "EPHY-1270*")</f>
        <v/>
      </c>
      <c r="E49" s="55" t="inlineStr">
        <is>
          <t>EPHY 1270</t>
        </is>
      </c>
      <c r="F49" s="81">
        <f>COUNTIF('6a'!$B$1:$K$1, "EPHY-1270*")</f>
        <v/>
      </c>
      <c r="G49" s="45">
        <f>COUNTIF('6b'!$B$1:$H$1, "EPHY-1270*")</f>
        <v/>
      </c>
      <c r="H49" s="45">
        <f>COUNTIF('6c'!$B$1:$K$1, "EPHY-1270*")</f>
        <v/>
      </c>
      <c r="I49" s="45">
        <f>COUNTIF('6d'!$B$1:$D$1, "EPHY-1270*")</f>
        <v/>
      </c>
      <c r="J49" s="84">
        <f>COUNTIFS('6e'!$B$1:$M$1, "EPHY-1270*")</f>
        <v/>
      </c>
      <c r="K49" s="84">
        <f>COUNTIFS('6f'!$B$1:$D$1, "EPHY-1270*")</f>
        <v/>
      </c>
      <c r="L49" s="49">
        <f>SUM(F49:K49)</f>
        <v/>
      </c>
    </row>
    <row r="50" customFormat="1" s="129">
      <c r="C50" s="128" t="n"/>
      <c r="D50" s="55">
        <f>COUNTIF(A:A, "EPHY-1700*")</f>
        <v/>
      </c>
      <c r="E50" s="55" t="inlineStr">
        <is>
          <t>EPHY 1700</t>
        </is>
      </c>
      <c r="F50" s="63">
        <f>COUNTIF('6a'!$B$1:$K$1, "EPHY-1700*")</f>
        <v/>
      </c>
      <c r="G50" s="45">
        <f>COUNTIF('6b'!$B$1:$H$1, "EPHY-1700*")</f>
        <v/>
      </c>
      <c r="H50" s="45">
        <f>COUNTIF('6c'!$B$1:$K$1, "EPHY-1700*")</f>
        <v/>
      </c>
      <c r="I50" s="45">
        <f>COUNTIF('6d'!$B$1:$D$1, "EPHY-1700*")</f>
        <v/>
      </c>
      <c r="J50" s="84">
        <f>COUNTIFS('6e'!$B$1:$M$1, "EPHY-1700*")</f>
        <v/>
      </c>
      <c r="K50" s="84">
        <f>COUNTIFS('6f'!$B$1:$D$1, "EPHY1700*")</f>
        <v/>
      </c>
      <c r="L50" s="49">
        <f>SUM(F50:K50)</f>
        <v/>
      </c>
    </row>
    <row r="51" customFormat="1" s="129">
      <c r="C51" s="128" t="n"/>
      <c r="D51" s="55">
        <f>COUNTIF(A:A, "EPHY-2200*")</f>
        <v/>
      </c>
      <c r="E51" s="55" t="inlineStr">
        <is>
          <t>EPHY 2200</t>
        </is>
      </c>
      <c r="F51" s="45">
        <f>COUNTIF('6a'!$B$1:$K$1, "EPHY-2200*")</f>
        <v/>
      </c>
      <c r="G51" s="45">
        <f>COUNTIF('6b'!$B$1:$H$1, "EPHY-2200*")</f>
        <v/>
      </c>
      <c r="H51" s="45">
        <f>COUNTIF('6c'!$B$1:$K$1, "EPHY-2200*")</f>
        <v/>
      </c>
      <c r="I51" s="45">
        <f>COUNTIF('6d'!$B$1:$D$1, "EPHY-2200*")</f>
        <v/>
      </c>
      <c r="J51" s="84">
        <f>COUNTIFS('6e'!$B$1:$M$1, "EPHY-2200*")</f>
        <v/>
      </c>
      <c r="K51" s="84">
        <f>COUNTIFS('6f'!$B$1:$D$1, "EPHY-2200*")</f>
        <v/>
      </c>
      <c r="L51" s="49">
        <f>SUM(F51:K51)</f>
        <v/>
      </c>
    </row>
    <row r="52" customFormat="1" s="129">
      <c r="C52" s="128" t="n"/>
      <c r="D52" s="55">
        <f>COUNTIF(A:A, "EPHY-2300*")</f>
        <v/>
      </c>
      <c r="E52" s="57" t="inlineStr">
        <is>
          <t>EPHY 2300</t>
        </is>
      </c>
      <c r="F52" s="48">
        <f>COUNTIF('6a'!$B$1:$K$1, "EPHY-2300*")</f>
        <v/>
      </c>
      <c r="G52" s="45">
        <f>COUNTIF('6b'!$B$1:$H$1, "EPHY-2300*")</f>
        <v/>
      </c>
      <c r="H52" s="45">
        <f>COUNTIF('6c'!$B$1:$K$1, "EPHY-2300*")</f>
        <v/>
      </c>
      <c r="I52" s="45">
        <f>COUNTIF('6d'!$B$1:$D$1, "EPHY-2300*")</f>
        <v/>
      </c>
      <c r="J52" s="84">
        <f>COUNTIFS('6e'!$B$1:$M$1, "EPHY-2300*")</f>
        <v/>
      </c>
      <c r="K52" s="84">
        <f>COUNTIFS('6f'!$B$1:$D$1, "EPHY-2300*")</f>
        <v/>
      </c>
      <c r="L52" s="49">
        <f>SUM(F52:K52)</f>
        <v/>
      </c>
    </row>
    <row r="53" customFormat="1" s="129">
      <c r="C53" s="128" t="n"/>
      <c r="D53" s="55">
        <f>COUNTIF(A:A, "MATH-1130*")</f>
        <v/>
      </c>
      <c r="E53" s="58" t="inlineStr">
        <is>
          <t xml:space="preserve">MATH 1130 </t>
        </is>
      </c>
      <c r="F53" s="45">
        <f>COUNTIF('6a'!$B$1:$K$1, "MATH-1130*")</f>
        <v/>
      </c>
      <c r="G53" s="45">
        <f>COUNTIF('6b'!$B$1:$H$1, "MATH-1130*")</f>
        <v/>
      </c>
      <c r="H53" s="45">
        <f>COUNTIF('6c'!$B$1:$K$1, "MATH-1130*")</f>
        <v/>
      </c>
      <c r="I53" s="45">
        <f>COUNTIF('6d'!$B$1:$D$1, "MATH-1130*")</f>
        <v/>
      </c>
      <c r="J53" s="84">
        <f>COUNTIFS('6e'!$B$1:$M$1, "MATH-1130*")</f>
        <v/>
      </c>
      <c r="K53" s="84">
        <f>COUNTIFS('6f'!$B$1:$D$1, "MATH-1130*")</f>
        <v/>
      </c>
      <c r="L53" s="49">
        <f>SUM(F53:K53)</f>
        <v/>
      </c>
    </row>
    <row r="54" customFormat="1" s="129">
      <c r="C54" s="128" t="n"/>
      <c r="D54" s="55">
        <f>COUNTIF(A:A, "MATH-1230*")</f>
        <v/>
      </c>
      <c r="E54" s="55" t="inlineStr">
        <is>
          <t>MATH 1230</t>
        </is>
      </c>
      <c r="F54" s="45">
        <f>COUNTIF('6a'!$B$1:$K$1, "MATH-1230*")</f>
        <v/>
      </c>
      <c r="G54" s="45">
        <f>COUNTIF('6b'!$B$1:$H$1, "MATH-1230*")</f>
        <v/>
      </c>
      <c r="H54" s="45">
        <f>COUNTIF('6c'!$B$1:$K$1, "MATH-1230*")</f>
        <v/>
      </c>
      <c r="I54" s="45">
        <f>COUNTIF('6d'!$B$1:$D$1, "MATH-1230*")</f>
        <v/>
      </c>
      <c r="J54" s="84">
        <f>COUNTIFS('6e'!$B$1:$M$1, "MATH-1230*")</f>
        <v/>
      </c>
      <c r="K54" s="84">
        <f>COUNTIFS('6f'!$B$1:$D$1, "MATH-1230*")</f>
        <v/>
      </c>
      <c r="L54" s="49">
        <f>SUM(F54:K54)</f>
        <v/>
      </c>
    </row>
    <row r="55" customFormat="1" s="129">
      <c r="C55" s="128" t="n"/>
      <c r="D55" s="55">
        <f>COUNTIF(A:A, "MATH-1300*")</f>
        <v/>
      </c>
      <c r="E55" s="57" t="inlineStr">
        <is>
          <t xml:space="preserve">MATH 1300 </t>
        </is>
      </c>
      <c r="F55" s="45">
        <f>COUNTIF('6a'!$B$1:$K$1, "MATH-1300*")</f>
        <v/>
      </c>
      <c r="G55" s="45">
        <f>COUNTIF('6b'!$B$1:$H$1, "MATH-1300*")</f>
        <v/>
      </c>
      <c r="H55" s="45">
        <f>COUNTIF('6c'!$B$1:$K$1, "MATH-1300*")</f>
        <v/>
      </c>
      <c r="I55" s="45">
        <f>COUNTIF('6d'!$B$1:$D$1, "MATH-1300*")</f>
        <v/>
      </c>
      <c r="J55" s="84">
        <f>COUNTIFS('6e'!$B$1:$M$1, "MATH-1300*")</f>
        <v/>
      </c>
      <c r="K55" s="84">
        <f>COUNTIFS('6f'!$B$1:$D$1, "MATH-1300*")</f>
        <v/>
      </c>
      <c r="L55" s="49">
        <f>SUM(F55:K55)</f>
        <v/>
      </c>
    </row>
    <row r="56" customFormat="1" s="129">
      <c r="C56" s="128" t="n"/>
      <c r="D56" s="55">
        <f>COUNTIF(A:A, "MATH-1700*")</f>
        <v/>
      </c>
      <c r="E56" s="58" t="inlineStr">
        <is>
          <t>MATH 1700</t>
        </is>
      </c>
      <c r="F56" s="45">
        <f>COUNTIF('6a'!$B$1:$K$1, "MATH-1700*")</f>
        <v/>
      </c>
      <c r="G56" s="45">
        <f>COUNTIF('6b'!$B$1:$H$1, "MATH-1700*")</f>
        <v/>
      </c>
      <c r="H56" s="45">
        <f>COUNTIF('6c'!$B$1:$K$1, "MATH-1700*")</f>
        <v/>
      </c>
      <c r="I56" s="45">
        <f>COUNTIF('6d'!$B$1:$D$1, "MATH-1700*")</f>
        <v/>
      </c>
      <c r="J56" s="84">
        <f>COUNTIFS('6e'!$B$1:$M$1, "MATH-1700*")</f>
        <v/>
      </c>
      <c r="K56" s="84">
        <f>COUNTIFS('6f'!$B$1:$D$1, "MATH-1700*")</f>
        <v/>
      </c>
      <c r="L56" s="49">
        <f>SUM(F56:K56)</f>
        <v/>
      </c>
    </row>
    <row r="57" customFormat="1" s="129">
      <c r="C57" s="128" t="n"/>
      <c r="D57" s="55">
        <f>COUNTIF(A:A, "PHYS-2150*")</f>
        <v/>
      </c>
      <c r="E57" s="58" t="inlineStr">
        <is>
          <t>PHYS 2150</t>
        </is>
      </c>
      <c r="F57" s="45">
        <f>COUNTIF('6a'!$B$1:$K$1, "PHYS-2150*")</f>
        <v/>
      </c>
      <c r="G57" s="45">
        <f>COUNTIF('6b'!$B$1:$H$1, "PHYS-2150*")</f>
        <v/>
      </c>
      <c r="H57" s="45">
        <f>COUNTIF('6c'!$B$1:$K$1, "PHYS-2150*")</f>
        <v/>
      </c>
      <c r="I57" s="45">
        <f>COUNTIF('6d'!$B$1:$D$1, "PHYS-2150*")</f>
        <v/>
      </c>
      <c r="J57" s="84">
        <f>COUNTIFS('6e'!$B$1:$M$1, "PHYS-2150*")</f>
        <v/>
      </c>
      <c r="K57" s="84">
        <f>COUNTIFS('6f'!$B$1:$D$1, "PHYS-2150*")</f>
        <v/>
      </c>
      <c r="L57" s="49">
        <f>SUM(F57:K57)</f>
        <v/>
      </c>
    </row>
    <row r="58" customFormat="1" s="129">
      <c r="C58" s="128" t="n"/>
      <c r="D58" s="55">
        <f>COUNTIF(A:A, "SENG-1110*")</f>
        <v/>
      </c>
      <c r="E58" s="58" t="inlineStr">
        <is>
          <t>SENG 1110</t>
        </is>
      </c>
      <c r="F58" s="45">
        <f>COUNTIF('6a'!$B$1:$K$1, "SENG-1110*")</f>
        <v/>
      </c>
      <c r="G58" s="45">
        <f>COUNTIF('6b'!$B$1:$H$1, "SENG-1110*")</f>
        <v/>
      </c>
      <c r="H58" s="45">
        <f>COUNTIF('6c'!$B$1:$K$1, "SENG-1110*")</f>
        <v/>
      </c>
      <c r="I58" s="45">
        <f>COUNTIF('6d'!$B$1:$D$1, "SENG-1110*")</f>
        <v/>
      </c>
      <c r="J58" s="84">
        <f>COUNTIFS('6e'!$B$1:$M$1, "SENG-1110*")</f>
        <v/>
      </c>
      <c r="K58" s="84">
        <f>COUNTIFS('6f'!$B$1:$D$1, "SENG-1110*")</f>
        <v/>
      </c>
      <c r="L58" s="49">
        <f>SUM(F58:K58)</f>
        <v/>
      </c>
    </row>
    <row r="59" customFormat="1" s="129">
      <c r="C59" s="128" t="n"/>
      <c r="D59" s="55">
        <f>COUNTIF(A:A, "SENG-1210*")</f>
        <v/>
      </c>
      <c r="E59" s="59" t="inlineStr">
        <is>
          <t>SENG 1210</t>
        </is>
      </c>
      <c r="F59" s="61">
        <f>COUNTIF('6a'!$B$1:$K$1, "SENG-1210*")</f>
        <v/>
      </c>
      <c r="G59" s="45">
        <f>COUNTIF('6b'!$B$1:$H$1, "SENG-1210*")</f>
        <v/>
      </c>
      <c r="H59" s="45">
        <f>COUNTIF('6c'!$B$1:$K$1, "SENG-1210*")</f>
        <v/>
      </c>
      <c r="I59" s="45">
        <f>COUNTIF('6d'!$B$1:$D$1, "SENG-1210*")</f>
        <v/>
      </c>
      <c r="J59" s="84">
        <f>COUNTIFS('6e'!$B$1:$M$1, "SENG-1210*")</f>
        <v/>
      </c>
      <c r="K59" s="84">
        <f>COUNTIFS('6f'!$B$1:$D$1, "SENG-1210*")</f>
        <v/>
      </c>
      <c r="L59" s="49">
        <f>SUM(F59:K59)</f>
        <v/>
      </c>
    </row>
    <row r="60" customFormat="1" s="129">
      <c r="C60" s="128" t="n"/>
      <c r="D60" s="55">
        <f>COUNTIF(A:A, "SENG-3110*")</f>
        <v/>
      </c>
      <c r="E60" s="55" t="inlineStr">
        <is>
          <t>SENG 3110</t>
        </is>
      </c>
      <c r="F60" s="45">
        <f>COUNTIF('6a'!$B$1:$K$1, "SENG-3110*")</f>
        <v/>
      </c>
      <c r="G60" s="45">
        <f>COUNTIF('6b'!$B$1:$H$1, "SENG-3110*")</f>
        <v/>
      </c>
      <c r="H60" s="45">
        <f>COUNTIF('6c'!$B$1:$K$1, "SENG-3110*")</f>
        <v/>
      </c>
      <c r="I60" s="45">
        <f>COUNTIF('6d'!$B$1:$D$1, "SENG-3110*")</f>
        <v/>
      </c>
      <c r="J60" s="84">
        <f>COUNTIFS('6e'!$B$1:$M$1, "SENG-3110*")</f>
        <v/>
      </c>
      <c r="K60" s="84">
        <f>COUNTIFS('6f'!$B$1:$D$1, "SENG-3110*")</f>
        <v/>
      </c>
      <c r="L60" s="49">
        <f>SUM(F60:K60)</f>
        <v/>
      </c>
    </row>
    <row r="61" customFormat="1" s="129">
      <c r="C61" s="128" t="n"/>
      <c r="D61" s="55">
        <f>COUNTIF(A:A, "SENG-3120*")</f>
        <v/>
      </c>
      <c r="E61" s="55" t="inlineStr">
        <is>
          <t>SENG 3120</t>
        </is>
      </c>
      <c r="F61" s="45">
        <f>COUNTIF('6a'!$B$1:$K$1, "SENG-3120*")</f>
        <v/>
      </c>
      <c r="G61" s="45">
        <f>COUNTIF('6b'!$B$1:$H$1, "SENG-3120*")</f>
        <v/>
      </c>
      <c r="H61" s="45">
        <f>COUNTIF('6c'!$B$1:$K$1, "SENG-3120*")</f>
        <v/>
      </c>
      <c r="I61" s="45">
        <f>COUNTIF('6d'!$B$1:$D$1, "SENG-3120*")</f>
        <v/>
      </c>
      <c r="J61" s="84">
        <f>COUNTIFS('6e'!$B$1:$M$1, "SENG-3120*")</f>
        <v/>
      </c>
      <c r="K61" s="84">
        <f>COUNTIFS('6f'!$B$1:$D$1, "SENG-3120*")</f>
        <v/>
      </c>
      <c r="L61" s="49">
        <f>SUM(F61:K61)</f>
        <v/>
      </c>
    </row>
    <row r="62" customFormat="1" s="129">
      <c r="C62" s="66" t="n"/>
      <c r="D62" s="55">
        <f>COUNTIF(A:A, "SENG-3130*")</f>
        <v/>
      </c>
      <c r="E62" s="55" t="inlineStr">
        <is>
          <t>SENG 3130</t>
        </is>
      </c>
      <c r="F62" s="45">
        <f>COUNTIF('6a'!$B$1:$K$1, "SENG-3130*")</f>
        <v/>
      </c>
      <c r="G62" s="45">
        <f>COUNTIF('6b'!$B$1:$H$1, "SENG-3130*")</f>
        <v/>
      </c>
      <c r="H62" s="45">
        <f>COUNTIF('6c'!$B$1:$K$1, "SENG-3130*")</f>
        <v/>
      </c>
      <c r="I62" s="45">
        <f>COUNTIF('6d'!$B$1:$D$1, "SENG-3130*")</f>
        <v/>
      </c>
      <c r="J62" s="84">
        <f>COUNTIFS('6e'!$B$1:$M$1, "SENG-3130*")</f>
        <v/>
      </c>
      <c r="K62" s="84">
        <f>COUNTIFS('6f'!$B$1:$D$1, "SENG-3130*")</f>
        <v/>
      </c>
      <c r="L62" s="49">
        <f>SUM(F62:K62)</f>
        <v/>
      </c>
      <c r="M62" s="138" t="n"/>
    </row>
    <row r="63" customFormat="1" s="129">
      <c r="C63" s="66" t="n"/>
      <c r="D63" s="55">
        <f>COUNTIF(A:A, "SENG-3210*")</f>
        <v/>
      </c>
      <c r="E63" s="55" t="inlineStr">
        <is>
          <t>SENG 3210</t>
        </is>
      </c>
      <c r="F63" s="45">
        <f>COUNTIF('6a'!$B$1:$K$1, "SENG-3210*")</f>
        <v/>
      </c>
      <c r="G63" s="45">
        <f>COUNTIF('6b'!$B$1:$H$1, "SENG-3210*")</f>
        <v/>
      </c>
      <c r="H63" s="45">
        <f>COUNTIF('6c'!$B$1:$K$1, "SENG-3210*")</f>
        <v/>
      </c>
      <c r="I63" s="45">
        <f>COUNTIF('6d'!$B$1:$D$1, "SENG-3210*")</f>
        <v/>
      </c>
      <c r="J63" s="84">
        <f>COUNTIFS('6e'!$B$1:$M$1, "SENG-3210*")</f>
        <v/>
      </c>
      <c r="K63" s="84">
        <f>COUNTIFS('6f'!$B$1:$D$1, "SENG-3210*")</f>
        <v/>
      </c>
      <c r="L63" s="49">
        <f>SUM(F63:K63)</f>
        <v/>
      </c>
      <c r="M63" s="138" t="n"/>
    </row>
    <row r="64" customFormat="1" s="129">
      <c r="C64" s="66" t="n"/>
      <c r="D64" s="55">
        <f>COUNTIF(A:A, "SENG-4100*")</f>
        <v/>
      </c>
      <c r="E64" s="55" t="inlineStr">
        <is>
          <t>SENG 4100</t>
        </is>
      </c>
      <c r="F64" s="45">
        <f>COUNTIF('6a'!$B$1:$K$1, "SENG-4100*")</f>
        <v/>
      </c>
      <c r="G64" s="45">
        <f>COUNTIF('6b'!$B$1:$H$1, "SENG-4100*")</f>
        <v/>
      </c>
      <c r="H64" s="45">
        <f>COUNTIF('6c'!$B$1:$K$1, "SENG-4100*")</f>
        <v/>
      </c>
      <c r="I64" s="45">
        <f>COUNTIF('6d'!$B$1:$D$1, "SENG-4100*")</f>
        <v/>
      </c>
      <c r="J64" s="84">
        <f>COUNTIFS('6e'!$B$1:$M$1, "SENG-4100*")</f>
        <v/>
      </c>
      <c r="K64" s="84">
        <f>COUNTIFS('6f'!$B$1:$D$1, "SENG-4100*")</f>
        <v/>
      </c>
      <c r="L64" s="49">
        <f>SUM(F64:K64)</f>
        <v/>
      </c>
      <c r="M64" s="138" t="n"/>
    </row>
    <row r="65" customFormat="1" s="129">
      <c r="C65" s="66" t="n"/>
      <c r="D65" s="55">
        <f>COUNTIF(A:A, "SENG-4110*")</f>
        <v/>
      </c>
      <c r="E65" s="60" t="inlineStr">
        <is>
          <t>SENG 4110</t>
        </is>
      </c>
      <c r="F65" s="64">
        <f>COUNTIF('6a'!$B$1:$K$1, "SENG-4110*")</f>
        <v/>
      </c>
      <c r="G65" s="45">
        <f>COUNTIF('6b'!$B$1:$H$1, "SENG-4110*")</f>
        <v/>
      </c>
      <c r="H65" s="45">
        <f>COUNTIF('6c'!$B$1:$K$1, "SENG-4110*")</f>
        <v/>
      </c>
      <c r="I65" s="45">
        <f>COUNTIF('6d'!$B$1:$D$1, "SENG-4110*")</f>
        <v/>
      </c>
      <c r="J65" s="84">
        <f>COUNTIFS('6e'!$B$1:$M$1, "SENG-4110*")</f>
        <v/>
      </c>
      <c r="K65" s="84">
        <f>COUNTIFS('6f'!$B$1:$D$1, "SENG-4110*")</f>
        <v/>
      </c>
      <c r="L65" s="49">
        <f>SUM(F65:K65)</f>
        <v/>
      </c>
      <c r="M65" s="138" t="n"/>
    </row>
    <row r="66" customFormat="1" s="129">
      <c r="C66" s="66" t="n"/>
      <c r="D66" s="55">
        <f>COUNTIF(A:A, "SENG-4120*")</f>
        <v/>
      </c>
      <c r="E66" s="60" t="inlineStr">
        <is>
          <t>SENG 4120</t>
        </is>
      </c>
      <c r="F66" s="64">
        <f>COUNTIF('6a'!$B$1:$K$1, "SENG-4120*")</f>
        <v/>
      </c>
      <c r="G66" s="45">
        <f>COUNTIF('6b'!$B$1:$H$1, "SENG-4120*")</f>
        <v/>
      </c>
      <c r="H66" s="45">
        <f>COUNTIF('6c'!$B$1:$K$1, "SENG-4120*")</f>
        <v/>
      </c>
      <c r="I66" s="45">
        <f>COUNTIF('6d'!$B$1:$D$1, "SENG-4120*")</f>
        <v/>
      </c>
      <c r="J66" s="84">
        <f>COUNTIFS('6e'!$B$1:$M$1, "SENG-4120*")</f>
        <v/>
      </c>
      <c r="K66" s="84">
        <f>COUNTIFS('6f'!$B$1:$D$1, "SENG-4120*")</f>
        <v/>
      </c>
      <c r="L66" s="49">
        <f>SUM(F66:K66)</f>
        <v/>
      </c>
      <c r="M66" s="138" t="n"/>
    </row>
    <row r="67" customFormat="1" s="129">
      <c r="C67" s="66" t="n"/>
      <c r="D67" s="55">
        <f>COUNTIF(A:A, "SENG-4130*")</f>
        <v/>
      </c>
      <c r="E67" s="55" t="inlineStr">
        <is>
          <t>SENG 4130</t>
        </is>
      </c>
      <c r="F67" s="65">
        <f>COUNTIF('6a'!$B$1:$K$1, "SENG-4130*")</f>
        <v/>
      </c>
      <c r="G67" s="45">
        <f>COUNTIF('6b'!$B$1:$H$1, "SENG-4130*")</f>
        <v/>
      </c>
      <c r="H67" s="45">
        <f>COUNTIF('6c'!$B$1:$K$1, "SENG-4130*")</f>
        <v/>
      </c>
      <c r="I67" s="45">
        <f>COUNTIF('6d'!$B$1:$D$1, "SENG-4130*")</f>
        <v/>
      </c>
      <c r="J67" s="84">
        <f>COUNTIFS('6e'!$B$1:$M$1, "SENG-4130*")</f>
        <v/>
      </c>
      <c r="K67" s="84">
        <f>COUNTIFS('6f'!$B$1:$D$1, "SENG-4130*")</f>
        <v/>
      </c>
      <c r="L67" s="49">
        <f>SUM(F67:K67)</f>
        <v/>
      </c>
      <c r="M67" s="138" t="n"/>
    </row>
    <row r="68" customFormat="1" s="129">
      <c r="C68" s="66" t="n"/>
      <c r="D68" s="55">
        <f>COUNTIF(A:A, "SENG-4140*")</f>
        <v/>
      </c>
      <c r="E68" s="55" t="inlineStr">
        <is>
          <t>SENG 4140</t>
        </is>
      </c>
      <c r="F68" s="65">
        <f>COUNTIF('6a'!$B$1:$K$1, "SENG-4140*")</f>
        <v/>
      </c>
      <c r="G68" s="45">
        <f>COUNTIF('6b'!$B$1:$H$1, "SENG-4140*")</f>
        <v/>
      </c>
      <c r="H68" s="45">
        <f>COUNTIF('6c'!$B$1:$K$1, "SENG-4140*")</f>
        <v/>
      </c>
      <c r="I68" s="45">
        <f>COUNTIF('6d'!$B$1:$D$1, "SENG-4140*")</f>
        <v/>
      </c>
      <c r="J68" s="84">
        <f>COUNTIFS('6e'!$B$1:$M$1, "SENG-4140*")</f>
        <v/>
      </c>
      <c r="K68" s="84">
        <f>COUNTIFS('6f'!$B$1:$D$1, "SENG-4140*")</f>
        <v/>
      </c>
      <c r="L68" s="49">
        <f>SUM(F68:K68)</f>
        <v/>
      </c>
      <c r="M68" s="138" t="n"/>
    </row>
    <row r="69" customFormat="1" s="129">
      <c r="C69" s="66" t="n"/>
      <c r="D69" s="55">
        <f>COUNTIF(A:A, "SENG-4220*")</f>
        <v/>
      </c>
      <c r="E69" s="55" t="inlineStr">
        <is>
          <t>SENG 4220</t>
        </is>
      </c>
      <c r="F69" s="65">
        <f>COUNTIF('6a'!$B$1:$K$1, "SENG-4220*")</f>
        <v/>
      </c>
      <c r="G69" s="45">
        <f>COUNTIF('6b'!$B$1:$H$1, "SENG-4220*")</f>
        <v/>
      </c>
      <c r="H69" s="45">
        <f>COUNTIF('6c'!$B$1:$K$1, "SENG-4220*")</f>
        <v/>
      </c>
      <c r="I69" s="45">
        <f>COUNTIF('6d'!$B$1:$D$1, "SENG-4220*")</f>
        <v/>
      </c>
      <c r="J69" s="84">
        <f>COUNTIFS('6e'!$B$1:$M$1, "SENG-4220*")</f>
        <v/>
      </c>
      <c r="K69" s="84">
        <f>COUNTIFS('6f'!$B$1:$D$1, "SENG-4220*")</f>
        <v/>
      </c>
      <c r="L69" s="49">
        <f>SUM(F69:K69)</f>
        <v/>
      </c>
      <c r="M69" s="138" t="n"/>
    </row>
    <row r="70" customFormat="1" s="129">
      <c r="C70" s="66" t="n"/>
      <c r="D70" s="55">
        <f>COUNTIF(A:A, "SENG-4230*")</f>
        <v/>
      </c>
      <c r="E70" s="55" t="inlineStr">
        <is>
          <t>SENG 4230</t>
        </is>
      </c>
      <c r="F70" s="65">
        <f>COUNTIF('6a'!$B$1:$K$1, "SENG-4230*")</f>
        <v/>
      </c>
      <c r="G70" s="45">
        <f>COUNTIF('6b'!$B$1:$H$1, "SENG-4230*")</f>
        <v/>
      </c>
      <c r="H70" s="45">
        <f>COUNTIF('6c'!$B$1:$K$1, "SENG-4230*")</f>
        <v/>
      </c>
      <c r="I70" s="45">
        <f>COUNTIF('6d'!$B$1:$D$1, "SENG-4230*")</f>
        <v/>
      </c>
      <c r="J70" s="84">
        <f>COUNTIFS('6e'!$B$1:$M$1, "SENG-4230*")</f>
        <v/>
      </c>
      <c r="K70" s="84">
        <f>COUNTIFS('6f'!$B$1:$D$1, "SENG-4230*")</f>
        <v/>
      </c>
      <c r="L70" s="49">
        <f>SUM(F70:K70)</f>
        <v/>
      </c>
      <c r="M70" s="138" t="n"/>
    </row>
    <row r="71" customFormat="1" s="129">
      <c r="C71" s="66" t="n"/>
      <c r="D71" s="55">
        <f>COUNTIF(A:A, "SENG-4610*")</f>
        <v/>
      </c>
      <c r="E71" s="55" t="inlineStr">
        <is>
          <t>SENG 4610</t>
        </is>
      </c>
      <c r="F71" s="65">
        <f>COUNTIF('6a'!$B$1:$K$1, "SENG-4610*")</f>
        <v/>
      </c>
      <c r="G71" s="45">
        <f>COUNTIF('6b'!$B$1:$H$1, "SENG-4610*")</f>
        <v/>
      </c>
      <c r="H71" s="45">
        <f>COUNTIF('6c'!$B$1:$K$1, "SENG-4610*")</f>
        <v/>
      </c>
      <c r="I71" s="45">
        <f>COUNTIF('6d'!$B$1:$D$1, "SENG-4610*")</f>
        <v/>
      </c>
      <c r="J71" s="84">
        <f>COUNTIFS('6e'!$B$1:$M$1, "SENG-4610*")</f>
        <v/>
      </c>
      <c r="K71" s="84">
        <f>COUNTIFS('6f'!$B$1:$D$1, "SENG-4610*")</f>
        <v/>
      </c>
      <c r="L71" s="49">
        <f>SUM(F71:K71)</f>
        <v/>
      </c>
      <c r="M71" s="138" t="n"/>
    </row>
    <row r="72" customFormat="1" s="129">
      <c r="C72" s="66" t="n"/>
      <c r="D72" s="55">
        <f>COUNTIF(A:A, "SENG-4620*")</f>
        <v/>
      </c>
      <c r="E72" s="55" t="inlineStr">
        <is>
          <t>SENG 4620</t>
        </is>
      </c>
      <c r="F72" s="65">
        <f>COUNTIF('6a'!$B$1:$K$1, "SENG-4620*")</f>
        <v/>
      </c>
      <c r="G72" s="45">
        <f>COUNTIF('6b'!$B$1:$H$1, "SENG-4620*")</f>
        <v/>
      </c>
      <c r="H72" s="45">
        <f>COUNTIF('6c'!$B$1:$K$1, "SENG-4620*")</f>
        <v/>
      </c>
      <c r="I72" s="45">
        <f>COUNTIF('6d'!$B$1:$D$1, "SENG-4620*")</f>
        <v/>
      </c>
      <c r="J72" s="84">
        <f>COUNTIFS('6e'!$B$1:$M$1, "SENG-4620*")</f>
        <v/>
      </c>
      <c r="K72" s="84">
        <f>COUNTIFS('6f'!$B$1:$D$1, "SENG-4620*")</f>
        <v/>
      </c>
      <c r="L72" s="49">
        <f>SUM(F72:K72)</f>
        <v/>
      </c>
      <c r="M72" s="138" t="n"/>
    </row>
    <row r="73" customFormat="1" s="129">
      <c r="C73" s="66" t="n"/>
      <c r="D73" s="55">
        <f>COUNTIF(A:A, "SENG-4630*")</f>
        <v/>
      </c>
      <c r="E73" s="55" t="inlineStr">
        <is>
          <t>SENG 4630</t>
        </is>
      </c>
      <c r="F73" s="65">
        <f>COUNTIF('6a'!$B$1:$K$1, "SENG-4630*")</f>
        <v/>
      </c>
      <c r="G73" s="45">
        <f>COUNTIF('6b'!$B$1:$H$1, "SENG-4630*")</f>
        <v/>
      </c>
      <c r="H73" s="45">
        <f>COUNTIF('6c'!$B$1:$K$1, "SENG-4630*")</f>
        <v/>
      </c>
      <c r="I73" s="45">
        <f>COUNTIF('6d'!$B$1:$D$1, "SENG-4630*")</f>
        <v/>
      </c>
      <c r="J73" s="84">
        <f>COUNTIFS('6e'!$B$1:$M$1, "SENG-4630*")</f>
        <v/>
      </c>
      <c r="K73" s="84">
        <f>COUNTIFS('6f'!$B$1:$D$1, "SENG-4630*")</f>
        <v/>
      </c>
      <c r="L73" s="49">
        <f>SUM(F73:K73)</f>
        <v/>
      </c>
      <c r="M73" s="138" t="n"/>
    </row>
    <row r="74" customFormat="1" s="129">
      <c r="C74" s="66" t="n"/>
      <c r="D74" s="55">
        <f>COUNTIF(A:A, "SENG-4640*")</f>
        <v/>
      </c>
      <c r="E74" s="55" t="inlineStr">
        <is>
          <t>SENG 4640</t>
        </is>
      </c>
      <c r="F74" s="65">
        <f>COUNTIF('6a'!$B$1:$K$1, "SENG-4640*")</f>
        <v/>
      </c>
      <c r="G74" s="45">
        <f>COUNTIF('6b'!$B$1:$H$1, "SENG-4640*")</f>
        <v/>
      </c>
      <c r="H74" s="45">
        <f>COUNTIF('6c'!$B$1:$K$1, "SENG-4640*")</f>
        <v/>
      </c>
      <c r="I74" s="45">
        <f>COUNTIF('6d'!$B$1:$D$1, "SENG-4640*")</f>
        <v/>
      </c>
      <c r="J74" s="84">
        <f>COUNTIFS('6e'!$B$1:$M$1, "SENG-4640*")</f>
        <v/>
      </c>
      <c r="K74" s="84">
        <f>COUNTIFS('6f'!$B$1:$D$1, "SENG-4640*")</f>
        <v/>
      </c>
      <c r="L74" s="49">
        <f>SUM(F74:K74)</f>
        <v/>
      </c>
      <c r="M74" s="138" t="n"/>
    </row>
    <row r="75" customFormat="1" s="129">
      <c r="C75" s="66" t="n"/>
      <c r="D75" s="55">
        <f>COUNTIF(A:A, "SENG-4650*")</f>
        <v/>
      </c>
      <c r="E75" s="55" t="inlineStr">
        <is>
          <t>SENG 4650</t>
        </is>
      </c>
      <c r="F75" s="65">
        <f>COUNTIF('6a'!$B$1:$K$1, "SENG-4650*")</f>
        <v/>
      </c>
      <c r="G75" s="45">
        <f>COUNTIF('6b'!$B$1:$H$1, "SENG-4650*")</f>
        <v/>
      </c>
      <c r="H75" s="45">
        <f>COUNTIF('6c'!$B$1:$K$1, "SENG-4650*")</f>
        <v/>
      </c>
      <c r="I75" s="45">
        <f>COUNTIF('6d'!$B$1:$D$1, "SENG-4650*")</f>
        <v/>
      </c>
      <c r="J75" s="84">
        <f>COUNTIFS('6e'!$B$1:$M$1, "SENG-4650*")</f>
        <v/>
      </c>
      <c r="K75" s="84">
        <f>COUNTIFS('6f'!$B$1:$D$1, "SENG-4650*")</f>
        <v/>
      </c>
      <c r="L75" s="49">
        <f>SUM(F75:K75)</f>
        <v/>
      </c>
      <c r="M75" s="138" t="n"/>
    </row>
    <row r="76" customFormat="1" s="129">
      <c r="C76" s="66" t="n"/>
      <c r="D76" s="55">
        <f>COUNTIF(A:A, "SENG-4660*")</f>
        <v/>
      </c>
      <c r="E76" s="55" t="inlineStr">
        <is>
          <t>SENG 4660</t>
        </is>
      </c>
      <c r="F76" s="65">
        <f>COUNTIF('6a'!$B$1:$K$1, "SENG-4660*")</f>
        <v/>
      </c>
      <c r="G76" s="45">
        <f>COUNTIF('6b'!$B$1:$H$1, "SENG-4660*")</f>
        <v/>
      </c>
      <c r="H76" s="45">
        <f>COUNTIF('6c'!$B$1:$K$1, "SENG-4660*")</f>
        <v/>
      </c>
      <c r="I76" s="45">
        <f>COUNTIF('6d'!$B$1:$D$1, "SENG-4660*")</f>
        <v/>
      </c>
      <c r="J76" s="84">
        <f>COUNTIFS('6e'!$B$1:$M$1, "SENG-4660*")</f>
        <v/>
      </c>
      <c r="K76" s="84">
        <f>COUNTIFS('6f'!$B$1:$D$1, "SENG-4660*")</f>
        <v/>
      </c>
      <c r="L76" s="49">
        <f>SUM(F76:K76)</f>
        <v/>
      </c>
      <c r="M76" s="138" t="n"/>
    </row>
    <row r="77" customFormat="1" s="129">
      <c r="C77" s="66" t="n"/>
      <c r="D77" s="55">
        <f>COUNTIF(A:A, "STAT-2230*")</f>
        <v/>
      </c>
      <c r="E77" s="55" t="inlineStr">
        <is>
          <t xml:space="preserve">STAT 2230 </t>
        </is>
      </c>
      <c r="F77" s="45">
        <f>COUNTIF('6a'!$B$1:$K$1, "STAT-2230*")</f>
        <v/>
      </c>
      <c r="G77" s="45">
        <f>COUNTIF('6b'!$B$1:$H$1, "STAT-2230*")</f>
        <v/>
      </c>
      <c r="H77" s="45">
        <f>COUNTIF('6c'!$B$1:$K$1, "STAT-2230*")</f>
        <v/>
      </c>
      <c r="I77" s="45">
        <f>COUNTIF('6d'!$B$1:$D$1, "STAT-2230*")</f>
        <v/>
      </c>
      <c r="J77" s="84">
        <f>COUNTIFS('6e'!$B$1:$M$1, "STAT-2230*")</f>
        <v/>
      </c>
      <c r="K77" s="84">
        <f>COUNTIFS('6f'!$B$1:$D$1, "STAT-2230*")</f>
        <v/>
      </c>
      <c r="L77" s="49">
        <f>SUM(F77:K77)</f>
        <v/>
      </c>
      <c r="M77" s="138" t="n"/>
    </row>
    <row r="78" customFormat="1" s="129">
      <c r="C78" s="66" t="n"/>
      <c r="D78" s="131">
        <f>SUM(D29:D77)</f>
        <v/>
      </c>
      <c r="E78" s="55" t="inlineStr">
        <is>
          <t>TOTAL</t>
        </is>
      </c>
      <c r="F78" s="96">
        <f>SUM(F29:F77)</f>
        <v/>
      </c>
      <c r="G78" s="96">
        <f>SUM(G29:G77)</f>
        <v/>
      </c>
      <c r="H78" s="96">
        <f>SUM(H29:H77)</f>
        <v/>
      </c>
      <c r="I78" s="96">
        <f>SUM(I29:I77)</f>
        <v/>
      </c>
      <c r="J78" s="96">
        <f>SUM(J29:J77)</f>
        <v/>
      </c>
      <c r="K78" s="96">
        <f>SUM(K29:K77)</f>
        <v/>
      </c>
      <c r="L78" s="67">
        <f>SUM(L29:L77)</f>
        <v/>
      </c>
      <c r="M78" s="138" t="n"/>
    </row>
    <row r="79" customFormat="1" s="129">
      <c r="C79" s="66" t="n"/>
      <c r="M79" s="138" t="n"/>
    </row>
    <row r="80" customFormat="1" s="129">
      <c r="C80" s="66" t="n"/>
      <c r="M80" s="138" t="n"/>
    </row>
    <row r="81" customFormat="1" s="129">
      <c r="C81" s="66" t="n"/>
      <c r="E81" s="138" t="n"/>
      <c r="F81" s="138" t="n"/>
      <c r="G81" s="138" t="n"/>
      <c r="H81" s="138" t="n"/>
      <c r="I81" s="138" t="n"/>
      <c r="J81" s="138" t="n"/>
      <c r="K81" s="138" t="n"/>
      <c r="L81" s="138" t="n"/>
      <c r="M81" s="138" t="n"/>
    </row>
    <row r="82" customFormat="1" s="129">
      <c r="C82" s="66" t="n"/>
      <c r="E82" s="138" t="n"/>
      <c r="F82" s="138" t="n"/>
      <c r="G82" s="138" t="n"/>
      <c r="H82" s="138" t="n"/>
      <c r="I82" s="138" t="n"/>
      <c r="J82" s="138" t="n"/>
      <c r="K82" s="138" t="n"/>
      <c r="L82" s="138" t="n"/>
      <c r="M82" s="138" t="n"/>
    </row>
  </sheetData>
  <mergeCells count="4">
    <mergeCell ref="E3:L3"/>
    <mergeCell ref="O3:U3"/>
    <mergeCell ref="O6:U6"/>
    <mergeCell ref="E1:N1"/>
  </mergeCells>
  <conditionalFormatting sqref="F66:K77 F29:K62 L29:L77">
    <cfRule type="containsBlanks" priority="61" dxfId="198">
      <formula>LEN(TRIM(F29))=0</formula>
    </cfRule>
  </conditionalFormatting>
  <conditionalFormatting sqref="F29:K31 F33:K35 F37:K39 F48:K60 F66:K69 F71:K73 F75:K77">
    <cfRule type="cellIs" priority="59" operator="greaterThan" dxfId="193">
      <formula>0</formula>
    </cfRule>
    <cfRule type="cellIs" priority="60" operator="equal" dxfId="192">
      <formula>0</formula>
    </cfRule>
  </conditionalFormatting>
  <conditionalFormatting sqref="F63:K63">
    <cfRule type="containsBlanks" priority="57" dxfId="198">
      <formula>LEN(TRIM(F63))=0</formula>
    </cfRule>
    <cfRule type="cellIs" priority="55" operator="greaterThan" dxfId="193">
      <formula>0</formula>
    </cfRule>
    <cfRule type="cellIs" priority="56" operator="equal" dxfId="192">
      <formula>0</formula>
    </cfRule>
  </conditionalFormatting>
  <conditionalFormatting sqref="F65:K65">
    <cfRule type="containsBlanks" priority="54" dxfId="198">
      <formula>LEN(TRIM(F65))=0</formula>
    </cfRule>
    <cfRule type="cellIs" priority="52" operator="greaterThan" dxfId="193">
      <formula>0</formula>
    </cfRule>
    <cfRule type="cellIs" priority="53" operator="equal" dxfId="192">
      <formula>0</formula>
    </cfRule>
  </conditionalFormatting>
  <conditionalFormatting sqref="F32:K32">
    <cfRule type="cellIs" priority="49" operator="greaterThan" dxfId="193">
      <formula>0</formula>
    </cfRule>
    <cfRule type="cellIs" priority="50" operator="equal" dxfId="192">
      <formula>0</formula>
    </cfRule>
  </conditionalFormatting>
  <conditionalFormatting sqref="F36:K36">
    <cfRule type="cellIs" priority="46" operator="greaterThan" dxfId="193">
      <formula>0</formula>
    </cfRule>
    <cfRule type="cellIs" priority="47" operator="equal" dxfId="192">
      <formula>0</formula>
    </cfRule>
  </conditionalFormatting>
  <conditionalFormatting sqref="F40:K40">
    <cfRule type="cellIs" priority="43" operator="greaterThan" dxfId="193">
      <formula>0</formula>
    </cfRule>
    <cfRule type="cellIs" priority="44" operator="equal" dxfId="192">
      <formula>0</formula>
    </cfRule>
  </conditionalFormatting>
  <conditionalFormatting sqref="F41:K41">
    <cfRule type="cellIs" priority="40" operator="greaterThan" dxfId="193">
      <formula>0</formula>
    </cfRule>
    <cfRule type="cellIs" priority="41" operator="equal" dxfId="192">
      <formula>0</formula>
    </cfRule>
  </conditionalFormatting>
  <conditionalFormatting sqref="F42:K42">
    <cfRule type="cellIs" priority="37" operator="greaterThan" dxfId="193">
      <formula>0</formula>
    </cfRule>
    <cfRule type="cellIs" priority="38" operator="equal" dxfId="192">
      <formula>0</formula>
    </cfRule>
  </conditionalFormatting>
  <conditionalFormatting sqref="F43:K43">
    <cfRule type="cellIs" priority="34" operator="greaterThan" dxfId="193">
      <formula>0</formula>
    </cfRule>
    <cfRule type="cellIs" priority="35" operator="equal" dxfId="192">
      <formula>0</formula>
    </cfRule>
  </conditionalFormatting>
  <conditionalFormatting sqref="F44:K44">
    <cfRule type="cellIs" priority="31" operator="greaterThan" dxfId="193">
      <formula>0</formula>
    </cfRule>
    <cfRule type="cellIs" priority="32" operator="equal" dxfId="192">
      <formula>0</formula>
    </cfRule>
  </conditionalFormatting>
  <conditionalFormatting sqref="F45:K45">
    <cfRule type="cellIs" priority="28" operator="greaterThan" dxfId="193">
      <formula>0</formula>
    </cfRule>
    <cfRule type="cellIs" priority="29" operator="equal" dxfId="192">
      <formula>0</formula>
    </cfRule>
  </conditionalFormatting>
  <conditionalFormatting sqref="F46:K46">
    <cfRule type="cellIs" priority="25" operator="greaterThan" dxfId="193">
      <formula>0</formula>
    </cfRule>
    <cfRule type="cellIs" priority="26" operator="equal" dxfId="192">
      <formula>0</formula>
    </cfRule>
  </conditionalFormatting>
  <conditionalFormatting sqref="F47:K47">
    <cfRule type="cellIs" priority="22" operator="greaterThan" dxfId="193">
      <formula>0</formula>
    </cfRule>
    <cfRule type="cellIs" priority="23" operator="equal" dxfId="192">
      <formula>0</formula>
    </cfRule>
  </conditionalFormatting>
  <conditionalFormatting sqref="F61:K61">
    <cfRule type="cellIs" priority="19" operator="greaterThan" dxfId="193">
      <formula>0</formula>
    </cfRule>
    <cfRule type="cellIs" priority="20" operator="equal" dxfId="192">
      <formula>0</formula>
    </cfRule>
  </conditionalFormatting>
  <conditionalFormatting sqref="F62:K62">
    <cfRule type="cellIs" priority="16" operator="greaterThan" dxfId="193">
      <formula>0</formula>
    </cfRule>
    <cfRule type="cellIs" priority="17" operator="equal" dxfId="192">
      <formula>0</formula>
    </cfRule>
  </conditionalFormatting>
  <conditionalFormatting sqref="F64:K64">
    <cfRule type="containsBlanks" priority="12" dxfId="198">
      <formula>LEN(TRIM(F64))=0</formula>
    </cfRule>
    <cfRule type="cellIs" priority="10" operator="greaterThan" dxfId="193">
      <formula>0</formula>
    </cfRule>
    <cfRule type="cellIs" priority="11" operator="equal" dxfId="192">
      <formula>0</formula>
    </cfRule>
  </conditionalFormatting>
  <conditionalFormatting sqref="F70:K70">
    <cfRule type="cellIs" priority="7" operator="greaterThan" dxfId="193">
      <formula>0</formula>
    </cfRule>
    <cfRule type="cellIs" priority="8" operator="equal" dxfId="192">
      <formula>0</formula>
    </cfRule>
  </conditionalFormatting>
  <conditionalFormatting sqref="F74:K74">
    <cfRule type="cellIs" priority="4" operator="greaterThan" dxfId="193">
      <formula>0</formula>
    </cfRule>
    <cfRule type="cellIs" priority="5" operator="equal" dxfId="192">
      <formula>0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5"/>
  <sheetViews>
    <sheetView topLeftCell="A25" zoomScale="70" zoomScaleNormal="70" workbookViewId="0">
      <selection activeCell="B55" sqref="B55:B58"/>
    </sheetView>
  </sheetViews>
  <sheetFormatPr baseColWidth="8" defaultColWidth="17.42578125" defaultRowHeight="15" outlineLevelCol="0"/>
  <cols>
    <col width="44.85546875" bestFit="1" customWidth="1" min="1" max="1"/>
    <col width="18.85546875" bestFit="1" customWidth="1" min="2" max="2"/>
    <col width="15.85546875" bestFit="1" customWidth="1" min="3" max="3"/>
    <col width="14.85546875" bestFit="1" customWidth="1" min="4" max="4"/>
    <col width="17.7109375" bestFit="1" customWidth="1" min="5" max="5"/>
    <col width="14.85546875" bestFit="1" customWidth="1" min="6" max="7"/>
    <col width="17.7109375" bestFit="1" customWidth="1" min="8" max="8"/>
    <col width="14.85546875" bestFit="1" customWidth="1" min="9" max="10"/>
    <col width="15.28515625" bestFit="1" customWidth="1" min="11" max="11"/>
    <col width="9.28515625" bestFit="1" customWidth="1" min="12" max="12"/>
  </cols>
  <sheetData>
    <row r="1">
      <c r="A1" s="9" t="inlineStr">
        <is>
          <t>Student Number</t>
        </is>
      </c>
      <c r="B1" s="162" t="inlineStr">
        <is>
          <t>CENG-3010-5</t>
        </is>
      </c>
      <c r="C1" s="146" t="inlineStr">
        <is>
          <t>CENG-3020-1</t>
        </is>
      </c>
      <c r="D1" s="146" t="inlineStr">
        <is>
          <t>COMP-3610-6</t>
        </is>
      </c>
      <c r="E1" s="145" t="inlineStr">
        <is>
          <t>ENGR-1100-1</t>
        </is>
      </c>
      <c r="F1" s="146" t="inlineStr">
        <is>
          <t>SENG-3120-2</t>
        </is>
      </c>
      <c r="G1" s="162" t="inlineStr">
        <is>
          <t>SENG-3130-5</t>
        </is>
      </c>
      <c r="H1" s="146" t="inlineStr">
        <is>
          <t>SENG-4100-1</t>
        </is>
      </c>
      <c r="I1" s="146" t="inlineStr">
        <is>
          <t>SENG-4130-6</t>
        </is>
      </c>
      <c r="J1" s="146" t="inlineStr">
        <is>
          <t>SENG-4140-2</t>
        </is>
      </c>
      <c r="K1" s="146" t="inlineStr">
        <is>
          <t>SENG-4640-1</t>
        </is>
      </c>
      <c r="L1" s="11">
        <f>COUNTA(B1:K1)</f>
        <v/>
      </c>
    </row>
    <row r="2" ht="30" customHeight="1">
      <c r="A2" s="12" t="inlineStr">
        <is>
          <t>Assessment
Tool</t>
        </is>
      </c>
      <c r="B2" s="10" t="inlineStr">
        <is>
          <t>Final Exam</t>
        </is>
      </c>
      <c r="C2" s="10" t="n"/>
      <c r="D2" s="10" t="inlineStr">
        <is>
          <t>Assignment</t>
        </is>
      </c>
      <c r="E2" s="10" t="inlineStr">
        <is>
          <t>Assignment</t>
        </is>
      </c>
      <c r="F2" s="10" t="inlineStr">
        <is>
          <t>Midterm</t>
        </is>
      </c>
      <c r="G2" s="10" t="inlineStr">
        <is>
          <t>Final Exam</t>
        </is>
      </c>
      <c r="H2" s="10" t="n"/>
      <c r="I2" s="10" t="n"/>
      <c r="J2" s="10" t="n"/>
      <c r="K2" s="10" t="n"/>
      <c r="L2" s="11">
        <f>COUNTIF(B2:K2, "&lt;&gt;")</f>
        <v/>
      </c>
    </row>
    <row r="3">
      <c r="A3" s="13" t="n">
        <v>1</v>
      </c>
      <c r="B3" s="164" t="n">
        <v>0.75</v>
      </c>
      <c r="C3" s="164" t="n"/>
      <c r="D3" s="164" t="n">
        <v>1</v>
      </c>
      <c r="E3" s="164" t="n">
        <v>1</v>
      </c>
      <c r="F3" s="164" t="n">
        <v>0.8</v>
      </c>
      <c r="G3" s="164" t="n">
        <v>0.6964285714285714</v>
      </c>
      <c r="H3" s="164" t="n"/>
      <c r="I3" s="164" t="n"/>
      <c r="J3" s="164" t="n"/>
      <c r="K3" s="164" t="n"/>
      <c r="L3" s="191" t="n"/>
      <c r="P3" s="106" t="inlineStr">
        <is>
          <t>A</t>
        </is>
      </c>
    </row>
    <row r="4">
      <c r="A4" s="13" t="n">
        <v>2</v>
      </c>
      <c r="B4" s="164" t="n">
        <v>0.375</v>
      </c>
      <c r="C4" s="164" t="n"/>
      <c r="D4" s="164" t="n">
        <v>1</v>
      </c>
      <c r="E4" s="164" t="n">
        <v>1</v>
      </c>
      <c r="F4" s="164" t="n">
        <v>0.8</v>
      </c>
      <c r="G4" s="164" t="n">
        <v>0.8392857142857143</v>
      </c>
      <c r="H4" s="164" t="n"/>
      <c r="I4" s="164" t="n"/>
      <c r="J4" s="164" t="n"/>
      <c r="K4" s="164" t="n"/>
      <c r="L4" s="192" t="n"/>
      <c r="P4" s="106" t="inlineStr">
        <is>
          <t>Q</t>
        </is>
      </c>
    </row>
    <row r="5">
      <c r="A5" s="13" t="n">
        <v>3</v>
      </c>
      <c r="B5" s="164" t="n">
        <v>0.75</v>
      </c>
      <c r="C5" s="164" t="n"/>
      <c r="D5" s="164" t="n"/>
      <c r="E5" s="164" t="n">
        <v>0</v>
      </c>
      <c r="F5" s="164" t="n">
        <v>0.25</v>
      </c>
      <c r="G5" s="164" t="n">
        <v>0.8214285714285714</v>
      </c>
      <c r="H5" s="164" t="n"/>
      <c r="I5" s="164" t="n"/>
      <c r="J5" s="164" t="n"/>
      <c r="K5" s="164" t="n"/>
      <c r="L5" s="192" t="n"/>
      <c r="P5" s="106" t="inlineStr">
        <is>
          <t>M</t>
        </is>
      </c>
    </row>
    <row r="6">
      <c r="A6" s="13" t="n">
        <v>4</v>
      </c>
      <c r="B6" s="164" t="n">
        <v>0.75</v>
      </c>
      <c r="C6" s="164" t="n"/>
      <c r="D6" s="164" t="n"/>
      <c r="E6" s="164" t="n">
        <v>1</v>
      </c>
      <c r="F6" s="164" t="n">
        <v>0.6</v>
      </c>
      <c r="G6" s="164" t="n">
        <v>0.9107142857142857</v>
      </c>
      <c r="H6" s="164" t="n"/>
      <c r="I6" s="164" t="n"/>
      <c r="J6" s="164" t="n"/>
      <c r="K6" s="164" t="n"/>
      <c r="L6" s="192" t="n"/>
      <c r="P6" s="106" t="inlineStr">
        <is>
          <t>F</t>
        </is>
      </c>
    </row>
    <row r="7">
      <c r="A7" s="13" t="n">
        <v>5</v>
      </c>
      <c r="B7" s="164" t="n">
        <v>0</v>
      </c>
      <c r="C7" s="164" t="n"/>
      <c r="D7" s="164" t="n"/>
      <c r="E7" s="164" t="n">
        <v>1</v>
      </c>
      <c r="F7" s="164" t="n"/>
      <c r="G7" s="164" t="n">
        <v>0.8214285714285714</v>
      </c>
      <c r="H7" s="164" t="n"/>
      <c r="I7" s="164" t="n"/>
      <c r="J7" s="164" t="n"/>
      <c r="K7" s="164" t="n"/>
      <c r="L7" s="192" t="n"/>
      <c r="P7" s="106" t="inlineStr">
        <is>
          <t>P</t>
        </is>
      </c>
    </row>
    <row r="8">
      <c r="A8" s="13" t="n">
        <v>6</v>
      </c>
      <c r="B8" s="164" t="n">
        <v>0.625</v>
      </c>
      <c r="C8" s="164" t="n"/>
      <c r="D8" s="164" t="n"/>
      <c r="E8" s="164" t="n">
        <v>1</v>
      </c>
      <c r="F8" s="164" t="n"/>
      <c r="G8" s="164" t="n">
        <v>0.6071428571428571</v>
      </c>
      <c r="H8" s="164" t="n"/>
      <c r="I8" s="164" t="n"/>
      <c r="J8" s="164" t="n"/>
      <c r="K8" s="164" t="n"/>
      <c r="L8" s="192" t="n"/>
      <c r="P8" s="106" t="inlineStr">
        <is>
          <t>L</t>
        </is>
      </c>
    </row>
    <row r="9">
      <c r="A9" s="13" t="n">
        <v>7</v>
      </c>
      <c r="B9" s="164" t="n">
        <v>0.125</v>
      </c>
      <c r="C9" s="164" t="n"/>
      <c r="D9" s="164" t="n"/>
      <c r="E9" s="164" t="n">
        <v>1</v>
      </c>
      <c r="F9" s="164" t="n"/>
      <c r="G9" s="164" t="n">
        <v>0.875</v>
      </c>
      <c r="H9" s="164" t="n"/>
      <c r="I9" s="164" t="n"/>
      <c r="J9" s="164" t="n"/>
      <c r="K9" s="164" t="n"/>
      <c r="L9" s="192" t="n"/>
      <c r="P9" s="106" t="inlineStr">
        <is>
          <t>OT</t>
        </is>
      </c>
    </row>
    <row r="10">
      <c r="A10" s="13" t="n">
        <v>8</v>
      </c>
      <c r="B10" s="164" t="n">
        <v>0.75</v>
      </c>
      <c r="C10" s="164" t="n"/>
      <c r="D10" s="164" t="n"/>
      <c r="E10" s="164" t="n">
        <v>1</v>
      </c>
      <c r="F10" s="164" t="n"/>
      <c r="G10" s="164" t="n">
        <v>0.7142857142857143</v>
      </c>
      <c r="H10" s="164" t="n"/>
      <c r="I10" s="164" t="n"/>
      <c r="J10" s="164" t="n"/>
      <c r="K10" s="164" t="n"/>
      <c r="L10" s="192" t="n"/>
    </row>
    <row r="11">
      <c r="A11" s="13" t="n">
        <v>9</v>
      </c>
      <c r="B11" s="164" t="n">
        <v>0</v>
      </c>
      <c r="C11" s="164" t="n"/>
      <c r="D11" s="164" t="n"/>
      <c r="E11" s="164" t="n">
        <v>1</v>
      </c>
      <c r="F11" s="164" t="n"/>
      <c r="G11" s="164" t="n">
        <v>0.8571428571428571</v>
      </c>
      <c r="H11" s="164" t="n"/>
      <c r="I11" s="164" t="n"/>
      <c r="J11" s="164" t="n"/>
      <c r="K11" s="164" t="n"/>
      <c r="L11" s="192" t="n"/>
    </row>
    <row r="12">
      <c r="A12" s="13" t="n">
        <v>10</v>
      </c>
      <c r="B12" s="164" t="n">
        <v>0.125</v>
      </c>
      <c r="C12" s="164" t="n"/>
      <c r="D12" s="164" t="n"/>
      <c r="E12" s="164" t="n">
        <v>1</v>
      </c>
      <c r="F12" s="164" t="n"/>
      <c r="G12" s="164" t="n">
        <v>0.3928571428571428</v>
      </c>
      <c r="H12" s="164" t="n"/>
      <c r="I12" s="164" t="n"/>
      <c r="J12" s="164" t="n"/>
      <c r="K12" s="164" t="n"/>
      <c r="L12" s="192" t="n"/>
    </row>
    <row r="13">
      <c r="A13" s="13" t="n">
        <v>11</v>
      </c>
      <c r="B13" s="164" t="n">
        <v>0.125</v>
      </c>
      <c r="C13" s="164" t="n"/>
      <c r="D13" s="164" t="n"/>
      <c r="E13" s="164" t="n">
        <v>1</v>
      </c>
      <c r="F13" s="164" t="n"/>
      <c r="G13" s="164" t="n">
        <v>0.6785714285714286</v>
      </c>
      <c r="H13" s="164" t="n"/>
      <c r="I13" s="164" t="n"/>
      <c r="J13" s="164" t="n"/>
      <c r="K13" s="164" t="n"/>
      <c r="L13" s="192" t="n"/>
    </row>
    <row r="14">
      <c r="A14" s="13" t="n">
        <v>12</v>
      </c>
      <c r="B14" s="164" t="n">
        <v>0.5</v>
      </c>
      <c r="C14" s="164" t="n"/>
      <c r="D14" s="164" t="n"/>
      <c r="E14" s="164" t="n">
        <v>0</v>
      </c>
      <c r="F14" s="164" t="n"/>
      <c r="G14" s="164" t="n">
        <v>0.75</v>
      </c>
      <c r="H14" s="164" t="n"/>
      <c r="I14" s="164" t="n"/>
      <c r="J14" s="164" t="n"/>
      <c r="K14" s="164" t="n"/>
      <c r="L14" s="192" t="n"/>
    </row>
    <row r="15">
      <c r="A15" s="13" t="n">
        <v>13</v>
      </c>
      <c r="B15" s="164" t="n">
        <v>0.625</v>
      </c>
      <c r="C15" s="164" t="n"/>
      <c r="D15" s="164" t="n"/>
      <c r="E15" s="164" t="n">
        <v>1</v>
      </c>
      <c r="F15" s="164" t="n"/>
      <c r="G15" s="164" t="n"/>
      <c r="H15" s="164" t="n"/>
      <c r="I15" s="164" t="n"/>
      <c r="J15" s="164" t="n"/>
      <c r="K15" s="164" t="n"/>
      <c r="L15" s="192" t="n"/>
    </row>
    <row r="16">
      <c r="A16" s="13" t="n">
        <v>14</v>
      </c>
      <c r="B16" s="164" t="n">
        <v>0.375</v>
      </c>
      <c r="C16" s="164" t="n"/>
      <c r="D16" s="164" t="n"/>
      <c r="E16" s="164" t="n">
        <v>1</v>
      </c>
      <c r="F16" s="164" t="n"/>
      <c r="G16" s="164" t="n"/>
      <c r="H16" s="164" t="n"/>
      <c r="I16" s="164" t="n"/>
      <c r="J16" s="164" t="n"/>
      <c r="K16" s="164" t="n"/>
      <c r="L16" s="192" t="n"/>
    </row>
    <row r="17">
      <c r="A17" s="13" t="n">
        <v>15</v>
      </c>
      <c r="B17" s="164" t="n"/>
      <c r="C17" s="164" t="n"/>
      <c r="D17" s="164" t="n"/>
      <c r="E17" s="164" t="n">
        <v>1</v>
      </c>
      <c r="F17" s="164" t="n"/>
      <c r="G17" s="164" t="n"/>
      <c r="H17" s="164" t="n"/>
      <c r="I17" s="164" t="n"/>
      <c r="J17" s="164" t="n"/>
      <c r="K17" s="164" t="n"/>
      <c r="L17" s="192" t="n"/>
    </row>
    <row r="18">
      <c r="A18" s="13" t="n">
        <v>16</v>
      </c>
      <c r="B18" s="164" t="n"/>
      <c r="C18" s="164" t="n"/>
      <c r="D18" s="164" t="n"/>
      <c r="E18" s="164" t="n">
        <v>1</v>
      </c>
      <c r="F18" s="164" t="n"/>
      <c r="G18" s="164" t="n"/>
      <c r="H18" s="164" t="n"/>
      <c r="I18" s="164" t="n"/>
      <c r="J18" s="164" t="n"/>
      <c r="K18" s="164" t="n"/>
      <c r="L18" s="192" t="n"/>
    </row>
    <row r="19">
      <c r="A19" s="13" t="n">
        <v>17</v>
      </c>
      <c r="B19" s="164" t="n"/>
      <c r="C19" s="164" t="n"/>
      <c r="D19" s="164" t="n"/>
      <c r="E19" s="164" t="n"/>
      <c r="F19" s="164" t="n"/>
      <c r="G19" s="164" t="n"/>
      <c r="H19" s="164" t="n"/>
      <c r="I19" s="164" t="n"/>
      <c r="J19" s="164" t="n"/>
      <c r="K19" s="164" t="n"/>
      <c r="L19" s="192" t="n"/>
    </row>
    <row r="20">
      <c r="A20" s="13" t="n">
        <v>18</v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92" t="n"/>
    </row>
    <row r="21">
      <c r="A21" s="13" t="n">
        <v>19</v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92" t="n"/>
    </row>
    <row r="22">
      <c r="A22" s="15" t="n">
        <v>20</v>
      </c>
      <c r="B22" s="165" t="n"/>
      <c r="C22" s="165" t="n"/>
      <c r="D22" s="165" t="n"/>
      <c r="E22" s="165" t="n"/>
      <c r="F22" s="165" t="n"/>
      <c r="G22" s="165" t="n"/>
      <c r="H22" s="165" t="n"/>
      <c r="I22" s="165" t="n"/>
      <c r="J22" s="165" t="n"/>
      <c r="K22" s="165" t="n"/>
      <c r="L22" s="192" t="n"/>
    </row>
    <row r="23">
      <c r="A23" s="15" t="n">
        <v>21</v>
      </c>
      <c r="B23" s="165" t="n"/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92" t="n"/>
    </row>
    <row r="24">
      <c r="A24" s="13" t="n">
        <v>22</v>
      </c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92" t="n"/>
    </row>
    <row r="25">
      <c r="A25" s="13" t="n">
        <v>23</v>
      </c>
      <c r="B25" s="164" t="n"/>
      <c r="C25" s="164" t="n"/>
      <c r="D25" s="164" t="n"/>
      <c r="E25" s="164" t="n"/>
      <c r="F25" s="164" t="n"/>
      <c r="G25" s="164" t="n"/>
      <c r="H25" s="164" t="n"/>
      <c r="I25" s="164" t="n"/>
      <c r="J25" s="164" t="n"/>
      <c r="K25" s="164" t="n"/>
      <c r="L25" s="192" t="n"/>
    </row>
    <row r="26">
      <c r="A26" s="13" t="n">
        <v>24</v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92" t="n"/>
    </row>
    <row r="27">
      <c r="A27" s="13" t="n">
        <v>25</v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92" t="n"/>
    </row>
    <row r="28">
      <c r="A28" s="15" t="n">
        <v>26</v>
      </c>
      <c r="B28" s="165" t="n"/>
      <c r="C28" s="165" t="n"/>
      <c r="D28" s="165" t="n"/>
      <c r="E28" s="165" t="n"/>
      <c r="F28" s="165" t="n"/>
      <c r="G28" s="165" t="n"/>
      <c r="H28" s="165" t="n"/>
      <c r="I28" s="165" t="n"/>
      <c r="J28" s="165" t="n"/>
      <c r="K28" s="165" t="n"/>
      <c r="L28" s="192" t="n"/>
    </row>
    <row r="29">
      <c r="A29" s="15" t="n">
        <v>27</v>
      </c>
      <c r="B29" s="165" t="n"/>
      <c r="C29" s="165" t="n"/>
      <c r="D29" s="165" t="n"/>
      <c r="E29" s="165" t="n"/>
      <c r="F29" s="165" t="n"/>
      <c r="G29" s="165" t="n"/>
      <c r="H29" s="165" t="n"/>
      <c r="I29" s="165" t="n"/>
      <c r="J29" s="165" t="n"/>
      <c r="K29" s="165" t="n"/>
      <c r="L29" s="192" t="n"/>
    </row>
    <row r="30">
      <c r="A30" s="13" t="n">
        <v>28</v>
      </c>
      <c r="B30" s="164" t="n"/>
      <c r="C30" s="164" t="n"/>
      <c r="D30" s="164" t="n"/>
      <c r="E30" s="164" t="n"/>
      <c r="F30" s="164" t="n"/>
      <c r="G30" s="164" t="n"/>
      <c r="H30" s="164" t="n"/>
      <c r="I30" s="164" t="n"/>
      <c r="J30" s="164" t="n"/>
      <c r="K30" s="164" t="n"/>
      <c r="L30" s="192" t="n"/>
    </row>
    <row r="31">
      <c r="A31" s="13" t="n">
        <v>29</v>
      </c>
      <c r="B31" s="164" t="n"/>
      <c r="C31" s="164" t="n"/>
      <c r="D31" s="164" t="n"/>
      <c r="E31" s="164" t="n"/>
      <c r="F31" s="164" t="n"/>
      <c r="G31" s="164" t="n"/>
      <c r="H31" s="164" t="n"/>
      <c r="I31" s="164" t="n"/>
      <c r="J31" s="164" t="n"/>
      <c r="K31" s="164" t="n"/>
      <c r="L31" s="192" t="n"/>
    </row>
    <row r="32">
      <c r="A32" s="13" t="n">
        <v>30</v>
      </c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92" t="n"/>
    </row>
    <row r="33">
      <c r="A33" s="13" t="n">
        <v>31</v>
      </c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92" t="n"/>
    </row>
    <row r="34">
      <c r="A34" s="13" t="n">
        <v>32</v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92" t="n"/>
    </row>
    <row r="35">
      <c r="A35" s="15" t="n">
        <v>33</v>
      </c>
      <c r="B35" s="165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  <c r="L35" s="192" t="n"/>
    </row>
    <row r="36">
      <c r="A36" s="15" t="n">
        <v>34</v>
      </c>
      <c r="B36" s="165" t="n"/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92" t="n"/>
    </row>
    <row r="37">
      <c r="A37" s="13" t="n">
        <v>35</v>
      </c>
      <c r="B37" s="164" t="n"/>
      <c r="C37" s="164" t="n"/>
      <c r="D37" s="164" t="n"/>
      <c r="E37" s="164" t="n"/>
      <c r="F37" s="164" t="n"/>
      <c r="G37" s="164" t="n"/>
      <c r="H37" s="164" t="n"/>
      <c r="I37" s="164" t="n"/>
      <c r="J37" s="164" t="n"/>
      <c r="K37" s="164" t="n"/>
      <c r="L37" s="192" t="n"/>
    </row>
    <row r="38">
      <c r="A38" s="13" t="n">
        <v>36</v>
      </c>
      <c r="B38" s="164" t="n"/>
      <c r="C38" s="164" t="n"/>
      <c r="D38" s="164" t="n"/>
      <c r="E38" s="164" t="n"/>
      <c r="F38" s="164" t="n"/>
      <c r="G38" s="164" t="n"/>
      <c r="H38" s="164" t="n"/>
      <c r="I38" s="164" t="n"/>
      <c r="J38" s="164" t="n"/>
      <c r="K38" s="164" t="n"/>
      <c r="L38" s="192" t="n"/>
    </row>
    <row r="39">
      <c r="A39" s="13" t="n">
        <v>37</v>
      </c>
      <c r="B39" s="164" t="n"/>
      <c r="C39" s="164" t="n"/>
      <c r="D39" s="164" t="n"/>
      <c r="E39" s="164" t="n"/>
      <c r="F39" s="164" t="n"/>
      <c r="G39" s="164" t="n"/>
      <c r="H39" s="164" t="n"/>
      <c r="I39" s="164" t="n"/>
      <c r="J39" s="164" t="n"/>
      <c r="K39" s="164" t="n"/>
      <c r="L39" s="192" t="n"/>
    </row>
    <row r="40">
      <c r="A40" s="13" t="n">
        <v>38</v>
      </c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92" t="n"/>
    </row>
    <row r="41">
      <c r="A41" s="15" t="n">
        <v>39</v>
      </c>
      <c r="B41" s="165" t="n"/>
      <c r="C41" s="165" t="n"/>
      <c r="D41" s="165" t="n"/>
      <c r="E41" s="165" t="n"/>
      <c r="F41" s="165" t="n"/>
      <c r="G41" s="165" t="n"/>
      <c r="H41" s="165" t="n"/>
      <c r="I41" s="165" t="n"/>
      <c r="J41" s="165" t="n"/>
      <c r="K41" s="165" t="n"/>
      <c r="L41" s="192" t="n"/>
    </row>
    <row r="42" ht="15.75" customHeight="1" thickBot="1">
      <c r="A42" s="15" t="n">
        <v>40</v>
      </c>
      <c r="B42" s="165" t="n"/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93" t="n"/>
    </row>
    <row r="43" ht="15.75" customHeight="1" thickTop="1">
      <c r="A43" s="16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166">
        <f>AVERAGE(E3:E42)</f>
        <v/>
      </c>
      <c r="F43" s="166">
        <f>AVERAGE(F3:F42)</f>
        <v/>
      </c>
      <c r="G43" s="166">
        <f>AVERAGE(G3:G42)</f>
        <v/>
      </c>
      <c r="H43" s="166">
        <f>AVERAGE(H3:H42)</f>
        <v/>
      </c>
      <c r="I43" s="166">
        <f>AVERAGE(I3:I42)</f>
        <v/>
      </c>
      <c r="J43" s="166">
        <f>AVERAGE(J3:J42)</f>
        <v/>
      </c>
      <c r="K43" s="166">
        <f>AVERAGE(K3:K42)</f>
        <v/>
      </c>
      <c r="L43" s="17" t="n"/>
    </row>
    <row r="44">
      <c r="A44" s="18" t="inlineStr">
        <is>
          <t>Overall Average</t>
        </is>
      </c>
      <c r="B44" s="164">
        <f>AVERAGEIF(B43:K43, "&lt;&gt;#DIV/0!")</f>
        <v/>
      </c>
      <c r="C44" s="164" t="n"/>
      <c r="D44" s="164" t="n"/>
      <c r="E44" s="164" t="n"/>
      <c r="F44" s="164" t="n"/>
      <c r="G44" s="164" t="n"/>
      <c r="H44" s="164" t="n"/>
      <c r="I44" s="164" t="n"/>
      <c r="J44" s="164" t="n"/>
      <c r="K44" s="164" t="n"/>
      <c r="L44" s="14" t="n"/>
    </row>
    <row r="45">
      <c r="A45" s="18" t="inlineStr">
        <is>
          <t>Total Students</t>
        </is>
      </c>
      <c r="B45" s="14">
        <f>COUNTIF(B3:B42, "&lt;&gt;")</f>
        <v/>
      </c>
      <c r="C45" s="14">
        <f>COUNTIF(C3:C42, "&lt;&gt;")</f>
        <v/>
      </c>
      <c r="D45" s="14">
        <f>COUNTIF(D3:D42, "&lt;&gt;")</f>
        <v/>
      </c>
      <c r="E45" s="14">
        <f>COUNTIF(E3:E42, "&lt;&gt;")</f>
        <v/>
      </c>
      <c r="F45" s="14">
        <f>COUNTIF(F3:F42, "&lt;&gt;")</f>
        <v/>
      </c>
      <c r="G45" s="14">
        <f>COUNTIF(G3:G42, "&lt;&gt;")</f>
        <v/>
      </c>
      <c r="H45" s="14">
        <f>COUNTIF(H3:H42, "&lt;&gt;")</f>
        <v/>
      </c>
      <c r="I45" s="14">
        <f>COUNTIF(I3:I42, "&lt;&gt;")</f>
        <v/>
      </c>
      <c r="J45" s="14">
        <f>COUNTIF(J3:J42, "&lt;&gt;")</f>
        <v/>
      </c>
      <c r="K45" s="14">
        <f>COUNTIF(K3:K42, "&lt;&gt;")</f>
        <v/>
      </c>
      <c r="L45" s="21" t="n"/>
    </row>
    <row r="47">
      <c r="B47" s="91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99" t="inlineStr">
        <is>
          <t>I (1st, 2nd yr)</t>
        </is>
      </c>
      <c r="B48" s="152">
        <f>COUNTIF($E$2, "A")</f>
        <v/>
      </c>
      <c r="C48" s="152">
        <f>COUNTIF($E$2, "Q")</f>
        <v/>
      </c>
      <c r="D48" s="152">
        <f>COUNTIF($E$2, "M")</f>
        <v/>
      </c>
      <c r="E48" s="152">
        <f>COUNTIF($E$2, "F")</f>
        <v/>
      </c>
      <c r="F48" s="152">
        <f>COUNTIF($E$2, "P")</f>
        <v/>
      </c>
      <c r="G48" s="152">
        <f>COUNTIF($E$2, "L")</f>
        <v/>
      </c>
      <c r="H48" s="152">
        <f>COUNTIF($E$2, "OT")</f>
        <v/>
      </c>
      <c r="I48" s="153">
        <f>SUM(B48:H48)</f>
        <v/>
      </c>
    </row>
    <row r="49">
      <c r="A49" s="100" t="inlineStr">
        <is>
          <t>D (2nd &amp; 3rd yr)</t>
        </is>
      </c>
      <c r="B49" s="152">
        <f>COUNTIF($B$2, "A") + COUNTIF($G$2, "A")</f>
        <v/>
      </c>
      <c r="C49" s="152">
        <f>COUNTIF($B$2, "Q") + COUNTIF($G$2, "Q")</f>
        <v/>
      </c>
      <c r="D49" s="152">
        <f>COUNTIF($B$2, "M") + COUNTIF($G$2, "M")</f>
        <v/>
      </c>
      <c r="E49" s="152">
        <f>COUNTIF($B$2, "F") + COUNTIF($G$2, "F")</f>
        <v/>
      </c>
      <c r="F49" s="152">
        <f>COUNTIF($B$2, "P") + COUNTIF($G$2, "P")</f>
        <v/>
      </c>
      <c r="G49" s="152">
        <f>COUNTIF($B$2, "L") + COUNTIF($G$2, "L")</f>
        <v/>
      </c>
      <c r="H49" s="152">
        <f>COUNTIF($B$2, "OT") + COUNTIF($G$2, "OT")</f>
        <v/>
      </c>
      <c r="I49" s="153">
        <f>SUM(B49:H49)</f>
        <v/>
      </c>
    </row>
    <row r="50">
      <c r="A50" s="101" t="inlineStr">
        <is>
          <t>A (3rd, 4yr)</t>
        </is>
      </c>
      <c r="B50" s="152">
        <f>COUNTIF($F$2:$K$2, "A") + COUNTIF($C$2:$D$2, "A")</f>
        <v/>
      </c>
      <c r="C50" s="152">
        <f>COUNTIF($F$2:$K$2, "Q") + COUNTIF($C$2:$D$2, "Q")</f>
        <v/>
      </c>
      <c r="D50" s="152">
        <f>COUNTIF($F$2:$K$2, "M") + COUNTIF($C$2:$D$2, "M")</f>
        <v/>
      </c>
      <c r="E50" s="152">
        <f>COUNTIF($F$2:$K$2, "F") + COUNTIF($C$2:$D$2, "F")</f>
        <v/>
      </c>
      <c r="F50" s="152">
        <f>COUNTIF($F$2:$K$2, "P") + COUNTIF($C$2:$D$2, "P")</f>
        <v/>
      </c>
      <c r="G50" s="152">
        <f>COUNTIF($F$2:$K$2, "L") + COUNTIF($C$2:$D$2, "L")</f>
        <v/>
      </c>
      <c r="H50" s="152">
        <f>COUNTIF($F$2:$K$2, "OT") + COUNTIF($C$2:$D$2, "OT")</f>
        <v/>
      </c>
      <c r="I50" s="153">
        <f>SUM(B50:H50)</f>
        <v/>
      </c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SUM(B51:H51)</f>
        <v/>
      </c>
    </row>
    <row r="53" ht="18.75" customHeight="1" thickBot="1">
      <c r="A53" s="24" t="inlineStr">
        <is>
          <t>Frequency Distribution Analysis</t>
        </is>
      </c>
      <c r="B53" s="117" t="n"/>
      <c r="C53" s="117" t="n"/>
      <c r="D53" s="117" t="n"/>
      <c r="E53" s="117" t="n"/>
      <c r="F53" s="117" t="n"/>
      <c r="G53" s="117" t="n"/>
      <c r="H53" s="21" t="n"/>
      <c r="I53" s="21" t="n"/>
      <c r="J53" s="21" t="n"/>
      <c r="K53" s="21" t="n"/>
    </row>
    <row r="54" ht="16.5" customHeight="1" thickBot="1">
      <c r="A54" s="22" t="inlineStr">
        <is>
          <t>Scale</t>
        </is>
      </c>
      <c r="B54" s="162" t="inlineStr">
        <is>
          <t>CENG-3010-5</t>
        </is>
      </c>
      <c r="C54" s="146" t="inlineStr">
        <is>
          <t>CENG-3020-1</t>
        </is>
      </c>
      <c r="D54" s="146" t="inlineStr">
        <is>
          <t>COMP-3610-6</t>
        </is>
      </c>
      <c r="E54" s="145" t="inlineStr">
        <is>
          <t>ENGR-1100-1</t>
        </is>
      </c>
      <c r="F54" s="146" t="inlineStr">
        <is>
          <t>SENG-3120-2</t>
        </is>
      </c>
      <c r="G54" s="162" t="inlineStr">
        <is>
          <t>SENG-3130-5</t>
        </is>
      </c>
      <c r="H54" s="146" t="inlineStr">
        <is>
          <t>SENG-4100-1</t>
        </is>
      </c>
      <c r="I54" s="146" t="inlineStr">
        <is>
          <t>SENG-4130-6</t>
        </is>
      </c>
      <c r="J54" s="146" t="inlineStr">
        <is>
          <t>SENG-4140-2</t>
        </is>
      </c>
      <c r="K54" s="146" t="inlineStr">
        <is>
          <t>SENG-4640-1</t>
        </is>
      </c>
      <c r="L54" s="116" t="inlineStr">
        <is>
          <t>Average</t>
        </is>
      </c>
    </row>
    <row r="55" ht="16.5" customHeight="1" thickBot="1">
      <c r="A55" s="102" t="inlineStr">
        <is>
          <t>Below Expectation (C- and below)  (%)</t>
        </is>
      </c>
      <c r="B55" s="115">
        <f>(COUNTIF(B3:B42, "&lt;=59%"))/B45</f>
        <v/>
      </c>
      <c r="C55" s="115">
        <f>(COUNTIF(C3:C42, "&lt;=59%"))/C45</f>
        <v/>
      </c>
      <c r="D55" s="115">
        <f>(COUNTIF(D3:D42, "&lt;=59%"))/D45</f>
        <v/>
      </c>
      <c r="E55" s="115">
        <f>(COUNTIF(E3:E42, "&lt;=59%"))/E45</f>
        <v/>
      </c>
      <c r="F55" s="115">
        <f>(COUNTIF(F3:F42, "&lt;=59%"))/F45</f>
        <v/>
      </c>
      <c r="G55" s="115">
        <f>(COUNTIF(G3:G42, "&lt;=59%"))/G45</f>
        <v/>
      </c>
      <c r="H55" s="115">
        <f>(COUNTIF(H3:H42, "&lt;=59%"))/H45</f>
        <v/>
      </c>
      <c r="I55" s="115">
        <f>(COUNTIF(I3:I42, "&lt;=59%"))/I45</f>
        <v/>
      </c>
      <c r="J55" s="115">
        <f>(COUNTIF(J3:J42, "&lt;=59%"))/J45</f>
        <v/>
      </c>
      <c r="K55" s="115">
        <f>(COUNTIF(K3:K42, "&lt;=59%"))/K45</f>
        <v/>
      </c>
      <c r="L55" s="88">
        <f>AVERAGEIF(B55:K55, "&lt;&gt;#DIV/0!")</f>
        <v/>
      </c>
    </row>
    <row r="56" ht="16.5" customHeight="1" thickBot="1">
      <c r="A56" s="103" t="inlineStr">
        <is>
          <t>Marginal (C+, C)  (%)</t>
        </is>
      </c>
      <c r="B56" s="118">
        <f>(COUNTIFS(B3:B42, "&gt;= 60%", B3:B42, "&lt;=69%" ))/B45</f>
        <v/>
      </c>
      <c r="C56" s="118">
        <f>(COUNTIFS(C3:C42, "&gt;= 60%", C3:C42, "&lt;=69%" ))/C45</f>
        <v/>
      </c>
      <c r="D56" s="118">
        <f>(COUNTIFS(D3:D42, "&gt;= 60%", D3:D42, "&lt;=69%" ))/D45</f>
        <v/>
      </c>
      <c r="E56" s="118">
        <f>(COUNTIFS(E3:E42, "&gt;= 60%", E3:E42, "&lt;=69%" ))/E45</f>
        <v/>
      </c>
      <c r="F56" s="118">
        <f>(COUNTIFS(F3:F42, "&gt;= 60%", F3:F42, "&lt;=69%" ))/F45</f>
        <v/>
      </c>
      <c r="G56" s="118">
        <f>(COUNTIFS(G3:G42, "&gt;= 60%", G3:G42, "&lt;=69%" ))/G45</f>
        <v/>
      </c>
      <c r="H56" s="118">
        <f>(COUNTIFS(H3:H42, "&gt;= 60%", H3:H42, "&lt;=69%" ))/H45</f>
        <v/>
      </c>
      <c r="I56" s="118">
        <f>(COUNTIFS(I3:I42, "&gt;= 60%", I3:I42, "&lt;=69%" ))/I45</f>
        <v/>
      </c>
      <c r="J56" s="118">
        <f>(COUNTIFS(J3:J42, "&gt;= 60%", J3:J42, "&lt;=69%" ))/J45</f>
        <v/>
      </c>
      <c r="K56" s="118">
        <f>(COUNTIFS(K3:K42, "&gt;= 60%", K3:K42, "&lt;=69%" ))/K45</f>
        <v/>
      </c>
      <c r="L56" s="88">
        <f>AVERAGEIF(B56:K56, "&lt;&gt;#DIV/0!")</f>
        <v/>
      </c>
    </row>
    <row r="57" ht="16.5" customHeight="1" thickBot="1">
      <c r="A57" s="98" t="inlineStr">
        <is>
          <t>Meets Expectation (B+, B, B-) (%)</t>
        </is>
      </c>
      <c r="B57" s="118">
        <f>(COUNTIFS(B3:B42, "&gt;= 70%", B3:B42, "&lt;=79%" ))/B45</f>
        <v/>
      </c>
      <c r="C57" s="118">
        <f>(COUNTIFS(C3:C42, "&gt;= 70%", C3:C42, "&lt;=79%" ))/C45</f>
        <v/>
      </c>
      <c r="D57" s="118">
        <f>(COUNTIFS(D3:D42, "&gt;= 70%", D3:D42, "&lt;=79%" ))/D45</f>
        <v/>
      </c>
      <c r="E57" s="118">
        <f>(COUNTIFS(E3:E42, "&gt;= 70%", E3:E42, "&lt;=79%" ))/E45</f>
        <v/>
      </c>
      <c r="F57" s="118">
        <f>(COUNTIFS(F3:F42, "&gt;= 70%", F3:F42, "&lt;=79%" ))/F45</f>
        <v/>
      </c>
      <c r="G57" s="118">
        <f>(COUNTIFS(G3:G42, "&gt;= 70%", G3:G42, "&lt;=79%" ))/G45</f>
        <v/>
      </c>
      <c r="H57" s="118">
        <f>(COUNTIFS(H3:H42, "&gt;= 70%", H3:H42, "&lt;=79%" ))/H45</f>
        <v/>
      </c>
      <c r="I57" s="118">
        <f>(COUNTIFS(I3:I42, "&gt;= 70%", I3:I42, "&lt;=79%" ))/I45</f>
        <v/>
      </c>
      <c r="J57" s="118">
        <f>(COUNTIFS(J3:J42, "&gt;= 70%", J3:J42, "&lt;=79%" ))/J45</f>
        <v/>
      </c>
      <c r="K57" s="118">
        <f>(COUNTIFS(K3:K42, "&gt;= 70%", K3:K42, "&lt;=79%" ))/K45</f>
        <v/>
      </c>
      <c r="L57" s="88">
        <f>AVERAGEIF(B57:K57, "&lt;&gt;#DIV/0!")</f>
        <v/>
      </c>
    </row>
    <row r="58" ht="16.5" customHeight="1" thickBot="1">
      <c r="A58" s="104" t="inlineStr">
        <is>
          <t>Exceeds Expectation (A+, A, A-) (%)</t>
        </is>
      </c>
      <c r="B58" s="118">
        <f>(COUNTIF(B3:B42,"&gt;= 80%")/B45)</f>
        <v/>
      </c>
      <c r="C58" s="118">
        <f>(COUNTIF(C3:C42,"&gt;= 80%")/C45)</f>
        <v/>
      </c>
      <c r="D58" s="118">
        <f>(COUNTIF(D3:D42,"&gt;= 80%")/D45)</f>
        <v/>
      </c>
      <c r="E58" s="118">
        <f>(COUNTIF(E3:E42,"&gt;= 80%")/E45)</f>
        <v/>
      </c>
      <c r="F58" s="118">
        <f>(COUNTIF(F3:F42,"&gt;= 80%")/F45)</f>
        <v/>
      </c>
      <c r="G58" s="118">
        <f>(COUNTIF(G3:G42,"&gt;= 80%")/G45)</f>
        <v/>
      </c>
      <c r="H58" s="118">
        <f>(COUNTIF(H3:H42,"&gt;= 80%")/H45)</f>
        <v/>
      </c>
      <c r="I58" s="118">
        <f>(COUNTIF(I3:I42,"&gt;= 80%")/I45)</f>
        <v/>
      </c>
      <c r="J58" s="118">
        <f>(COUNTIF(J3:J42,"&gt;= 80%")/J45)</f>
        <v/>
      </c>
      <c r="K58" s="118">
        <f>(COUNTIF(K3:K42,"&gt;= 80%")/K45)</f>
        <v/>
      </c>
      <c r="L58" s="88">
        <f>AVERAGEIF(B58:K58, "&lt;&gt;#DIV/0!")</f>
        <v/>
      </c>
    </row>
    <row r="59" ht="15.75" customHeight="1" thickBot="1">
      <c r="A59" s="23" t="n"/>
      <c r="B59" s="119">
        <f>SUMIF(B55:B58, "&lt;&gt;#DIV/0!")</f>
        <v/>
      </c>
      <c r="C59" s="97">
        <f>SUMIF(C55:C58, "&lt;&gt;#DIV/0!")</f>
        <v/>
      </c>
      <c r="D59" s="97">
        <f>SUMIF(D55:D58, "&lt;&gt;#DIV/0!")</f>
        <v/>
      </c>
      <c r="E59" s="97">
        <f>SUMIF(E55:E58, "&lt;&gt;#DIV/0!")</f>
        <v/>
      </c>
      <c r="F59" s="97">
        <f>SUMIF(F55:F58, "&lt;&gt;#DIV/0!")</f>
        <v/>
      </c>
      <c r="G59" s="97">
        <f>SUMIF(G55:G58, "&lt;&gt;#DIV/0!")</f>
        <v/>
      </c>
      <c r="H59" s="97">
        <f>SUMIF(H55:H58, "&lt;&gt;#DIV/0!")</f>
        <v/>
      </c>
      <c r="I59" s="97">
        <f>SUMIF(I55:I58, "&lt;&gt;#DIV/0!")</f>
        <v/>
      </c>
      <c r="J59" s="97">
        <f>SUMIF(J55:J58, "&lt;&gt;#DIV/0!")</f>
        <v/>
      </c>
      <c r="K59" s="97">
        <f>SUMIF(K55:K58, "&lt;&gt;#DIV/0!")</f>
        <v/>
      </c>
      <c r="L59" s="88">
        <f>AVERAGEIF(B59:K59, "&lt;&gt;#DIV/0!")</f>
        <v/>
      </c>
    </row>
    <row r="60" ht="15.75" customHeight="1" thickBot="1"/>
    <row r="61" ht="15.75" customHeight="1" thickBot="1">
      <c r="A61" s="25" t="n"/>
      <c r="B61" s="27" t="inlineStr">
        <is>
          <t>Class Limit</t>
        </is>
      </c>
      <c r="C61" s="27" t="inlineStr">
        <is>
          <t>Bin</t>
        </is>
      </c>
    </row>
    <row r="62" ht="16.5" customHeight="1" thickBot="1">
      <c r="A62" s="26" t="inlineStr">
        <is>
          <t>Exceeds Expectation (A+, A, A-) (%)</t>
        </is>
      </c>
      <c r="B62" s="29" t="inlineStr">
        <is>
          <t>80-100</t>
        </is>
      </c>
      <c r="C62" s="28" t="n">
        <v>100</v>
      </c>
    </row>
    <row r="63" ht="16.5" customHeight="1" thickBot="1">
      <c r="A63" s="26" t="inlineStr">
        <is>
          <t>Meets Expectation (B+, B, B-) (%)</t>
        </is>
      </c>
      <c r="B63" s="29" t="inlineStr">
        <is>
          <t>70-79</t>
        </is>
      </c>
      <c r="C63" s="28" t="n">
        <v>79</v>
      </c>
    </row>
    <row r="64" ht="16.5" customHeight="1" thickBot="1">
      <c r="A64" s="26" t="inlineStr">
        <is>
          <t>Marginal (C+, C)  (%)</t>
        </is>
      </c>
      <c r="B64" s="29" t="inlineStr">
        <is>
          <t>60-69</t>
        </is>
      </c>
      <c r="C64" s="28" t="n">
        <v>69</v>
      </c>
    </row>
    <row r="65" ht="16.5" customHeight="1" thickBot="1">
      <c r="A65" s="26" t="inlineStr">
        <is>
          <t>Below Expectation (C- and below)  (%)</t>
        </is>
      </c>
      <c r="B65" s="29" t="inlineStr">
        <is>
          <t>0-59</t>
        </is>
      </c>
      <c r="C65" s="28" t="n">
        <v>59</v>
      </c>
    </row>
  </sheetData>
  <mergeCells count="1">
    <mergeCell ref="L3:L42"/>
  </mergeCells>
  <conditionalFormatting sqref="B3:K22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33" operator="greaterThanOrEqual" dxfId="3">
      <formula>80</formula>
    </cfRule>
    <cfRule type="containsBlanks" priority="934" dxfId="4" stopIfTrue="1">
      <formula>LEN(TRIM(B3))=0</formula>
    </cfRule>
    <cfRule type="cellIs" priority="935" operator="greaterThanOrEqual" dxfId="3">
      <formula>80</formula>
    </cfRule>
    <cfRule type="cellIs" priority="936" operator="between" dxfId="2">
      <formula>70</formula>
      <formula>79</formula>
    </cfRule>
    <cfRule type="cellIs" priority="937" operator="between" dxfId="1">
      <formula>60</formula>
      <formula>69</formula>
    </cfRule>
    <cfRule type="cellIs" priority="938" operator="between" dxfId="0">
      <formula>0</formula>
      <formula>59</formula>
    </cfRule>
  </conditionalFormatting>
  <conditionalFormatting sqref="B23:K23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40" operator="greaterThanOrEqual" dxfId="3">
      <formula>80</formula>
    </cfRule>
    <cfRule type="containsBlanks" priority="941" dxfId="4" stopIfTrue="1">
      <formula>LEN(TRIM(B23))=0</formula>
    </cfRule>
    <cfRule type="cellIs" priority="942" operator="greaterThanOrEqual" dxfId="3">
      <formula>80</formula>
    </cfRule>
    <cfRule type="cellIs" priority="943" operator="between" dxfId="2">
      <formula>70</formula>
      <formula>79</formula>
    </cfRule>
    <cfRule type="cellIs" priority="944" operator="between" dxfId="1">
      <formula>60</formula>
      <formula>69</formula>
    </cfRule>
    <cfRule type="cellIs" priority="945" operator="between" dxfId="0">
      <formula>0</formula>
      <formula>59</formula>
    </cfRule>
  </conditionalFormatting>
  <conditionalFormatting sqref="B24:K28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47" operator="greaterThanOrEqual" dxfId="3">
      <formula>80</formula>
    </cfRule>
    <cfRule type="containsBlanks" priority="948" dxfId="4" stopIfTrue="1">
      <formula>LEN(TRIM(B24))=0</formula>
    </cfRule>
    <cfRule type="cellIs" priority="949" operator="greaterThanOrEqual" dxfId="3">
      <formula>80</formula>
    </cfRule>
    <cfRule type="cellIs" priority="950" operator="between" dxfId="2">
      <formula>70</formula>
      <formula>79</formula>
    </cfRule>
    <cfRule type="cellIs" priority="951" operator="between" dxfId="1">
      <formula>60</formula>
      <formula>69</formula>
    </cfRule>
    <cfRule type="cellIs" priority="952" operator="between" dxfId="0">
      <formula>0</formula>
      <formula>59</formula>
    </cfRule>
  </conditionalFormatting>
  <conditionalFormatting sqref="B29:K29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54" operator="greaterThanOrEqual" dxfId="3">
      <formula>80</formula>
    </cfRule>
    <cfRule type="containsBlanks" priority="955" dxfId="4" stopIfTrue="1">
      <formula>LEN(TRIM(B29))=0</formula>
    </cfRule>
    <cfRule type="cellIs" priority="956" operator="greaterThanOrEqual" dxfId="3">
      <formula>80</formula>
    </cfRule>
    <cfRule type="cellIs" priority="957" operator="between" dxfId="2">
      <formula>70</formula>
      <formula>79</formula>
    </cfRule>
    <cfRule type="cellIs" priority="958" operator="between" dxfId="1">
      <formula>60</formula>
      <formula>69</formula>
    </cfRule>
    <cfRule type="cellIs" priority="959" operator="between" dxfId="0">
      <formula>0</formula>
      <formula>59</formula>
    </cfRule>
  </conditionalFormatting>
  <conditionalFormatting sqref="B30:K35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61" operator="greaterThanOrEqual" dxfId="3">
      <formula>80</formula>
    </cfRule>
    <cfRule type="containsBlanks" priority="962" dxfId="4" stopIfTrue="1">
      <formula>LEN(TRIM(B30))=0</formula>
    </cfRule>
    <cfRule type="cellIs" priority="963" operator="greaterThanOrEqual" dxfId="3">
      <formula>80</formula>
    </cfRule>
    <cfRule type="cellIs" priority="964" operator="between" dxfId="2">
      <formula>70</formula>
      <formula>79</formula>
    </cfRule>
    <cfRule type="cellIs" priority="965" operator="between" dxfId="1">
      <formula>60</formula>
      <formula>69</formula>
    </cfRule>
    <cfRule type="cellIs" priority="966" operator="between" dxfId="0">
      <formula>0</formula>
      <formula>59</formula>
    </cfRule>
  </conditionalFormatting>
  <conditionalFormatting sqref="B36:K36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68" operator="greaterThanOrEqual" dxfId="3">
      <formula>80</formula>
    </cfRule>
    <cfRule type="containsBlanks" priority="969" dxfId="4" stopIfTrue="1">
      <formula>LEN(TRIM(B36))=0</formula>
    </cfRule>
    <cfRule type="cellIs" priority="970" operator="greaterThanOrEqual" dxfId="3">
      <formula>80</formula>
    </cfRule>
    <cfRule type="cellIs" priority="971" operator="between" dxfId="2">
      <formula>70</formula>
      <formula>79</formula>
    </cfRule>
    <cfRule type="cellIs" priority="972" operator="between" dxfId="1">
      <formula>60</formula>
      <formula>69</formula>
    </cfRule>
    <cfRule type="cellIs" priority="973" operator="between" dxfId="0">
      <formula>0</formula>
      <formula>59</formula>
    </cfRule>
  </conditionalFormatting>
  <conditionalFormatting sqref="B37:K41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75" operator="greaterThanOrEqual" dxfId="3">
      <formula>80</formula>
    </cfRule>
    <cfRule type="containsBlanks" priority="976" dxfId="4" stopIfTrue="1">
      <formula>LEN(TRIM(B37))=0</formula>
    </cfRule>
    <cfRule type="cellIs" priority="977" operator="greaterThanOrEqual" dxfId="3">
      <formula>80</formula>
    </cfRule>
    <cfRule type="cellIs" priority="978" operator="between" dxfId="2">
      <formula>70</formula>
      <formula>79</formula>
    </cfRule>
    <cfRule type="cellIs" priority="979" operator="between" dxfId="1">
      <formula>60</formula>
      <formula>69</formula>
    </cfRule>
    <cfRule type="cellIs" priority="980" operator="between" dxfId="0">
      <formula>0</formula>
      <formula>59</formula>
    </cfRule>
  </conditionalFormatting>
  <conditionalFormatting sqref="B42:K42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82" operator="greaterThanOrEqual" dxfId="3">
      <formula>80</formula>
    </cfRule>
    <cfRule type="containsBlanks" priority="983" dxfId="4" stopIfTrue="1">
      <formula>LEN(TRIM(B42))=0</formula>
    </cfRule>
    <cfRule type="cellIs" priority="984" operator="greaterThanOrEqual" dxfId="3">
      <formula>80</formula>
    </cfRule>
    <cfRule type="cellIs" priority="985" operator="between" dxfId="2">
      <formula>70</formula>
      <formula>79</formula>
    </cfRule>
    <cfRule type="cellIs" priority="986" operator="between" dxfId="1">
      <formula>60</formula>
      <formula>69</formula>
    </cfRule>
    <cfRule type="cellIs" priority="987" operator="between" dxfId="0">
      <formula>0</formula>
      <formula>59</formula>
    </cfRule>
  </conditionalFormatting>
  <dataValidations count="1">
    <dataValidation sqref="B2:K2" showErrorMessage="1" showInputMessage="1" allowBlank="1" type="list">
      <formula1>$P$3:$P$10</formula1>
    </dataValidation>
  </dataValidation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5"/>
  <sheetViews>
    <sheetView topLeftCell="A20" zoomScale="70" zoomScaleNormal="70" workbookViewId="0">
      <selection activeCell="B55" sqref="B55:B58"/>
    </sheetView>
  </sheetViews>
  <sheetFormatPr baseColWidth="8" defaultColWidth="16.5703125" defaultRowHeight="15" outlineLevelCol="0"/>
  <cols>
    <col width="44.85546875" bestFit="1" customWidth="1" min="1" max="1"/>
    <col width="18.85546875" bestFit="1" customWidth="1" min="2" max="2"/>
    <col width="15" bestFit="1" customWidth="1" min="3" max="3"/>
    <col width="15.85546875" bestFit="1" customWidth="1" min="4" max="4"/>
    <col width="17.7109375" bestFit="1" customWidth="1" min="5" max="5"/>
    <col width="15.42578125" bestFit="1" customWidth="1" min="6" max="7"/>
    <col width="15.42578125" customWidth="1" min="8" max="8"/>
    <col width="16.7109375" customWidth="1" min="9" max="9"/>
    <col width="16.5703125" customWidth="1" style="106" min="12" max="12"/>
  </cols>
  <sheetData>
    <row r="1" ht="15" customHeight="1">
      <c r="A1" s="9" t="inlineStr">
        <is>
          <t>Student Number</t>
        </is>
      </c>
      <c r="B1" s="155" t="inlineStr">
        <is>
          <t>ENGR-1100-2</t>
        </is>
      </c>
      <c r="C1" s="155" t="inlineStr">
        <is>
          <t>ENGR-1200-7</t>
        </is>
      </c>
      <c r="D1" s="163" t="inlineStr">
        <is>
          <t>ENGR-3300-1</t>
        </is>
      </c>
      <c r="E1" s="30" t="inlineStr">
        <is>
          <t>SENG-3120-3</t>
        </is>
      </c>
      <c r="F1" s="30" t="inlineStr">
        <is>
          <t>SENG-3210-4</t>
        </is>
      </c>
      <c r="G1" s="30" t="inlineStr">
        <is>
          <t>SENG-4100-4</t>
        </is>
      </c>
      <c r="H1" s="30" t="inlineStr">
        <is>
          <t>SENG-4100-8</t>
        </is>
      </c>
      <c r="I1" s="30">
        <f>COUNTA(B1:G1)</f>
        <v/>
      </c>
    </row>
    <row r="2" ht="30" customHeight="1">
      <c r="A2" s="12" t="inlineStr">
        <is>
          <t>Assessment
Tool</t>
        </is>
      </c>
      <c r="B2" s="9" t="n"/>
      <c r="C2" s="9" t="n"/>
      <c r="D2" s="9" t="n"/>
      <c r="E2" s="9" t="n"/>
      <c r="F2" s="9" t="n"/>
      <c r="G2" s="9" t="n"/>
      <c r="H2" s="9" t="n"/>
      <c r="I2" s="30">
        <f>COUNTIF(B2:H2, "&lt;&gt;")</f>
        <v/>
      </c>
    </row>
    <row r="3">
      <c r="A3" s="31" t="n">
        <v>1</v>
      </c>
      <c r="B3" s="164" t="n"/>
      <c r="C3" s="164" t="n"/>
      <c r="D3" s="164" t="n"/>
      <c r="E3" s="164" t="n"/>
      <c r="F3" s="164" t="n"/>
      <c r="G3" s="164" t="n"/>
      <c r="H3" s="165" t="n"/>
      <c r="I3" s="194" t="n"/>
    </row>
    <row r="4">
      <c r="A4" s="31" t="n">
        <v>2</v>
      </c>
      <c r="B4" s="164" t="n"/>
      <c r="C4" s="164" t="n"/>
      <c r="D4" s="164" t="n"/>
      <c r="E4" s="164" t="n"/>
      <c r="F4" s="164" t="n"/>
      <c r="G4" s="164" t="n"/>
      <c r="H4" s="167" t="n"/>
      <c r="I4" s="192" t="n"/>
      <c r="L4" s="106" t="inlineStr">
        <is>
          <t>A</t>
        </is>
      </c>
    </row>
    <row r="5">
      <c r="A5" s="31" t="n">
        <v>3</v>
      </c>
      <c r="B5" s="164" t="n"/>
      <c r="C5" s="164" t="n"/>
      <c r="D5" s="164" t="n"/>
      <c r="E5" s="164" t="n"/>
      <c r="F5" s="164" t="n"/>
      <c r="G5" s="164" t="n"/>
      <c r="H5" s="167" t="n"/>
      <c r="I5" s="192" t="n"/>
      <c r="L5" s="106" t="inlineStr">
        <is>
          <t>Q</t>
        </is>
      </c>
    </row>
    <row r="6">
      <c r="A6" s="31" t="n">
        <v>4</v>
      </c>
      <c r="B6" s="164" t="n"/>
      <c r="C6" s="164" t="n"/>
      <c r="D6" s="164" t="n"/>
      <c r="E6" s="164" t="n"/>
      <c r="F6" s="164" t="n"/>
      <c r="G6" s="164" t="n"/>
      <c r="H6" s="167" t="n"/>
      <c r="I6" s="192" t="n"/>
      <c r="L6" s="106" t="inlineStr">
        <is>
          <t>M</t>
        </is>
      </c>
    </row>
    <row r="7">
      <c r="A7" s="31" t="n">
        <v>5</v>
      </c>
      <c r="B7" s="164" t="n"/>
      <c r="C7" s="164" t="n"/>
      <c r="D7" s="164" t="n"/>
      <c r="E7" s="164" t="n"/>
      <c r="F7" s="164" t="n"/>
      <c r="G7" s="164" t="n"/>
      <c r="H7" s="167" t="n"/>
      <c r="I7" s="192" t="n"/>
      <c r="L7" s="106" t="inlineStr">
        <is>
          <t>F</t>
        </is>
      </c>
    </row>
    <row r="8">
      <c r="A8" s="31" t="n">
        <v>6</v>
      </c>
      <c r="B8" s="164" t="n"/>
      <c r="C8" s="164" t="n"/>
      <c r="D8" s="164" t="n"/>
      <c r="E8" s="164" t="n"/>
      <c r="F8" s="164" t="n"/>
      <c r="G8" s="164" t="n"/>
      <c r="H8" s="167" t="n"/>
      <c r="I8" s="192" t="n"/>
      <c r="L8" s="106" t="inlineStr">
        <is>
          <t>P</t>
        </is>
      </c>
    </row>
    <row r="9">
      <c r="A9" s="31" t="n">
        <v>7</v>
      </c>
      <c r="B9" s="164" t="n"/>
      <c r="C9" s="164" t="n"/>
      <c r="D9" s="164" t="n"/>
      <c r="E9" s="164" t="n"/>
      <c r="F9" s="164" t="n"/>
      <c r="G9" s="164" t="n"/>
      <c r="H9" s="167" t="n"/>
      <c r="I9" s="192" t="n"/>
      <c r="L9" s="106" t="inlineStr">
        <is>
          <t>L</t>
        </is>
      </c>
    </row>
    <row r="10">
      <c r="A10" s="31" t="n">
        <v>8</v>
      </c>
      <c r="B10" s="164" t="n"/>
      <c r="C10" s="164" t="n"/>
      <c r="D10" s="164" t="n"/>
      <c r="E10" s="164" t="n"/>
      <c r="F10" s="164" t="n"/>
      <c r="G10" s="164" t="n"/>
      <c r="H10" s="167" t="n"/>
      <c r="I10" s="192" t="n"/>
      <c r="L10" s="106" t="inlineStr">
        <is>
          <t>OT</t>
        </is>
      </c>
    </row>
    <row r="11">
      <c r="A11" s="31" t="n">
        <v>9</v>
      </c>
      <c r="B11" s="164" t="n"/>
      <c r="C11" s="164" t="n"/>
      <c r="D11" s="164" t="n"/>
      <c r="E11" s="164" t="n"/>
      <c r="F11" s="164" t="n"/>
      <c r="G11" s="164" t="n"/>
      <c r="H11" s="167" t="n"/>
      <c r="I11" s="192" t="n"/>
    </row>
    <row r="12">
      <c r="A12" s="31" t="n">
        <v>10</v>
      </c>
      <c r="B12" s="164" t="n"/>
      <c r="C12" s="164" t="n"/>
      <c r="D12" s="164" t="n"/>
      <c r="E12" s="164" t="n"/>
      <c r="F12" s="164" t="n"/>
      <c r="G12" s="164" t="n"/>
      <c r="H12" s="167" t="n"/>
      <c r="I12" s="192" t="n"/>
    </row>
    <row r="13">
      <c r="A13" s="31" t="n">
        <v>11</v>
      </c>
      <c r="B13" s="164" t="n"/>
      <c r="C13" s="164" t="n"/>
      <c r="D13" s="164" t="n"/>
      <c r="E13" s="164" t="n"/>
      <c r="F13" s="164" t="n"/>
      <c r="G13" s="164" t="n"/>
      <c r="H13" s="167" t="n"/>
      <c r="I13" s="192" t="n"/>
    </row>
    <row r="14">
      <c r="A14" s="31" t="n">
        <v>12</v>
      </c>
      <c r="B14" s="164" t="n"/>
      <c r="C14" s="164" t="n"/>
      <c r="D14" s="164" t="n"/>
      <c r="E14" s="164" t="n"/>
      <c r="F14" s="164" t="n"/>
      <c r="G14" s="164" t="n"/>
      <c r="H14" s="167" t="n"/>
      <c r="I14" s="192" t="n"/>
    </row>
    <row r="15">
      <c r="A15" s="31" t="n">
        <v>13</v>
      </c>
      <c r="B15" s="164" t="n"/>
      <c r="C15" s="164" t="n"/>
      <c r="D15" s="164" t="n"/>
      <c r="E15" s="164" t="n"/>
      <c r="F15" s="164" t="n"/>
      <c r="G15" s="164" t="n"/>
      <c r="H15" s="167" t="n"/>
      <c r="I15" s="192" t="n"/>
    </row>
    <row r="16">
      <c r="A16" s="31" t="n">
        <v>14</v>
      </c>
      <c r="B16" s="164" t="n"/>
      <c r="C16" s="164" t="n"/>
      <c r="D16" s="164" t="n"/>
      <c r="E16" s="164" t="n"/>
      <c r="F16" s="164" t="n"/>
      <c r="G16" s="164" t="n"/>
      <c r="H16" s="167" t="n"/>
      <c r="I16" s="192" t="n"/>
    </row>
    <row r="17">
      <c r="A17" s="31" t="n">
        <v>15</v>
      </c>
      <c r="B17" s="164" t="n"/>
      <c r="C17" s="164" t="n"/>
      <c r="D17" s="164" t="n"/>
      <c r="E17" s="164" t="n"/>
      <c r="F17" s="164" t="n"/>
      <c r="G17" s="164" t="n"/>
      <c r="H17" s="167" t="n"/>
      <c r="I17" s="192" t="n"/>
    </row>
    <row r="18">
      <c r="A18" s="31" t="n">
        <v>16</v>
      </c>
      <c r="B18" s="164" t="n"/>
      <c r="C18" s="164" t="n"/>
      <c r="D18" s="164" t="n"/>
      <c r="E18" s="164" t="n"/>
      <c r="F18" s="164" t="n"/>
      <c r="G18" s="164" t="n"/>
      <c r="H18" s="167" t="n"/>
      <c r="I18" s="192" t="n"/>
    </row>
    <row r="19">
      <c r="A19" s="31" t="n">
        <v>17</v>
      </c>
      <c r="B19" s="164" t="n"/>
      <c r="C19" s="164" t="n"/>
      <c r="D19" s="164" t="n"/>
      <c r="E19" s="164" t="n"/>
      <c r="F19" s="164" t="n"/>
      <c r="G19" s="164" t="n"/>
      <c r="H19" s="167" t="n"/>
      <c r="I19" s="192" t="n"/>
    </row>
    <row r="20">
      <c r="A20" s="31" t="n">
        <v>18</v>
      </c>
      <c r="B20" s="164" t="n"/>
      <c r="C20" s="164" t="n"/>
      <c r="D20" s="164" t="n"/>
      <c r="E20" s="164" t="n"/>
      <c r="F20" s="164" t="n"/>
      <c r="G20" s="164" t="n"/>
      <c r="H20" s="167" t="n"/>
      <c r="I20" s="192" t="n"/>
    </row>
    <row r="21">
      <c r="A21" s="31" t="n">
        <v>19</v>
      </c>
      <c r="B21" s="164" t="n"/>
      <c r="C21" s="164" t="n"/>
      <c r="D21" s="164" t="n"/>
      <c r="E21" s="164" t="n"/>
      <c r="F21" s="164" t="n"/>
      <c r="G21" s="164" t="n"/>
      <c r="H21" s="167" t="n"/>
      <c r="I21" s="192" t="n"/>
    </row>
    <row r="22">
      <c r="A22" s="31" t="n">
        <v>20</v>
      </c>
      <c r="B22" s="164" t="n"/>
      <c r="C22" s="164" t="n"/>
      <c r="D22" s="164" t="n"/>
      <c r="E22" s="164" t="n"/>
      <c r="F22" s="164" t="n"/>
      <c r="G22" s="164" t="n"/>
      <c r="H22" s="167" t="n"/>
      <c r="I22" s="192" t="n"/>
    </row>
    <row r="23">
      <c r="A23" s="33" t="n">
        <v>21</v>
      </c>
      <c r="B23" s="164" t="n"/>
      <c r="C23" s="164" t="n"/>
      <c r="D23" s="164" t="n"/>
      <c r="E23" s="164" t="n"/>
      <c r="F23" s="164" t="n"/>
      <c r="G23" s="164" t="n"/>
      <c r="H23" s="167" t="n"/>
      <c r="I23" s="192" t="n"/>
    </row>
    <row r="24">
      <c r="A24" s="33" t="n">
        <v>22</v>
      </c>
      <c r="B24" s="164" t="n"/>
      <c r="C24" s="164" t="n"/>
      <c r="D24" s="164" t="n"/>
      <c r="E24" s="164" t="n"/>
      <c r="F24" s="164" t="n"/>
      <c r="G24" s="164" t="n"/>
      <c r="H24" s="167" t="n"/>
      <c r="I24" s="192" t="n"/>
    </row>
    <row r="25">
      <c r="A25" s="33" t="n">
        <v>23</v>
      </c>
      <c r="B25" s="164" t="n"/>
      <c r="C25" s="164" t="n"/>
      <c r="D25" s="164" t="n"/>
      <c r="E25" s="164" t="n"/>
      <c r="F25" s="164" t="n"/>
      <c r="G25" s="164" t="n"/>
      <c r="H25" s="167" t="n"/>
      <c r="I25" s="192" t="n"/>
    </row>
    <row r="26">
      <c r="A26" s="33" t="n">
        <v>24</v>
      </c>
      <c r="B26" s="164" t="n"/>
      <c r="C26" s="164" t="n"/>
      <c r="D26" s="164" t="n"/>
      <c r="E26" s="164" t="n"/>
      <c r="F26" s="164" t="n"/>
      <c r="G26" s="164" t="n"/>
      <c r="H26" s="167" t="n"/>
      <c r="I26" s="192" t="n"/>
    </row>
    <row r="27">
      <c r="A27" s="33" t="n">
        <v>25</v>
      </c>
      <c r="B27" s="164" t="n"/>
      <c r="C27" s="164" t="n"/>
      <c r="D27" s="164" t="n"/>
      <c r="E27" s="164" t="n"/>
      <c r="F27" s="164" t="n"/>
      <c r="G27" s="164" t="n"/>
      <c r="H27" s="167" t="n"/>
      <c r="I27" s="192" t="n"/>
    </row>
    <row r="28">
      <c r="A28" s="33" t="n">
        <v>26</v>
      </c>
      <c r="B28" s="164" t="n"/>
      <c r="C28" s="164" t="n"/>
      <c r="D28" s="164" t="n"/>
      <c r="E28" s="164" t="n"/>
      <c r="F28" s="164" t="n"/>
      <c r="G28" s="164" t="n"/>
      <c r="H28" s="167" t="n"/>
      <c r="I28" s="192" t="n"/>
    </row>
    <row r="29">
      <c r="A29" s="33" t="n">
        <v>27</v>
      </c>
      <c r="B29" s="164" t="n"/>
      <c r="C29" s="164" t="n"/>
      <c r="D29" s="164" t="n"/>
      <c r="E29" s="164" t="n"/>
      <c r="F29" s="164" t="n"/>
      <c r="G29" s="164" t="n"/>
      <c r="H29" s="167" t="n"/>
      <c r="I29" s="192" t="n"/>
    </row>
    <row r="30">
      <c r="A30" s="33" t="n">
        <v>28</v>
      </c>
      <c r="B30" s="164" t="n"/>
      <c r="C30" s="164" t="n"/>
      <c r="D30" s="164" t="n"/>
      <c r="E30" s="164" t="n"/>
      <c r="F30" s="164" t="n"/>
      <c r="G30" s="164" t="n"/>
      <c r="H30" s="167" t="n"/>
      <c r="I30" s="192" t="n"/>
    </row>
    <row r="31">
      <c r="A31" s="33" t="n">
        <v>29</v>
      </c>
      <c r="B31" s="164" t="n"/>
      <c r="C31" s="164" t="n"/>
      <c r="D31" s="164" t="n"/>
      <c r="E31" s="164" t="n"/>
      <c r="F31" s="164" t="n"/>
      <c r="G31" s="164" t="n"/>
      <c r="H31" s="167" t="n"/>
      <c r="I31" s="192" t="n"/>
    </row>
    <row r="32">
      <c r="A32" s="33" t="n">
        <v>30</v>
      </c>
      <c r="B32" s="164" t="n"/>
      <c r="C32" s="164" t="n"/>
      <c r="D32" s="164" t="n"/>
      <c r="E32" s="164" t="n"/>
      <c r="F32" s="164" t="n"/>
      <c r="G32" s="164" t="n"/>
      <c r="H32" s="167" t="n"/>
      <c r="I32" s="192" t="n"/>
    </row>
    <row r="33">
      <c r="A33" s="33" t="n">
        <v>31</v>
      </c>
      <c r="B33" s="164" t="n"/>
      <c r="C33" s="164" t="n"/>
      <c r="D33" s="164" t="n"/>
      <c r="E33" s="164" t="n"/>
      <c r="F33" s="164" t="n"/>
      <c r="G33" s="164" t="n"/>
      <c r="H33" s="167" t="n"/>
      <c r="I33" s="192" t="n"/>
    </row>
    <row r="34">
      <c r="A34" s="33" t="n">
        <v>32</v>
      </c>
      <c r="B34" s="164" t="n"/>
      <c r="C34" s="164" t="n"/>
      <c r="D34" s="164" t="n"/>
      <c r="E34" s="164" t="n"/>
      <c r="F34" s="164" t="n"/>
      <c r="G34" s="164" t="n"/>
      <c r="H34" s="167" t="n"/>
      <c r="I34" s="192" t="n"/>
    </row>
    <row r="35">
      <c r="A35" s="33" t="n">
        <v>33</v>
      </c>
      <c r="B35" s="164" t="n"/>
      <c r="C35" s="164" t="n"/>
      <c r="D35" s="164" t="n"/>
      <c r="E35" s="164" t="n"/>
      <c r="F35" s="164" t="n"/>
      <c r="G35" s="164" t="n"/>
      <c r="H35" s="167" t="n"/>
      <c r="I35" s="192" t="n"/>
    </row>
    <row r="36">
      <c r="A36" s="33" t="n">
        <v>34</v>
      </c>
      <c r="B36" s="164" t="n"/>
      <c r="C36" s="164" t="n"/>
      <c r="D36" s="164" t="n"/>
      <c r="E36" s="164" t="n"/>
      <c r="F36" s="164" t="n"/>
      <c r="G36" s="164" t="n"/>
      <c r="H36" s="167" t="n"/>
      <c r="I36" s="192" t="n"/>
    </row>
    <row r="37">
      <c r="A37" s="33" t="n">
        <v>35</v>
      </c>
      <c r="B37" s="164" t="n"/>
      <c r="C37" s="164" t="n"/>
      <c r="D37" s="164" t="n"/>
      <c r="E37" s="164" t="n"/>
      <c r="F37" s="164" t="n"/>
      <c r="G37" s="164" t="n"/>
      <c r="H37" s="167" t="n"/>
      <c r="I37" s="192" t="n"/>
    </row>
    <row r="38">
      <c r="A38" s="33" t="n">
        <v>36</v>
      </c>
      <c r="B38" s="164" t="n"/>
      <c r="C38" s="164" t="n"/>
      <c r="D38" s="164" t="n"/>
      <c r="E38" s="164" t="n"/>
      <c r="F38" s="164" t="n"/>
      <c r="G38" s="164" t="n"/>
      <c r="H38" s="167" t="n"/>
      <c r="I38" s="192" t="n"/>
    </row>
    <row r="39">
      <c r="A39" s="33" t="n">
        <v>37</v>
      </c>
      <c r="B39" s="164" t="n"/>
      <c r="C39" s="164" t="n"/>
      <c r="D39" s="164" t="n"/>
      <c r="E39" s="164" t="n"/>
      <c r="F39" s="164" t="n"/>
      <c r="G39" s="164" t="n"/>
      <c r="H39" s="167" t="n"/>
      <c r="I39" s="192" t="n"/>
    </row>
    <row r="40">
      <c r="A40" s="33" t="n">
        <v>38</v>
      </c>
      <c r="B40" s="164" t="n"/>
      <c r="C40" s="164" t="n"/>
      <c r="D40" s="164" t="n"/>
      <c r="E40" s="164" t="n"/>
      <c r="F40" s="164" t="n"/>
      <c r="G40" s="164" t="n"/>
      <c r="H40" s="167" t="n"/>
      <c r="I40" s="192" t="n"/>
    </row>
    <row r="41">
      <c r="A41" s="33" t="n">
        <v>39</v>
      </c>
      <c r="B41" s="164" t="n"/>
      <c r="C41" s="164" t="n"/>
      <c r="D41" s="164" t="n"/>
      <c r="E41" s="164" t="n"/>
      <c r="F41" s="164" t="n"/>
      <c r="G41" s="164" t="n"/>
      <c r="H41" s="167" t="n"/>
      <c r="I41" s="192" t="n"/>
    </row>
    <row r="42" ht="15.75" customHeight="1" thickBot="1">
      <c r="A42" s="33" t="n">
        <v>40</v>
      </c>
      <c r="B42" s="164" t="n"/>
      <c r="C42" s="164" t="n"/>
      <c r="D42" s="164" t="n"/>
      <c r="E42" s="164" t="n"/>
      <c r="F42" s="164" t="n"/>
      <c r="G42" s="164" t="n"/>
      <c r="H42" s="167" t="n"/>
      <c r="I42" s="193" t="n"/>
    </row>
    <row r="43" ht="15.75" customHeight="1" thickTop="1">
      <c r="A43" s="34" t="inlineStr">
        <is>
          <t>Average</t>
        </is>
      </c>
      <c r="B43" s="168">
        <f>AVERAGE(B3:B42)</f>
        <v/>
      </c>
      <c r="C43" s="168">
        <f>AVERAGE(C3:C42)</f>
        <v/>
      </c>
      <c r="D43" s="168">
        <f>AVERAGE(D3:D42)</f>
        <v/>
      </c>
      <c r="E43" s="168">
        <f>AVERAGE(E3:E42)</f>
        <v/>
      </c>
      <c r="F43" s="168">
        <f>AVERAGE(F3:F42)</f>
        <v/>
      </c>
      <c r="G43" s="168">
        <f>AVERAGE(G3:G42)</f>
        <v/>
      </c>
      <c r="H43" s="168">
        <f>AVERAGE(H3:H42)</f>
        <v/>
      </c>
      <c r="I43" s="35" t="n"/>
    </row>
    <row r="44">
      <c r="A44" s="36" t="inlineStr">
        <is>
          <t>Overall Average</t>
        </is>
      </c>
      <c r="B44" s="169">
        <f>AVERAGEIF(B43:H43, "&lt;&gt;#DIV/0!")</f>
        <v/>
      </c>
      <c r="C44" s="169" t="n"/>
      <c r="D44" s="169" t="n"/>
      <c r="E44" s="169" t="n"/>
      <c r="F44" s="169" t="n"/>
      <c r="G44" s="169" t="n"/>
      <c r="H44" s="169" t="n"/>
      <c r="I44" s="31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>
        <f>COUNTIF(H3:H42, "&lt;&gt;")</f>
        <v/>
      </c>
      <c r="I45" s="31" t="n"/>
    </row>
    <row r="47">
      <c r="B47" s="91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99" t="inlineStr">
        <is>
          <t>I (1st, 2nd yr)</t>
        </is>
      </c>
      <c r="B48" s="13">
        <f>COUNTIF($B$2:$C$2, "A")</f>
        <v/>
      </c>
      <c r="C48" s="13">
        <f>COUNTIF($B$2:$C$2, "Q")</f>
        <v/>
      </c>
      <c r="D48" s="13">
        <f>COUNTIF($B$2:$C$2, "M")</f>
        <v/>
      </c>
      <c r="E48" s="13">
        <f>COUNTIF($B$2:$C$2, "F")</f>
        <v/>
      </c>
      <c r="F48" s="13">
        <f>COUNTIF($B$2:$C$2, "P")</f>
        <v/>
      </c>
      <c r="G48" s="13">
        <f>COUNTIF($B$2:$C$2, "L")</f>
        <v/>
      </c>
      <c r="H48" s="13">
        <f>COUNTIF($B$2:$C$2, "OT")</f>
        <v/>
      </c>
      <c r="I48" s="9">
        <f>SUM(B48:H48)</f>
        <v/>
      </c>
    </row>
    <row r="49">
      <c r="A49" s="100" t="inlineStr">
        <is>
          <t>D (2nd &amp; 3rd yr)</t>
        </is>
      </c>
      <c r="B49" s="13">
        <f>COUNTIF($D$2, "A")</f>
        <v/>
      </c>
      <c r="C49" s="13">
        <f>COUNTIF($D$2, "Q")</f>
        <v/>
      </c>
      <c r="D49" s="13">
        <f>COUNTIF($D$2, "M")</f>
        <v/>
      </c>
      <c r="E49" s="13">
        <f>COUNTIF($D$2, "F")</f>
        <v/>
      </c>
      <c r="F49" s="13">
        <f>COUNTIF($D$2, "P")</f>
        <v/>
      </c>
      <c r="G49" s="13">
        <f>COUNTIF($D$2, "L")</f>
        <v/>
      </c>
      <c r="H49" s="13">
        <f>COUNTIF($D$2, "OT")</f>
        <v/>
      </c>
      <c r="I49" s="9">
        <f>SUM(B49:H49)</f>
        <v/>
      </c>
    </row>
    <row r="50">
      <c r="A50" s="101" t="inlineStr">
        <is>
          <t>A (3rd, 4yr)</t>
        </is>
      </c>
      <c r="B50" s="13">
        <f>COUNTIF($E$2:$H$2, "A")</f>
        <v/>
      </c>
      <c r="C50" s="13">
        <f>COUNTIF($E$2:$H$2, "Q")</f>
        <v/>
      </c>
      <c r="D50" s="13">
        <f>COUNTIF($E$2:$H$2, "M")</f>
        <v/>
      </c>
      <c r="E50" s="13">
        <f>COUNTIF($E$2:$H$2, "F")</f>
        <v/>
      </c>
      <c r="F50" s="13">
        <f>COUNTIF($E$2:$H$2, "P")</f>
        <v/>
      </c>
      <c r="G50" s="13">
        <f>COUNTIF($E$2:$H$2, "L")</f>
        <v/>
      </c>
      <c r="H50" s="13">
        <f>COUNTIF($E$2:$H$2, "OT")</f>
        <v/>
      </c>
      <c r="I50" s="9">
        <f>SUM(B50:H50)</f>
        <v/>
      </c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SUM(B51:H51)</f>
        <v/>
      </c>
    </row>
    <row r="52">
      <c r="A52" s="86" t="n"/>
      <c r="B52" s="25" t="n"/>
      <c r="C52" s="25" t="n"/>
      <c r="D52" s="25" t="n"/>
      <c r="E52" s="25" t="n"/>
      <c r="F52" s="25" t="n"/>
      <c r="G52" s="25" t="n"/>
      <c r="H52" s="25" t="n"/>
      <c r="J52" s="25" t="n"/>
    </row>
    <row r="53" ht="18.75" customHeight="1" thickBot="1">
      <c r="A53" s="24" t="inlineStr">
        <is>
          <t>Frequency Distribution Analysis</t>
        </is>
      </c>
    </row>
    <row r="54" ht="16.5" customHeight="1" thickBot="1">
      <c r="A54" s="109" t="inlineStr">
        <is>
          <t>Scale</t>
        </is>
      </c>
      <c r="B54" s="155" t="inlineStr">
        <is>
          <t>ENGR-1100-2</t>
        </is>
      </c>
      <c r="C54" s="155" t="inlineStr">
        <is>
          <t>ENGR-1200-7</t>
        </is>
      </c>
      <c r="D54" s="163" t="inlineStr">
        <is>
          <t>ENGR-3300-1</t>
        </is>
      </c>
      <c r="E54" s="30" t="inlineStr">
        <is>
          <t>SENG-3120-3</t>
        </is>
      </c>
      <c r="F54" s="30" t="inlineStr">
        <is>
          <t>SENG-3210-4</t>
        </is>
      </c>
      <c r="G54" s="30" t="inlineStr">
        <is>
          <t>SENG-4100-4</t>
        </is>
      </c>
      <c r="H54" s="30" t="inlineStr">
        <is>
          <t>SENG-4100-8</t>
        </is>
      </c>
      <c r="I54" s="40" t="inlineStr">
        <is>
          <t>Average</t>
        </is>
      </c>
    </row>
    <row r="55" ht="16.5" customHeight="1" thickBot="1">
      <c r="A55" s="110" t="inlineStr">
        <is>
          <t>Below Expectation (C- and below)  (%)</t>
        </is>
      </c>
      <c r="B55" s="115">
        <f>(COUNTIF(B3:B42, "&lt;=59%"))/B45</f>
        <v/>
      </c>
      <c r="C55" s="115">
        <f>(COUNTIF(C3:C42, "&lt;=59%"))/C45</f>
        <v/>
      </c>
      <c r="D55" s="115">
        <f>(COUNTIF(D3:D42, "&lt;=59%"))/D45</f>
        <v/>
      </c>
      <c r="E55" s="115">
        <f>(COUNTIF(E3:E42, "&lt;=59%"))/E45</f>
        <v/>
      </c>
      <c r="F55" s="115">
        <f>(COUNTIF(F3:F42, "&lt;=59%"))/F45</f>
        <v/>
      </c>
      <c r="G55" s="115">
        <f>(COUNTIF(G3:G42, "&lt;=59%"))/G45</f>
        <v/>
      </c>
      <c r="H55" s="115">
        <f>(COUNTIF(H3:H42, "&lt;=59%"))/H45</f>
        <v/>
      </c>
      <c r="I55" s="41">
        <f>AVERAGEIF(B55:H55, "&lt;&gt;#DIV/0!")</f>
        <v/>
      </c>
    </row>
    <row r="56" ht="16.5" customHeight="1" thickBot="1">
      <c r="A56" s="111" t="inlineStr">
        <is>
          <t>Marginal (C+, C)  (%)</t>
        </is>
      </c>
      <c r="B56" s="118">
        <f>(COUNTIFS(B3:B42, "&gt;= 60%", B3:B42, "&lt;=69%" ))/B45</f>
        <v/>
      </c>
      <c r="C56" s="118">
        <f>(COUNTIFS(C3:C42, "&gt;= 60%", C3:C42, "&lt;=69%" ))/C45</f>
        <v/>
      </c>
      <c r="D56" s="118">
        <f>(COUNTIFS(D3:D42, "&gt;= 60%", D3:D42, "&lt;=69%" ))/D45</f>
        <v/>
      </c>
      <c r="E56" s="118">
        <f>(COUNTIFS(E3:E42, "&gt;= 60%", E3:E42, "&lt;=69%" ))/E45</f>
        <v/>
      </c>
      <c r="F56" s="118">
        <f>(COUNTIFS(F3:F42, "&gt;= 60%", F3:F42, "&lt;=69%" ))/F45</f>
        <v/>
      </c>
      <c r="G56" s="118">
        <f>(COUNTIFS(G3:G42, "&gt;= 60%", G3:G42, "&lt;=69%" ))/G45</f>
        <v/>
      </c>
      <c r="H56" s="118">
        <f>(COUNTIFS(H3:H42, "&gt;= 60%", H3:H42, "&lt;=69%" ))/H45</f>
        <v/>
      </c>
      <c r="I56" s="41">
        <f>AVERAGEIF(B56:H56, "&lt;&gt;#DIV/0!")</f>
        <v/>
      </c>
    </row>
    <row r="57" ht="16.5" customHeight="1" thickBot="1">
      <c r="A57" s="112" t="inlineStr">
        <is>
          <t>Meets Expectation (B+, B, B-) (%)</t>
        </is>
      </c>
      <c r="B57" s="118">
        <f>(COUNTIFS(B3:B42, "&gt;= 70%", B3:B42, "&lt;=79%" ))/B45</f>
        <v/>
      </c>
      <c r="C57" s="118">
        <f>(COUNTIFS(C3:C42, "&gt;= 70%", C3:C42, "&lt;=79%" ))/C45</f>
        <v/>
      </c>
      <c r="D57" s="118">
        <f>(COUNTIFS(D3:D42, "&gt;= 70%", D3:D42, "&lt;=79%" ))/D45</f>
        <v/>
      </c>
      <c r="E57" s="118">
        <f>(COUNTIFS(E3:E42, "&gt;= 70%", E3:E42, "&lt;=79%" ))/E45</f>
        <v/>
      </c>
      <c r="F57" s="118">
        <f>(COUNTIFS(F3:F42, "&gt;= 70%", F3:F42, "&lt;=79%" ))/F45</f>
        <v/>
      </c>
      <c r="G57" s="118">
        <f>(COUNTIFS(G3:G42, "&gt;= 70%", G3:G42, "&lt;=79%" ))/G45</f>
        <v/>
      </c>
      <c r="H57" s="118">
        <f>(COUNTIFS(H3:H42, "&gt;= 70%", H3:H42, "&lt;=79%" ))/H45</f>
        <v/>
      </c>
      <c r="I57" s="41">
        <f>AVERAGEIF(B57:H57, "&lt;&gt;#DIV/0!")</f>
        <v/>
      </c>
    </row>
    <row r="58" ht="16.5" customHeight="1" thickBot="1">
      <c r="A58" s="113" t="inlineStr">
        <is>
          <t>Exceeds Expectation (A+, A, A-) (%)</t>
        </is>
      </c>
      <c r="B58" s="118">
        <f>(COUNTIF(B3:B42,"&gt;= 80%")/B45)</f>
        <v/>
      </c>
      <c r="C58" s="118">
        <f>(COUNTIF(C3:C42,"&gt;= 80%")/C45)</f>
        <v/>
      </c>
      <c r="D58" s="118">
        <f>(COUNTIF(D3:D42,"&gt;= 80%")/D45)</f>
        <v/>
      </c>
      <c r="E58" s="118">
        <f>(COUNTIF(E3:E42,"&gt;= 80%")/E45)</f>
        <v/>
      </c>
      <c r="F58" s="118">
        <f>(COUNTIF(F3:F42,"&gt;= 80%")/F45)</f>
        <v/>
      </c>
      <c r="G58" s="118">
        <f>(COUNTIF(G3:G42,"&gt;= 80%")/G45)</f>
        <v/>
      </c>
      <c r="H58" s="118">
        <f>(COUNTIF(H3:H42,"&gt;= 80%")/H45)</f>
        <v/>
      </c>
      <c r="I58" s="41">
        <f>AVERAGEIF(B58:H58, "&lt;&gt;#DIV/0!")</f>
        <v/>
      </c>
    </row>
    <row r="59" ht="16.5" customHeight="1" thickBot="1" thickTop="1">
      <c r="A59" s="114" t="n"/>
      <c r="B59" s="89">
        <f>SUMIF(B55:B58, "&lt;&gt;#DIV/0!")</f>
        <v/>
      </c>
      <c r="C59" s="39">
        <f>SUMIF(C55:C58, "&lt;&gt;#DIV/0!")</f>
        <v/>
      </c>
      <c r="D59" s="39">
        <f>SUMIF(D55:D58, "&lt;&gt;#DIV/0!")</f>
        <v/>
      </c>
      <c r="E59" s="39">
        <f>SUMIF(E55:E58, "&lt;&gt;#DIV/0!")</f>
        <v/>
      </c>
      <c r="F59" s="39">
        <f>SUMIF(F55:F58, "&lt;&gt;#DIV/0!")</f>
        <v/>
      </c>
      <c r="G59" s="39">
        <f>SUMIF(G55:G58, "&lt;&gt;#DIV/0!")</f>
        <v/>
      </c>
      <c r="H59" s="39">
        <f>SUMIF(H55:H58, "&lt;&gt;#DIV/0!")</f>
        <v/>
      </c>
      <c r="I59" s="39">
        <f>SUMIF(I55:I58, "&lt;&gt;#DIV/0!")</f>
        <v/>
      </c>
    </row>
    <row r="60" ht="15.75" customHeight="1" thickBot="1"/>
    <row r="61" ht="15.75" customHeight="1" thickBot="1">
      <c r="A61" s="25" t="n"/>
      <c r="B61" s="42" t="inlineStr">
        <is>
          <t>Class Limit</t>
        </is>
      </c>
      <c r="C61" s="42" t="inlineStr">
        <is>
          <t>Bin</t>
        </is>
      </c>
    </row>
    <row r="62" ht="16.5" customHeight="1" thickBot="1">
      <c r="A62" s="38" t="inlineStr">
        <is>
          <t>Exceeds Expectation (A+, A, A-) (%)</t>
        </is>
      </c>
      <c r="B62" s="44" t="inlineStr">
        <is>
          <t>80-100</t>
        </is>
      </c>
      <c r="C62" s="43" t="n">
        <v>100</v>
      </c>
    </row>
    <row r="63" ht="16.5" customHeight="1" thickBot="1">
      <c r="A63" s="38" t="inlineStr">
        <is>
          <t>Meets Expectation (B+, B, B-) (%)</t>
        </is>
      </c>
      <c r="B63" s="44" t="inlineStr">
        <is>
          <t>70-79</t>
        </is>
      </c>
      <c r="C63" s="43" t="n">
        <v>79</v>
      </c>
    </row>
    <row r="64" ht="16.5" customHeight="1" thickBot="1">
      <c r="A64" s="38" t="inlineStr">
        <is>
          <t>Marginal (C+, C)  (%)</t>
        </is>
      </c>
      <c r="B64" s="44" t="inlineStr">
        <is>
          <t>60-69</t>
        </is>
      </c>
      <c r="C64" s="43" t="n">
        <v>69</v>
      </c>
    </row>
    <row r="65" ht="16.5" customHeight="1" thickBot="1">
      <c r="A65" s="38" t="inlineStr">
        <is>
          <t>Below Expectation (C- and below)  (%)</t>
        </is>
      </c>
      <c r="B65" s="44" t="inlineStr">
        <is>
          <t>0-59</t>
        </is>
      </c>
      <c r="C65" s="43" t="n">
        <v>59</v>
      </c>
    </row>
  </sheetData>
  <mergeCells count="1">
    <mergeCell ref="I3:I42"/>
  </mergeCells>
  <conditionalFormatting sqref="B3:H23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29" operator="greaterThanOrEqual" dxfId="3">
      <formula>80</formula>
    </cfRule>
    <cfRule type="containsBlanks" priority="1130" dxfId="4" stopIfTrue="1">
      <formula>LEN(TRIM(B3))=0</formula>
    </cfRule>
    <cfRule type="cellIs" priority="1131" operator="greaterThanOrEqual" dxfId="3">
      <formula>80</formula>
    </cfRule>
    <cfRule type="cellIs" priority="1132" operator="between" dxfId="2">
      <formula>70</formula>
      <formula>79</formula>
    </cfRule>
    <cfRule type="cellIs" priority="1133" operator="between" dxfId="1">
      <formula>60</formula>
      <formula>69</formula>
    </cfRule>
    <cfRule type="cellIs" priority="1134" operator="between" dxfId="0">
      <formula>0</formula>
      <formula>59</formula>
    </cfRule>
  </conditionalFormatting>
  <conditionalFormatting sqref="B24:H24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36" operator="greaterThanOrEqual" dxfId="3">
      <formula>80</formula>
    </cfRule>
    <cfRule type="containsBlanks" priority="1137" dxfId="4" stopIfTrue="1">
      <formula>LEN(TRIM(B24))=0</formula>
    </cfRule>
    <cfRule type="cellIs" priority="1138" operator="greaterThanOrEqual" dxfId="3">
      <formula>80</formula>
    </cfRule>
    <cfRule type="cellIs" priority="1139" operator="between" dxfId="2">
      <formula>70</formula>
      <formula>79</formula>
    </cfRule>
    <cfRule type="cellIs" priority="1140" operator="between" dxfId="1">
      <formula>60</formula>
      <formula>69</formula>
    </cfRule>
    <cfRule type="cellIs" priority="1141" operator="between" dxfId="0">
      <formula>0</formula>
      <formula>59</formula>
    </cfRule>
  </conditionalFormatting>
  <conditionalFormatting sqref="B25:H25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43" operator="greaterThanOrEqual" dxfId="3">
      <formula>80</formula>
    </cfRule>
    <cfRule type="containsBlanks" priority="1144" dxfId="4" stopIfTrue="1">
      <formula>LEN(TRIM(B25))=0</formula>
    </cfRule>
    <cfRule type="cellIs" priority="1145" operator="greaterThanOrEqual" dxfId="3">
      <formula>80</formula>
    </cfRule>
    <cfRule type="cellIs" priority="1146" operator="between" dxfId="2">
      <formula>70</formula>
      <formula>79</formula>
    </cfRule>
    <cfRule type="cellIs" priority="1147" operator="between" dxfId="1">
      <formula>60</formula>
      <formula>69</formula>
    </cfRule>
    <cfRule type="cellIs" priority="1148" operator="between" dxfId="0">
      <formula>0</formula>
      <formula>59</formula>
    </cfRule>
  </conditionalFormatting>
  <conditionalFormatting sqref="B26:H26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50" operator="greaterThanOrEqual" dxfId="3">
      <formula>80</formula>
    </cfRule>
    <cfRule type="containsBlanks" priority="1151" dxfId="4" stopIfTrue="1">
      <formula>LEN(TRIM(B26))=0</formula>
    </cfRule>
    <cfRule type="cellIs" priority="1152" operator="greaterThanOrEqual" dxfId="3">
      <formula>80</formula>
    </cfRule>
    <cfRule type="cellIs" priority="1153" operator="between" dxfId="2">
      <formula>70</formula>
      <formula>79</formula>
    </cfRule>
    <cfRule type="cellIs" priority="1154" operator="between" dxfId="1">
      <formula>60</formula>
      <formula>69</formula>
    </cfRule>
    <cfRule type="cellIs" priority="1155" operator="between" dxfId="0">
      <formula>0</formula>
      <formula>59</formula>
    </cfRule>
  </conditionalFormatting>
  <conditionalFormatting sqref="B27:H27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57" operator="greaterThanOrEqual" dxfId="3">
      <formula>80</formula>
    </cfRule>
    <cfRule type="containsBlanks" priority="1158" dxfId="4" stopIfTrue="1">
      <formula>LEN(TRIM(B27))=0</formula>
    </cfRule>
    <cfRule type="cellIs" priority="1159" operator="greaterThanOrEqual" dxfId="3">
      <formula>80</formula>
    </cfRule>
    <cfRule type="cellIs" priority="1160" operator="between" dxfId="2">
      <formula>70</formula>
      <formula>79</formula>
    </cfRule>
    <cfRule type="cellIs" priority="1161" operator="between" dxfId="1">
      <formula>60</formula>
      <formula>69</formula>
    </cfRule>
    <cfRule type="cellIs" priority="1162" operator="between" dxfId="0">
      <formula>0</formula>
      <formula>59</formula>
    </cfRule>
  </conditionalFormatting>
  <conditionalFormatting sqref="B28:H28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64" operator="greaterThanOrEqual" dxfId="3">
      <formula>80</formula>
    </cfRule>
    <cfRule type="containsBlanks" priority="1165" dxfId="4" stopIfTrue="1">
      <formula>LEN(TRIM(B28))=0</formula>
    </cfRule>
    <cfRule type="cellIs" priority="1166" operator="greaterThanOrEqual" dxfId="3">
      <formula>80</formula>
    </cfRule>
    <cfRule type="cellIs" priority="1167" operator="between" dxfId="2">
      <formula>70</formula>
      <formula>79</formula>
    </cfRule>
    <cfRule type="cellIs" priority="1168" operator="between" dxfId="1">
      <formula>60</formula>
      <formula>69</formula>
    </cfRule>
    <cfRule type="cellIs" priority="1169" operator="between" dxfId="0">
      <formula>0</formula>
      <formula>59</formula>
    </cfRule>
  </conditionalFormatting>
  <conditionalFormatting sqref="B29:H29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71" operator="greaterThanOrEqual" dxfId="3">
      <formula>80</formula>
    </cfRule>
    <cfRule type="containsBlanks" priority="1172" dxfId="4" stopIfTrue="1">
      <formula>LEN(TRIM(B29))=0</formula>
    </cfRule>
    <cfRule type="cellIs" priority="1173" operator="greaterThanOrEqual" dxfId="3">
      <formula>80</formula>
    </cfRule>
    <cfRule type="cellIs" priority="1174" operator="between" dxfId="2">
      <formula>70</formula>
      <formula>79</formula>
    </cfRule>
    <cfRule type="cellIs" priority="1175" operator="between" dxfId="1">
      <formula>60</formula>
      <formula>69</formula>
    </cfRule>
    <cfRule type="cellIs" priority="1176" operator="between" dxfId="0">
      <formula>0</formula>
      <formula>59</formula>
    </cfRule>
  </conditionalFormatting>
  <conditionalFormatting sqref="B30:H30">
    <cfRule type="colorScale" priority="117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78" operator="greaterThanOrEqual" dxfId="3">
      <formula>80</formula>
    </cfRule>
    <cfRule type="containsBlanks" priority="1179" dxfId="4" stopIfTrue="1">
      <formula>LEN(TRIM(B30))=0</formula>
    </cfRule>
    <cfRule type="cellIs" priority="1180" operator="greaterThanOrEqual" dxfId="3">
      <formula>80</formula>
    </cfRule>
    <cfRule type="cellIs" priority="1181" operator="between" dxfId="2">
      <formula>70</formula>
      <formula>79</formula>
    </cfRule>
    <cfRule type="cellIs" priority="1182" operator="between" dxfId="1">
      <formula>60</formula>
      <formula>69</formula>
    </cfRule>
    <cfRule type="cellIs" priority="1183" operator="between" dxfId="0">
      <formula>0</formula>
      <formula>59</formula>
    </cfRule>
  </conditionalFormatting>
  <conditionalFormatting sqref="B31:H31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85" operator="greaterThanOrEqual" dxfId="3">
      <formula>80</formula>
    </cfRule>
    <cfRule type="containsBlanks" priority="1186" dxfId="4" stopIfTrue="1">
      <formula>LEN(TRIM(B31))=0</formula>
    </cfRule>
    <cfRule type="cellIs" priority="1187" operator="greaterThanOrEqual" dxfId="3">
      <formula>80</formula>
    </cfRule>
    <cfRule type="cellIs" priority="1188" operator="between" dxfId="2">
      <formula>70</formula>
      <formula>79</formula>
    </cfRule>
    <cfRule type="cellIs" priority="1189" operator="between" dxfId="1">
      <formula>60</formula>
      <formula>69</formula>
    </cfRule>
    <cfRule type="cellIs" priority="1190" operator="between" dxfId="0">
      <formula>0</formula>
      <formula>59</formula>
    </cfRule>
  </conditionalFormatting>
  <conditionalFormatting sqref="B32:H32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92" operator="greaterThanOrEqual" dxfId="3">
      <formula>80</formula>
    </cfRule>
    <cfRule type="containsBlanks" priority="1193" dxfId="4" stopIfTrue="1">
      <formula>LEN(TRIM(B32))=0</formula>
    </cfRule>
    <cfRule type="cellIs" priority="1194" operator="greaterThanOrEqual" dxfId="3">
      <formula>80</formula>
    </cfRule>
    <cfRule type="cellIs" priority="1195" operator="between" dxfId="2">
      <formula>70</formula>
      <formula>79</formula>
    </cfRule>
    <cfRule type="cellIs" priority="1196" operator="between" dxfId="1">
      <formula>60</formula>
      <formula>69</formula>
    </cfRule>
    <cfRule type="cellIs" priority="1197" operator="between" dxfId="0">
      <formula>0</formula>
      <formula>59</formula>
    </cfRule>
  </conditionalFormatting>
  <conditionalFormatting sqref="B33:H33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199" operator="greaterThanOrEqual" dxfId="3">
      <formula>80</formula>
    </cfRule>
    <cfRule type="containsBlanks" priority="1200" dxfId="4" stopIfTrue="1">
      <formula>LEN(TRIM(B33))=0</formula>
    </cfRule>
    <cfRule type="cellIs" priority="1201" operator="greaterThanOrEqual" dxfId="3">
      <formula>80</formula>
    </cfRule>
    <cfRule type="cellIs" priority="1202" operator="between" dxfId="2">
      <formula>70</formula>
      <formula>79</formula>
    </cfRule>
    <cfRule type="cellIs" priority="1203" operator="between" dxfId="1">
      <formula>60</formula>
      <formula>69</formula>
    </cfRule>
    <cfRule type="cellIs" priority="1204" operator="between" dxfId="0">
      <formula>0</formula>
      <formula>59</formula>
    </cfRule>
  </conditionalFormatting>
  <conditionalFormatting sqref="B34:H34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06" operator="greaterThanOrEqual" dxfId="3">
      <formula>80</formula>
    </cfRule>
    <cfRule type="containsBlanks" priority="1207" dxfId="4" stopIfTrue="1">
      <formula>LEN(TRIM(B34))=0</formula>
    </cfRule>
    <cfRule type="cellIs" priority="1208" operator="greaterThanOrEqual" dxfId="3">
      <formula>80</formula>
    </cfRule>
    <cfRule type="cellIs" priority="1209" operator="between" dxfId="2">
      <formula>70</formula>
      <formula>79</formula>
    </cfRule>
    <cfRule type="cellIs" priority="1210" operator="between" dxfId="1">
      <formula>60</formula>
      <formula>69</formula>
    </cfRule>
    <cfRule type="cellIs" priority="1211" operator="between" dxfId="0">
      <formula>0</formula>
      <formula>59</formula>
    </cfRule>
  </conditionalFormatting>
  <conditionalFormatting sqref="B35:H35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13" operator="greaterThanOrEqual" dxfId="3">
      <formula>80</formula>
    </cfRule>
    <cfRule type="containsBlanks" priority="1214" dxfId="4" stopIfTrue="1">
      <formula>LEN(TRIM(B35))=0</formula>
    </cfRule>
    <cfRule type="cellIs" priority="1215" operator="greaterThanOrEqual" dxfId="3">
      <formula>80</formula>
    </cfRule>
    <cfRule type="cellIs" priority="1216" operator="between" dxfId="2">
      <formula>70</formula>
      <formula>79</formula>
    </cfRule>
    <cfRule type="cellIs" priority="1217" operator="between" dxfId="1">
      <formula>60</formula>
      <formula>69</formula>
    </cfRule>
    <cfRule type="cellIs" priority="1218" operator="between" dxfId="0">
      <formula>0</formula>
      <formula>59</formula>
    </cfRule>
  </conditionalFormatting>
  <conditionalFormatting sqref="B36:H36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20" operator="greaterThanOrEqual" dxfId="3">
      <formula>80</formula>
    </cfRule>
    <cfRule type="containsBlanks" priority="1221" dxfId="4" stopIfTrue="1">
      <formula>LEN(TRIM(B36))=0</formula>
    </cfRule>
    <cfRule type="cellIs" priority="1222" operator="greaterThanOrEqual" dxfId="3">
      <formula>80</formula>
    </cfRule>
    <cfRule type="cellIs" priority="1223" operator="between" dxfId="2">
      <formula>70</formula>
      <formula>79</formula>
    </cfRule>
    <cfRule type="cellIs" priority="1224" operator="between" dxfId="1">
      <formula>60</formula>
      <formula>69</formula>
    </cfRule>
    <cfRule type="cellIs" priority="1225" operator="between" dxfId="0">
      <formula>0</formula>
      <formula>59</formula>
    </cfRule>
  </conditionalFormatting>
  <conditionalFormatting sqref="B37:H37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27" operator="greaterThanOrEqual" dxfId="3">
      <formula>80</formula>
    </cfRule>
    <cfRule type="containsBlanks" priority="1228" dxfId="4" stopIfTrue="1">
      <formula>LEN(TRIM(B37))=0</formula>
    </cfRule>
    <cfRule type="cellIs" priority="1229" operator="greaterThanOrEqual" dxfId="3">
      <formula>80</formula>
    </cfRule>
    <cfRule type="cellIs" priority="1230" operator="between" dxfId="2">
      <formula>70</formula>
      <formula>79</formula>
    </cfRule>
    <cfRule type="cellIs" priority="1231" operator="between" dxfId="1">
      <formula>60</formula>
      <formula>69</formula>
    </cfRule>
    <cfRule type="cellIs" priority="1232" operator="between" dxfId="0">
      <formula>0</formula>
      <formula>59</formula>
    </cfRule>
  </conditionalFormatting>
  <conditionalFormatting sqref="B38:H38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34" operator="greaterThanOrEqual" dxfId="3">
      <formula>80</formula>
    </cfRule>
    <cfRule type="containsBlanks" priority="1235" dxfId="4" stopIfTrue="1">
      <formula>LEN(TRIM(B38))=0</formula>
    </cfRule>
    <cfRule type="cellIs" priority="1236" operator="greaterThanOrEqual" dxfId="3">
      <formula>80</formula>
    </cfRule>
    <cfRule type="cellIs" priority="1237" operator="between" dxfId="2">
      <formula>70</formula>
      <formula>79</formula>
    </cfRule>
    <cfRule type="cellIs" priority="1238" operator="between" dxfId="1">
      <formula>60</formula>
      <formula>69</formula>
    </cfRule>
    <cfRule type="cellIs" priority="1239" operator="between" dxfId="0">
      <formula>0</formula>
      <formula>59</formula>
    </cfRule>
  </conditionalFormatting>
  <conditionalFormatting sqref="B39:H39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41" operator="greaterThanOrEqual" dxfId="3">
      <formula>80</formula>
    </cfRule>
    <cfRule type="containsBlanks" priority="1242" dxfId="4" stopIfTrue="1">
      <formula>LEN(TRIM(B39))=0</formula>
    </cfRule>
    <cfRule type="cellIs" priority="1243" operator="greaterThanOrEqual" dxfId="3">
      <formula>80</formula>
    </cfRule>
    <cfRule type="cellIs" priority="1244" operator="between" dxfId="2">
      <formula>70</formula>
      <formula>79</formula>
    </cfRule>
    <cfRule type="cellIs" priority="1245" operator="between" dxfId="1">
      <formula>60</formula>
      <formula>69</formula>
    </cfRule>
    <cfRule type="cellIs" priority="1246" operator="between" dxfId="0">
      <formula>0</formula>
      <formula>59</formula>
    </cfRule>
  </conditionalFormatting>
  <conditionalFormatting sqref="B40:H40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48" operator="greaterThanOrEqual" dxfId="3">
      <formula>80</formula>
    </cfRule>
    <cfRule type="containsBlanks" priority="1249" dxfId="4" stopIfTrue="1">
      <formula>LEN(TRIM(B40))=0</formula>
    </cfRule>
    <cfRule type="cellIs" priority="1250" operator="greaterThanOrEqual" dxfId="3">
      <formula>80</formula>
    </cfRule>
    <cfRule type="cellIs" priority="1251" operator="between" dxfId="2">
      <formula>70</formula>
      <formula>79</formula>
    </cfRule>
    <cfRule type="cellIs" priority="1252" operator="between" dxfId="1">
      <formula>60</formula>
      <formula>69</formula>
    </cfRule>
    <cfRule type="cellIs" priority="1253" operator="between" dxfId="0">
      <formula>0</formula>
      <formula>59</formula>
    </cfRule>
  </conditionalFormatting>
  <conditionalFormatting sqref="B41:H41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55" operator="greaterThanOrEqual" dxfId="3">
      <formula>80</formula>
    </cfRule>
    <cfRule type="containsBlanks" priority="1256" dxfId="4" stopIfTrue="1">
      <formula>LEN(TRIM(B41))=0</formula>
    </cfRule>
    <cfRule type="cellIs" priority="1257" operator="greaterThanOrEqual" dxfId="3">
      <formula>80</formula>
    </cfRule>
    <cfRule type="cellIs" priority="1258" operator="between" dxfId="2">
      <formula>70</formula>
      <formula>79</formula>
    </cfRule>
    <cfRule type="cellIs" priority="1259" operator="between" dxfId="1">
      <formula>60</formula>
      <formula>69</formula>
    </cfRule>
    <cfRule type="cellIs" priority="1260" operator="between" dxfId="0">
      <formula>0</formula>
      <formula>59</formula>
    </cfRule>
  </conditionalFormatting>
  <conditionalFormatting sqref="B42:H42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62" operator="greaterThanOrEqual" dxfId="3">
      <formula>80</formula>
    </cfRule>
    <cfRule type="containsBlanks" priority="1263" dxfId="4" stopIfTrue="1">
      <formula>LEN(TRIM(B42))=0</formula>
    </cfRule>
    <cfRule type="cellIs" priority="1264" operator="greaterThanOrEqual" dxfId="3">
      <formula>80</formula>
    </cfRule>
    <cfRule type="cellIs" priority="1265" operator="between" dxfId="2">
      <formula>70</formula>
      <formula>79</formula>
    </cfRule>
    <cfRule type="cellIs" priority="1266" operator="between" dxfId="1">
      <formula>60</formula>
      <formula>69</formula>
    </cfRule>
    <cfRule type="cellIs" priority="1267" operator="between" dxfId="0">
      <formula>0</formula>
      <formula>59</formula>
    </cfRule>
  </conditionalFormatting>
  <dataValidations count="1">
    <dataValidation sqref="B2:H2" showErrorMessage="1" showInputMessage="1" allowBlank="1" type="list">
      <formula1>$L$4:$L$10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65"/>
  <sheetViews>
    <sheetView topLeftCell="A29" zoomScale="70" zoomScaleNormal="70" workbookViewId="0">
      <selection activeCell="B55" sqref="B55:B58"/>
    </sheetView>
  </sheetViews>
  <sheetFormatPr baseColWidth="8" defaultColWidth="9.28515625" defaultRowHeight="15" outlineLevelCol="0"/>
  <cols>
    <col width="44.85546875" bestFit="1" customWidth="1" min="1" max="1"/>
    <col width="18.85546875" bestFit="1" customWidth="1" min="2" max="2"/>
    <col width="15.42578125" bestFit="1" customWidth="1" min="3" max="3"/>
    <col width="15.85546875" bestFit="1" customWidth="1" min="4" max="4"/>
    <col width="17.7109375" bestFit="1" customWidth="1" min="5" max="5"/>
    <col width="14.5703125" bestFit="1" customWidth="1" min="6" max="6"/>
    <col width="15" bestFit="1" customWidth="1" min="7" max="7"/>
    <col width="17.7109375" bestFit="1" customWidth="1" min="8" max="8"/>
    <col width="15.42578125" bestFit="1" customWidth="1" min="9" max="9"/>
    <col width="15.42578125" customWidth="1" min="10" max="12"/>
    <col width="9.28515625" bestFit="1" customWidth="1" min="13" max="13"/>
  </cols>
  <sheetData>
    <row r="1">
      <c r="A1" s="9" t="inlineStr">
        <is>
          <t>Student Number</t>
        </is>
      </c>
      <c r="B1" s="145" t="inlineStr">
        <is>
          <t>ENGR-1200-6</t>
        </is>
      </c>
      <c r="C1" s="162" t="inlineStr">
        <is>
          <t>ENGR-2000-7</t>
        </is>
      </c>
      <c r="D1" s="145" t="inlineStr">
        <is>
          <t>ENGR-2300-2</t>
        </is>
      </c>
      <c r="E1" s="145" t="inlineStr">
        <is>
          <t>ENGR-2400-4</t>
        </is>
      </c>
      <c r="F1" s="146" t="inlineStr">
        <is>
          <t>SENG-3210-3</t>
        </is>
      </c>
      <c r="G1" s="146" t="inlineStr">
        <is>
          <t>SENG-3210-5</t>
        </is>
      </c>
      <c r="H1" s="146" t="inlineStr">
        <is>
          <t>SENG-4100-3</t>
        </is>
      </c>
      <c r="I1" s="146" t="inlineStr">
        <is>
          <t>SENG-4140-3</t>
        </is>
      </c>
      <c r="J1" s="146" t="inlineStr">
        <is>
          <t>SENG-4640-2</t>
        </is>
      </c>
      <c r="K1" s="146" t="inlineStr">
        <is>
          <t>SENG-4640-3</t>
        </is>
      </c>
      <c r="L1" s="30">
        <f>COUNTA(B1:K1)</f>
        <v/>
      </c>
    </row>
    <row r="2" ht="30" customHeight="1">
      <c r="A2" s="12" t="inlineStr">
        <is>
          <t>Assessment
Tool</t>
        </is>
      </c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30">
        <f>COUNTIF(B2:K2, "&lt;&gt;")</f>
        <v/>
      </c>
    </row>
    <row r="3">
      <c r="A3" s="31" t="n">
        <v>1</v>
      </c>
      <c r="B3" s="164" t="n"/>
      <c r="C3" s="164" t="n"/>
      <c r="D3" s="164" t="n"/>
      <c r="E3" s="164" t="n"/>
      <c r="F3" s="164" t="n"/>
      <c r="G3" s="164" t="n"/>
      <c r="H3" s="164" t="n"/>
      <c r="I3" s="164" t="n"/>
      <c r="J3" s="164" t="n"/>
      <c r="K3" s="164" t="n"/>
      <c r="L3" s="194" t="n"/>
    </row>
    <row r="4">
      <c r="A4" s="31" t="n">
        <v>2</v>
      </c>
      <c r="B4" s="164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92" t="n"/>
      <c r="O4" s="106" t="inlineStr">
        <is>
          <t>A</t>
        </is>
      </c>
    </row>
    <row r="5">
      <c r="A5" s="31" t="n">
        <v>3</v>
      </c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  <c r="L5" s="192" t="n"/>
      <c r="O5" s="106" t="inlineStr">
        <is>
          <t>Q</t>
        </is>
      </c>
    </row>
    <row r="6">
      <c r="A6" s="31" t="n">
        <v>4</v>
      </c>
      <c r="B6" s="164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92" t="n"/>
      <c r="O6" s="106" t="inlineStr">
        <is>
          <t>M</t>
        </is>
      </c>
    </row>
    <row r="7">
      <c r="A7" s="31" t="n">
        <v>5</v>
      </c>
      <c r="B7" s="164" t="n"/>
      <c r="C7" s="164" t="n"/>
      <c r="D7" s="164" t="n"/>
      <c r="E7" s="164" t="n"/>
      <c r="F7" s="164" t="n"/>
      <c r="G7" s="164" t="n"/>
      <c r="H7" s="164" t="n"/>
      <c r="I7" s="164" t="n"/>
      <c r="J7" s="164" t="n"/>
      <c r="K7" s="164" t="n"/>
      <c r="L7" s="192" t="n"/>
      <c r="O7" s="106" t="inlineStr">
        <is>
          <t>F</t>
        </is>
      </c>
    </row>
    <row r="8">
      <c r="A8" s="31" t="n">
        <v>6</v>
      </c>
      <c r="B8" s="164" t="n"/>
      <c r="C8" s="164" t="n"/>
      <c r="D8" s="164" t="n"/>
      <c r="E8" s="164" t="n"/>
      <c r="F8" s="164" t="n"/>
      <c r="G8" s="164" t="n"/>
      <c r="H8" s="164" t="n"/>
      <c r="I8" s="164" t="n"/>
      <c r="J8" s="164" t="n"/>
      <c r="K8" s="164" t="n"/>
      <c r="L8" s="192" t="n"/>
      <c r="O8" s="106" t="inlineStr">
        <is>
          <t>P</t>
        </is>
      </c>
    </row>
    <row r="9">
      <c r="A9" s="31" t="n">
        <v>7</v>
      </c>
      <c r="B9" s="164" t="n"/>
      <c r="C9" s="164" t="n"/>
      <c r="D9" s="164" t="n"/>
      <c r="E9" s="164" t="n"/>
      <c r="F9" s="164" t="n"/>
      <c r="G9" s="164" t="n"/>
      <c r="H9" s="164" t="n"/>
      <c r="I9" s="164" t="n"/>
      <c r="J9" s="164" t="n"/>
      <c r="K9" s="164" t="n"/>
      <c r="L9" s="192" t="n"/>
      <c r="O9" s="106" t="inlineStr">
        <is>
          <t>L</t>
        </is>
      </c>
    </row>
    <row r="10">
      <c r="A10" s="31" t="n">
        <v>8</v>
      </c>
      <c r="B10" s="164" t="n"/>
      <c r="C10" s="164" t="n"/>
      <c r="D10" s="164" t="n"/>
      <c r="E10" s="164" t="n"/>
      <c r="F10" s="164" t="n"/>
      <c r="G10" s="164" t="n"/>
      <c r="H10" s="164" t="n"/>
      <c r="I10" s="164" t="n"/>
      <c r="J10" s="164" t="n"/>
      <c r="K10" s="164" t="n"/>
      <c r="L10" s="192" t="n"/>
      <c r="O10" s="106" t="inlineStr">
        <is>
          <t>OT</t>
        </is>
      </c>
    </row>
    <row r="11">
      <c r="A11" s="31" t="n">
        <v>9</v>
      </c>
      <c r="B11" s="164" t="n"/>
      <c r="C11" s="164" t="n"/>
      <c r="D11" s="164" t="n"/>
      <c r="E11" s="164" t="n"/>
      <c r="F11" s="164" t="n"/>
      <c r="G11" s="164" t="n"/>
      <c r="H11" s="164" t="n"/>
      <c r="I11" s="164" t="n"/>
      <c r="J11" s="164" t="n"/>
      <c r="K11" s="164" t="n"/>
      <c r="L11" s="192" t="n"/>
    </row>
    <row r="12">
      <c r="A12" s="31" t="n">
        <v>10</v>
      </c>
      <c r="B12" s="164" t="n"/>
      <c r="C12" s="164" t="n"/>
      <c r="D12" s="164" t="n"/>
      <c r="E12" s="164" t="n"/>
      <c r="F12" s="164" t="n"/>
      <c r="G12" s="164" t="n"/>
      <c r="H12" s="164" t="n"/>
      <c r="I12" s="164" t="n"/>
      <c r="J12" s="164" t="n"/>
      <c r="K12" s="164" t="n"/>
      <c r="L12" s="192" t="n"/>
    </row>
    <row r="13">
      <c r="A13" s="31" t="n">
        <v>11</v>
      </c>
      <c r="B13" s="164" t="n"/>
      <c r="C13" s="164" t="n"/>
      <c r="D13" s="164" t="n"/>
      <c r="E13" s="164" t="n"/>
      <c r="F13" s="164" t="n"/>
      <c r="G13" s="164" t="n"/>
      <c r="H13" s="164" t="n"/>
      <c r="I13" s="164" t="n"/>
      <c r="J13" s="164" t="n"/>
      <c r="K13" s="164" t="n"/>
      <c r="L13" s="192" t="n"/>
    </row>
    <row r="14">
      <c r="A14" s="31" t="n">
        <v>12</v>
      </c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92" t="n"/>
    </row>
    <row r="15">
      <c r="A15" s="31" t="n">
        <v>13</v>
      </c>
      <c r="B15" s="164" t="n"/>
      <c r="C15" s="164" t="n"/>
      <c r="D15" s="164" t="n"/>
      <c r="E15" s="164" t="n"/>
      <c r="F15" s="164" t="n"/>
      <c r="G15" s="164" t="n"/>
      <c r="H15" s="164" t="n"/>
      <c r="I15" s="164" t="n"/>
      <c r="J15" s="164" t="n"/>
      <c r="K15" s="164" t="n"/>
      <c r="L15" s="192" t="n"/>
    </row>
    <row r="16">
      <c r="A16" s="31" t="n">
        <v>14</v>
      </c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92" t="n"/>
    </row>
    <row r="17">
      <c r="A17" s="31" t="n">
        <v>15</v>
      </c>
      <c r="B17" s="164" t="n"/>
      <c r="C17" s="164" t="n"/>
      <c r="D17" s="164" t="n"/>
      <c r="E17" s="164" t="n"/>
      <c r="F17" s="164" t="n"/>
      <c r="G17" s="164" t="n"/>
      <c r="H17" s="164" t="n"/>
      <c r="I17" s="164" t="n"/>
      <c r="J17" s="164" t="n"/>
      <c r="K17" s="164" t="n"/>
      <c r="L17" s="192" t="n"/>
    </row>
    <row r="18">
      <c r="A18" s="31" t="n">
        <v>16</v>
      </c>
      <c r="B18" s="164" t="n"/>
      <c r="C18" s="164" t="n"/>
      <c r="D18" s="164" t="n"/>
      <c r="E18" s="164" t="n"/>
      <c r="F18" s="164" t="n"/>
      <c r="G18" s="164" t="n"/>
      <c r="H18" s="164" t="n"/>
      <c r="I18" s="164" t="n"/>
      <c r="J18" s="164" t="n"/>
      <c r="K18" s="164" t="n"/>
      <c r="L18" s="192" t="n"/>
    </row>
    <row r="19">
      <c r="A19" s="31" t="n">
        <v>17</v>
      </c>
      <c r="B19" s="170" t="n"/>
      <c r="C19" s="170" t="n"/>
      <c r="D19" s="170" t="n"/>
      <c r="E19" s="170" t="n"/>
      <c r="F19" s="170" t="n"/>
      <c r="G19" s="170" t="n"/>
      <c r="H19" s="170" t="n"/>
      <c r="I19" s="170" t="n"/>
      <c r="J19" s="170" t="n"/>
      <c r="K19" s="170" t="n"/>
      <c r="L19" s="192" t="n"/>
    </row>
    <row r="20">
      <c r="A20" s="31" t="n">
        <v>18</v>
      </c>
      <c r="B20" s="170" t="n"/>
      <c r="C20" s="170" t="n"/>
      <c r="D20" s="170" t="n"/>
      <c r="E20" s="170" t="n"/>
      <c r="F20" s="170" t="n"/>
      <c r="G20" s="170" t="n"/>
      <c r="H20" s="170" t="n"/>
      <c r="I20" s="170" t="n"/>
      <c r="J20" s="170" t="n"/>
      <c r="K20" s="170" t="n"/>
      <c r="L20" s="192" t="n"/>
    </row>
    <row r="21">
      <c r="A21" s="31" t="n">
        <v>19</v>
      </c>
      <c r="B21" s="170" t="n"/>
      <c r="C21" s="170" t="n"/>
      <c r="D21" s="170" t="n"/>
      <c r="E21" s="170" t="n"/>
      <c r="F21" s="170" t="n"/>
      <c r="G21" s="170" t="n"/>
      <c r="H21" s="170" t="n"/>
      <c r="I21" s="170" t="n"/>
      <c r="J21" s="170" t="n"/>
      <c r="K21" s="170" t="n"/>
      <c r="L21" s="192" t="n"/>
    </row>
    <row r="22">
      <c r="A22" s="31" t="n">
        <v>20</v>
      </c>
      <c r="B22" s="170" t="n"/>
      <c r="C22" s="170" t="n"/>
      <c r="D22" s="170" t="n"/>
      <c r="E22" s="170" t="n"/>
      <c r="F22" s="170" t="n"/>
      <c r="G22" s="170" t="n"/>
      <c r="H22" s="170" t="n"/>
      <c r="I22" s="170" t="n"/>
      <c r="J22" s="170" t="n"/>
      <c r="K22" s="170" t="n"/>
      <c r="L22" s="192" t="n"/>
    </row>
    <row r="23">
      <c r="A23" s="31" t="n">
        <v>21</v>
      </c>
      <c r="B23" s="170" t="n"/>
      <c r="C23" s="170" t="n"/>
      <c r="D23" s="170" t="n"/>
      <c r="E23" s="170" t="n"/>
      <c r="F23" s="170" t="n"/>
      <c r="G23" s="170" t="n"/>
      <c r="H23" s="170" t="n"/>
      <c r="I23" s="170" t="n"/>
      <c r="J23" s="170" t="n"/>
      <c r="K23" s="170" t="n"/>
      <c r="L23" s="192" t="n"/>
    </row>
    <row r="24">
      <c r="A24" s="31" t="n">
        <v>22</v>
      </c>
      <c r="B24" s="170" t="n"/>
      <c r="C24" s="170" t="n"/>
      <c r="D24" s="170" t="n"/>
      <c r="E24" s="170" t="n"/>
      <c r="F24" s="170" t="n"/>
      <c r="G24" s="170" t="n"/>
      <c r="H24" s="170" t="n"/>
      <c r="I24" s="170" t="n"/>
      <c r="J24" s="170" t="n"/>
      <c r="K24" s="170" t="n"/>
      <c r="L24" s="192" t="n"/>
    </row>
    <row r="25">
      <c r="A25" s="31" t="n">
        <v>23</v>
      </c>
      <c r="B25" s="170" t="n"/>
      <c r="C25" s="170" t="n"/>
      <c r="D25" s="170" t="n"/>
      <c r="E25" s="170" t="n"/>
      <c r="F25" s="170" t="n"/>
      <c r="G25" s="170" t="n"/>
      <c r="H25" s="170" t="n"/>
      <c r="I25" s="170" t="n"/>
      <c r="J25" s="170" t="n"/>
      <c r="K25" s="170" t="n"/>
      <c r="L25" s="192" t="n"/>
    </row>
    <row r="26">
      <c r="A26" s="31" t="n">
        <v>24</v>
      </c>
      <c r="B26" s="170" t="n"/>
      <c r="C26" s="170" t="n"/>
      <c r="D26" s="170" t="n"/>
      <c r="E26" s="170" t="n"/>
      <c r="F26" s="170" t="n"/>
      <c r="G26" s="170" t="n"/>
      <c r="H26" s="170" t="n"/>
      <c r="I26" s="170" t="n"/>
      <c r="J26" s="170" t="n"/>
      <c r="K26" s="170" t="n"/>
      <c r="L26" s="192" t="n"/>
    </row>
    <row r="27">
      <c r="A27" s="31" t="n">
        <v>25</v>
      </c>
      <c r="B27" s="170" t="n"/>
      <c r="C27" s="170" t="n"/>
      <c r="D27" s="170" t="n"/>
      <c r="E27" s="170" t="n"/>
      <c r="F27" s="170" t="n"/>
      <c r="G27" s="170" t="n"/>
      <c r="H27" s="170" t="n"/>
      <c r="I27" s="170" t="n"/>
      <c r="J27" s="170" t="n"/>
      <c r="K27" s="170" t="n"/>
      <c r="L27" s="192" t="n"/>
    </row>
    <row r="28">
      <c r="A28" s="31" t="n">
        <v>26</v>
      </c>
      <c r="B28" s="170" t="n"/>
      <c r="C28" s="170" t="n"/>
      <c r="D28" s="170" t="n"/>
      <c r="E28" s="170" t="n"/>
      <c r="F28" s="170" t="n"/>
      <c r="G28" s="170" t="n"/>
      <c r="H28" s="170" t="n"/>
      <c r="I28" s="170" t="n"/>
      <c r="J28" s="170" t="n"/>
      <c r="K28" s="170" t="n"/>
      <c r="L28" s="192" t="n"/>
    </row>
    <row r="29">
      <c r="A29" s="31" t="n">
        <v>27</v>
      </c>
      <c r="B29" s="170" t="n"/>
      <c r="C29" s="170" t="n"/>
      <c r="D29" s="170" t="n"/>
      <c r="E29" s="170" t="n"/>
      <c r="F29" s="170" t="n"/>
      <c r="G29" s="170" t="n"/>
      <c r="H29" s="170" t="n"/>
      <c r="I29" s="170" t="n"/>
      <c r="J29" s="170" t="n"/>
      <c r="K29" s="170" t="n"/>
      <c r="L29" s="192" t="n"/>
    </row>
    <row r="30">
      <c r="A30" s="31" t="n">
        <v>28</v>
      </c>
      <c r="B30" s="170" t="n"/>
      <c r="C30" s="170" t="n"/>
      <c r="D30" s="170" t="n"/>
      <c r="E30" s="170" t="n"/>
      <c r="F30" s="170" t="n"/>
      <c r="G30" s="170" t="n"/>
      <c r="H30" s="170" t="n"/>
      <c r="I30" s="170" t="n"/>
      <c r="J30" s="170" t="n"/>
      <c r="K30" s="170" t="n"/>
      <c r="L30" s="192" t="n"/>
    </row>
    <row r="31">
      <c r="A31" s="31" t="n">
        <v>29</v>
      </c>
      <c r="B31" s="170" t="n"/>
      <c r="C31" s="170" t="n"/>
      <c r="D31" s="170" t="n"/>
      <c r="E31" s="170" t="n"/>
      <c r="F31" s="170" t="n"/>
      <c r="G31" s="170" t="n"/>
      <c r="H31" s="170" t="n"/>
      <c r="I31" s="170" t="n"/>
      <c r="J31" s="170" t="n"/>
      <c r="K31" s="170" t="n"/>
      <c r="L31" s="192" t="n"/>
    </row>
    <row r="32">
      <c r="A32" s="31" t="n">
        <v>30</v>
      </c>
      <c r="B32" s="170" t="n"/>
      <c r="C32" s="170" t="n"/>
      <c r="D32" s="170" t="n"/>
      <c r="E32" s="170" t="n"/>
      <c r="F32" s="170" t="n"/>
      <c r="G32" s="170" t="n"/>
      <c r="H32" s="170" t="n"/>
      <c r="I32" s="170" t="n"/>
      <c r="J32" s="170" t="n"/>
      <c r="K32" s="170" t="n"/>
      <c r="L32" s="192" t="n"/>
    </row>
    <row r="33">
      <c r="A33" s="31" t="n">
        <v>31</v>
      </c>
      <c r="B33" s="170" t="n"/>
      <c r="C33" s="170" t="n"/>
      <c r="D33" s="170" t="n"/>
      <c r="E33" s="170" t="n"/>
      <c r="F33" s="170" t="n"/>
      <c r="G33" s="170" t="n"/>
      <c r="H33" s="170" t="n"/>
      <c r="I33" s="170" t="n"/>
      <c r="J33" s="170" t="n"/>
      <c r="K33" s="170" t="n"/>
      <c r="L33" s="192" t="n"/>
    </row>
    <row r="34">
      <c r="A34" s="31" t="n">
        <v>32</v>
      </c>
      <c r="B34" s="170" t="n"/>
      <c r="C34" s="170" t="n"/>
      <c r="D34" s="170" t="n"/>
      <c r="E34" s="170" t="n"/>
      <c r="F34" s="170" t="n"/>
      <c r="G34" s="170" t="n"/>
      <c r="H34" s="170" t="n"/>
      <c r="I34" s="170" t="n"/>
      <c r="J34" s="170" t="n"/>
      <c r="K34" s="170" t="n"/>
      <c r="L34" s="192" t="n"/>
    </row>
    <row r="35">
      <c r="A35" s="31" t="n">
        <v>33</v>
      </c>
      <c r="B35" s="170" t="n"/>
      <c r="C35" s="170" t="n"/>
      <c r="D35" s="170" t="n"/>
      <c r="E35" s="170" t="n"/>
      <c r="F35" s="170" t="n"/>
      <c r="G35" s="170" t="n"/>
      <c r="H35" s="170" t="n"/>
      <c r="I35" s="170" t="n"/>
      <c r="J35" s="170" t="n"/>
      <c r="K35" s="170" t="n"/>
      <c r="L35" s="192" t="n"/>
    </row>
    <row r="36">
      <c r="A36" s="31" t="n">
        <v>34</v>
      </c>
      <c r="B36" s="170" t="n"/>
      <c r="C36" s="170" t="n"/>
      <c r="D36" s="170" t="n"/>
      <c r="E36" s="170" t="n"/>
      <c r="F36" s="170" t="n"/>
      <c r="G36" s="170" t="n"/>
      <c r="H36" s="170" t="n"/>
      <c r="I36" s="170" t="n"/>
      <c r="J36" s="170" t="n"/>
      <c r="K36" s="170" t="n"/>
      <c r="L36" s="192" t="n"/>
    </row>
    <row r="37">
      <c r="A37" s="31" t="n">
        <v>35</v>
      </c>
      <c r="B37" s="170" t="n"/>
      <c r="C37" s="170" t="n"/>
      <c r="D37" s="170" t="n"/>
      <c r="E37" s="170" t="n"/>
      <c r="F37" s="170" t="n"/>
      <c r="G37" s="170" t="n"/>
      <c r="H37" s="170" t="n"/>
      <c r="I37" s="170" t="n"/>
      <c r="J37" s="170" t="n"/>
      <c r="K37" s="170" t="n"/>
      <c r="L37" s="192" t="n"/>
    </row>
    <row r="38">
      <c r="A38" s="31" t="n">
        <v>36</v>
      </c>
      <c r="B38" s="170" t="n"/>
      <c r="C38" s="170" t="n"/>
      <c r="D38" s="170" t="n"/>
      <c r="E38" s="170" t="n"/>
      <c r="F38" s="170" t="n"/>
      <c r="G38" s="170" t="n"/>
      <c r="H38" s="170" t="n"/>
      <c r="I38" s="170" t="n"/>
      <c r="J38" s="170" t="n"/>
      <c r="K38" s="170" t="n"/>
      <c r="L38" s="192" t="n"/>
    </row>
    <row r="39">
      <c r="A39" s="31" t="n">
        <v>37</v>
      </c>
      <c r="B39" s="170" t="n"/>
      <c r="C39" s="170" t="n"/>
      <c r="D39" s="170" t="n"/>
      <c r="E39" s="170" t="n"/>
      <c r="F39" s="170" t="n"/>
      <c r="G39" s="170" t="n"/>
      <c r="H39" s="170" t="n"/>
      <c r="I39" s="170" t="n"/>
      <c r="J39" s="170" t="n"/>
      <c r="K39" s="170" t="n"/>
      <c r="L39" s="192" t="n"/>
    </row>
    <row r="40">
      <c r="A40" s="31" t="n">
        <v>38</v>
      </c>
      <c r="B40" s="170" t="n"/>
      <c r="C40" s="170" t="n"/>
      <c r="D40" s="170" t="n"/>
      <c r="E40" s="170" t="n"/>
      <c r="F40" s="170" t="n"/>
      <c r="G40" s="170" t="n"/>
      <c r="H40" s="170" t="n"/>
      <c r="I40" s="170" t="n"/>
      <c r="J40" s="170" t="n"/>
      <c r="K40" s="170" t="n"/>
      <c r="L40" s="192" t="n"/>
    </row>
    <row r="41">
      <c r="A41" s="31" t="n">
        <v>39</v>
      </c>
      <c r="B41" s="170" t="n"/>
      <c r="C41" s="170" t="n"/>
      <c r="D41" s="170" t="n"/>
      <c r="E41" s="170" t="n"/>
      <c r="F41" s="170" t="n"/>
      <c r="G41" s="170" t="n"/>
      <c r="H41" s="170" t="n"/>
      <c r="I41" s="170" t="n"/>
      <c r="J41" s="170" t="n"/>
      <c r="K41" s="170" t="n"/>
      <c r="L41" s="192" t="n"/>
    </row>
    <row r="42" ht="15.75" customHeight="1" thickBot="1">
      <c r="A42" s="31" t="n">
        <v>40</v>
      </c>
      <c r="B42" s="170" t="n"/>
      <c r="C42" s="170" t="n"/>
      <c r="D42" s="170" t="n"/>
      <c r="E42" s="170" t="n"/>
      <c r="F42" s="170" t="n"/>
      <c r="G42" s="170" t="n"/>
      <c r="H42" s="170" t="n"/>
      <c r="I42" s="170" t="n"/>
      <c r="J42" s="170" t="n"/>
      <c r="K42" s="170" t="n"/>
      <c r="L42" s="193" t="n"/>
    </row>
    <row r="43" ht="15.75" customHeight="1" thickTop="1">
      <c r="A43" s="107" t="inlineStr">
        <is>
          <t>Average</t>
        </is>
      </c>
      <c r="B43" s="168">
        <f>AVERAGE(B3:B42)</f>
        <v/>
      </c>
      <c r="C43" s="168">
        <f>AVERAGE(C3:C42)</f>
        <v/>
      </c>
      <c r="D43" s="168">
        <f>AVERAGE(D3:D42)</f>
        <v/>
      </c>
      <c r="E43" s="168">
        <f>AVERAGE(E3:E42)</f>
        <v/>
      </c>
      <c r="F43" s="168">
        <f>AVERAGE(F3:F42)</f>
        <v/>
      </c>
      <c r="G43" s="168">
        <f>AVERAGE(G3:G42)</f>
        <v/>
      </c>
      <c r="H43" s="168">
        <f>AVERAGE(H3:H42)</f>
        <v/>
      </c>
      <c r="I43" s="168">
        <f>AVERAGE(I3:I42)</f>
        <v/>
      </c>
      <c r="J43" s="168">
        <f>AVERAGE(J3:J42)</f>
        <v/>
      </c>
      <c r="K43" s="168">
        <f>AVERAGE(K3:K42)</f>
        <v/>
      </c>
      <c r="L43" s="35" t="n"/>
    </row>
    <row r="44">
      <c r="A44" s="36" t="inlineStr">
        <is>
          <t>Overall Average</t>
        </is>
      </c>
      <c r="B44" s="169">
        <f>AVERAGEIF(B43:K43, "&lt;&gt;#DIV/0!")</f>
        <v/>
      </c>
      <c r="C44" s="169" t="n"/>
      <c r="D44" s="169" t="n"/>
      <c r="E44" s="169" t="n"/>
      <c r="F44" s="169" t="n"/>
      <c r="G44" s="169" t="n"/>
      <c r="H44" s="169" t="n"/>
      <c r="I44" s="169" t="n"/>
      <c r="J44" s="169" t="n"/>
      <c r="K44" s="169" t="n"/>
      <c r="L44" s="32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>
        <f>COUNTIF(H3:H42, "&lt;&gt;")</f>
        <v/>
      </c>
      <c r="I45" s="32">
        <f>COUNTIF(I3:I42, "&lt;&gt;")</f>
        <v/>
      </c>
      <c r="J45" s="32">
        <f>COUNTIF(J3:J42, "&lt;&gt;")</f>
        <v/>
      </c>
      <c r="K45" s="32">
        <f>COUNTIF(K3:K42, "&lt;&gt;")</f>
        <v/>
      </c>
      <c r="L45" s="32" t="n"/>
    </row>
    <row r="47">
      <c r="B47" s="91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  <c r="J47" s="144" t="n"/>
      <c r="K47" s="144" t="n"/>
    </row>
    <row r="48">
      <c r="A48" s="99" t="inlineStr">
        <is>
          <t>I (1st, 2nd yr)</t>
        </is>
      </c>
      <c r="B48" s="13">
        <f>COUNTIF($B$2, "A") + COUNTIF($D$2:$E$2, "A")</f>
        <v/>
      </c>
      <c r="C48" s="13">
        <f>COUNTIF($B$2, "Q") + COUNTIF($D$2:$E$2, "Q")</f>
        <v/>
      </c>
      <c r="D48" s="13">
        <f>COUNTIF($B$2, "M") + COUNTIF($D$2:$E$2, "M")</f>
        <v/>
      </c>
      <c r="E48" s="13">
        <f>COUNTIF($B$2, "F") + COUNTIF($D$2:$E$2, "F")</f>
        <v/>
      </c>
      <c r="F48" s="13">
        <f>COUNTIF($B$2, "P") + COUNTIF($D$2:$E$2, "P")</f>
        <v/>
      </c>
      <c r="G48" s="13">
        <f>COUNTIF($B$2, "L") + COUNTIF($D$2:$E$2, "L")</f>
        <v/>
      </c>
      <c r="H48" s="13">
        <f>COUNTIF($B$2, "OT") + COUNTIF($D$2:$E$2, "OT")</f>
        <v/>
      </c>
      <c r="I48" s="9">
        <f>SUM(B48:H48)</f>
        <v/>
      </c>
      <c r="J48" s="25" t="n"/>
      <c r="K48" s="25" t="n"/>
    </row>
    <row r="49">
      <c r="A49" s="105" t="inlineStr">
        <is>
          <t>D (2nd &amp; 3rd yr)</t>
        </is>
      </c>
      <c r="B49" s="13">
        <f>COUNTIF($C$2,"A")</f>
        <v/>
      </c>
      <c r="C49" s="13">
        <f>COUNTIF($C$2,"Q")</f>
        <v/>
      </c>
      <c r="D49" s="13">
        <f>COUNTIF($C$2,"M")</f>
        <v/>
      </c>
      <c r="E49" s="13">
        <f>COUNTIF($C$2,"F")</f>
        <v/>
      </c>
      <c r="F49" s="13">
        <f>COUNTIF($C$2,"P")</f>
        <v/>
      </c>
      <c r="G49" s="13">
        <f>COUNTIF($C$2,"L")</f>
        <v/>
      </c>
      <c r="H49" s="13">
        <f>COUNTIF($C$2,"OT")</f>
        <v/>
      </c>
      <c r="I49" s="9">
        <f>SUM(B49:H49)</f>
        <v/>
      </c>
      <c r="J49" s="25" t="n"/>
      <c r="K49" s="25" t="n"/>
    </row>
    <row r="50">
      <c r="A50" s="101" t="inlineStr">
        <is>
          <t>A (3rd, 4yr)</t>
        </is>
      </c>
      <c r="B50" s="13">
        <f>COUNTIF($F$2:$K$2, "A")</f>
        <v/>
      </c>
      <c r="C50" s="13">
        <f>COUNTIF($F$2:$K$2, "Q")</f>
        <v/>
      </c>
      <c r="D50" s="13">
        <f>COUNTIF($F$2:$K$2, "M")</f>
        <v/>
      </c>
      <c r="E50" s="13">
        <f>COUNTIF($F$2:$K$2, "F")</f>
        <v/>
      </c>
      <c r="F50" s="13">
        <f>COUNTIF($F$2:$K$2, "P")</f>
        <v/>
      </c>
      <c r="G50" s="13">
        <f>COUNTIF($F$2:$K$2, "L")</f>
        <v/>
      </c>
      <c r="H50" s="13">
        <f>COUNTIF($F$2:$K$2, "OT")</f>
        <v/>
      </c>
      <c r="I50" s="9">
        <f>SUM(B50:H50)</f>
        <v/>
      </c>
      <c r="J50" s="25" t="n"/>
      <c r="K50" s="25" t="n"/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SUM(I48:I50)</f>
        <v/>
      </c>
      <c r="J51" s="25" t="n"/>
      <c r="K51" s="25" t="n"/>
    </row>
    <row r="53" ht="18.75" customHeight="1" thickBot="1">
      <c r="A53" s="87" t="inlineStr">
        <is>
          <t>Frequency Distribution Analysis</t>
        </is>
      </c>
      <c r="C53" s="87" t="n"/>
      <c r="D53" s="87" t="n"/>
      <c r="E53" s="87" t="n"/>
      <c r="F53" s="87" t="n"/>
      <c r="G53" s="87" t="n"/>
      <c r="H53" s="85" t="n"/>
      <c r="I53" s="85" t="n"/>
      <c r="J53" s="85" t="n"/>
      <c r="K53" s="85" t="n"/>
      <c r="L53" s="85" t="n"/>
      <c r="M53" s="85" t="n"/>
    </row>
    <row r="54" ht="16.5" customHeight="1" thickBot="1">
      <c r="A54" s="37" t="inlineStr">
        <is>
          <t>Scale</t>
        </is>
      </c>
      <c r="B54" s="145" t="inlineStr">
        <is>
          <t>ENGR-1200-6</t>
        </is>
      </c>
      <c r="C54" s="162" t="inlineStr">
        <is>
          <t>ENGR-2000-7</t>
        </is>
      </c>
      <c r="D54" s="145" t="inlineStr">
        <is>
          <t>ENGR-2300-2</t>
        </is>
      </c>
      <c r="E54" s="145" t="inlineStr">
        <is>
          <t>ENGR-2400-4</t>
        </is>
      </c>
      <c r="F54" s="146" t="inlineStr">
        <is>
          <t>SENG-3210-3</t>
        </is>
      </c>
      <c r="G54" s="146" t="inlineStr">
        <is>
          <t>SENG-3210-5</t>
        </is>
      </c>
      <c r="H54" s="146" t="inlineStr">
        <is>
          <t>SENG-4100-3</t>
        </is>
      </c>
      <c r="I54" s="146" t="inlineStr">
        <is>
          <t>SENG-4140-3</t>
        </is>
      </c>
      <c r="J54" s="146" t="inlineStr">
        <is>
          <t>SENG-4640-2</t>
        </is>
      </c>
      <c r="K54" s="146" t="inlineStr">
        <is>
          <t>SENG-4640-3</t>
        </is>
      </c>
      <c r="L54" s="120" t="inlineStr">
        <is>
          <t>Average</t>
        </is>
      </c>
    </row>
    <row r="55" ht="16.5" customHeight="1" thickBot="1">
      <c r="A55" s="102" t="inlineStr">
        <is>
          <t>Below Expectation (C- and below)  (%)</t>
        </is>
      </c>
      <c r="B55" s="115">
        <f>(COUNTIF(B3:B42, "&lt;=59%"))/B45</f>
        <v/>
      </c>
      <c r="C55" s="115">
        <f>(COUNTIF(C3:C42, "&lt;=59%"))/C45</f>
        <v/>
      </c>
      <c r="D55" s="115">
        <f>(COUNTIF(D3:D42, "&lt;=59%"))/D45</f>
        <v/>
      </c>
      <c r="E55" s="115">
        <f>(COUNTIF(E3:E42, "&lt;=59%"))/E45</f>
        <v/>
      </c>
      <c r="F55" s="115">
        <f>(COUNTIF(F3:F42, "&lt;=59%"))/F45</f>
        <v/>
      </c>
      <c r="G55" s="115">
        <f>(COUNTIF(G3:G42, "&lt;=59%"))/G45</f>
        <v/>
      </c>
      <c r="H55" s="115">
        <f>(COUNTIF(H3:H42, "&lt;=59%"))/H45</f>
        <v/>
      </c>
      <c r="I55" s="115">
        <f>(COUNTIF(I3:I42, "&lt;=59%"))/I45</f>
        <v/>
      </c>
      <c r="J55" s="115">
        <f>(COUNTIF(J3:J42, "&lt;=59%"))/J45</f>
        <v/>
      </c>
      <c r="K55" s="115">
        <f>(COUNTIF(K3:K42, "&lt;=59%"))/K45</f>
        <v/>
      </c>
      <c r="L55" s="41">
        <f>AVERAGEIF(B55:K55, "&lt;&gt;#DIV/0!")</f>
        <v/>
      </c>
    </row>
    <row r="56" ht="16.5" customHeight="1" thickBot="1">
      <c r="A56" s="103" t="inlineStr">
        <is>
          <t>Marginal (C+, C)  (%)</t>
        </is>
      </c>
      <c r="B56" s="118">
        <f>(COUNTIFS(B3:B42, "&gt;= 60%", B3:B42, "&lt;=69%" ))/B45</f>
        <v/>
      </c>
      <c r="C56" s="118">
        <f>(COUNTIFS(C3:C42, "&gt;= 60%", C3:C42, "&lt;=69%" ))/C45</f>
        <v/>
      </c>
      <c r="D56" s="118">
        <f>(COUNTIFS(D3:D42, "&gt;= 60%", D3:D42, "&lt;=69%" ))/D45</f>
        <v/>
      </c>
      <c r="E56" s="118">
        <f>(COUNTIFS(E3:E42, "&gt;= 60%", E3:E42, "&lt;=69%" ))/E45</f>
        <v/>
      </c>
      <c r="F56" s="118">
        <f>(COUNTIFS(F3:F42, "&gt;= 60%", F3:F42, "&lt;=69%" ))/F45</f>
        <v/>
      </c>
      <c r="G56" s="118">
        <f>(COUNTIFS(G3:G42, "&gt;= 60%", G3:G42, "&lt;=69%" ))/G45</f>
        <v/>
      </c>
      <c r="H56" s="118">
        <f>(COUNTIFS(H3:H42, "&gt;= 60%", H3:H42, "&lt;=69%" ))/H45</f>
        <v/>
      </c>
      <c r="I56" s="118">
        <f>(COUNTIFS(I3:I42, "&gt;= 60%", I3:I42, "&lt;=69%" ))/I45</f>
        <v/>
      </c>
      <c r="J56" s="118">
        <f>(COUNTIFS(J3:J42, "&gt;= 60%", J3:J42, "&lt;=69%" ))/J45</f>
        <v/>
      </c>
      <c r="K56" s="118">
        <f>(COUNTIFS(K3:K42, "&gt;= 60%", K3:K42, "&lt;=69%" ))/K45</f>
        <v/>
      </c>
      <c r="L56" s="41">
        <f>AVERAGEIF(B56:K56, "&lt;&gt;#DIV/0!")</f>
        <v/>
      </c>
    </row>
    <row r="57" ht="16.5" customHeight="1" thickBot="1">
      <c r="A57" s="98" t="inlineStr">
        <is>
          <t>Meets Expectation (B+, B, B-) (%)</t>
        </is>
      </c>
      <c r="B57" s="118">
        <f>(COUNTIFS(B3:B42, "&gt;= 70%", B3:B42, "&lt;=79%" ))/B45</f>
        <v/>
      </c>
      <c r="C57" s="118">
        <f>(COUNTIFS(C3:C42, "&gt;= 70%", C3:C42, "&lt;=79%" ))/C45</f>
        <v/>
      </c>
      <c r="D57" s="118">
        <f>(COUNTIFS(D3:D42, "&gt;= 70%", D3:D42, "&lt;=79%" ))/D45</f>
        <v/>
      </c>
      <c r="E57" s="118">
        <f>(COUNTIFS(E3:E42, "&gt;= 70%", E3:E42, "&lt;=79%" ))/E45</f>
        <v/>
      </c>
      <c r="F57" s="118">
        <f>(COUNTIFS(F3:F42, "&gt;= 70%", F3:F42, "&lt;=79%" ))/F45</f>
        <v/>
      </c>
      <c r="G57" s="118">
        <f>(COUNTIFS(G3:G42, "&gt;= 70%", G3:G42, "&lt;=79%" ))/G45</f>
        <v/>
      </c>
      <c r="H57" s="118">
        <f>(COUNTIFS(H3:H42, "&gt;= 70%", H3:H42, "&lt;=79%" ))/H45</f>
        <v/>
      </c>
      <c r="I57" s="118">
        <f>(COUNTIFS(I3:I42, "&gt;= 70%", I3:I42, "&lt;=79%" ))/I45</f>
        <v/>
      </c>
      <c r="J57" s="118">
        <f>(COUNTIFS(J3:J42, "&gt;= 70%", J3:J42, "&lt;=79%" ))/J45</f>
        <v/>
      </c>
      <c r="K57" s="118">
        <f>(COUNTIFS(K3:K42, "&gt;= 70%", K3:K42, "&lt;=79%" ))/K45</f>
        <v/>
      </c>
      <c r="L57" s="41">
        <f>AVERAGEIF(B57:K57, "&lt;&gt;#DIV/0!")</f>
        <v/>
      </c>
    </row>
    <row r="58" ht="16.5" customHeight="1" thickBot="1">
      <c r="A58" s="104" t="inlineStr">
        <is>
          <t>Exceeds Expectation (A+, A, A-) (%)</t>
        </is>
      </c>
      <c r="B58" s="118">
        <f>(COUNTIF(B3:B42,"&gt;= 80%")/B45)</f>
        <v/>
      </c>
      <c r="C58" s="118">
        <f>(COUNTIF(C3:C42,"&gt;= 80%")/C45)</f>
        <v/>
      </c>
      <c r="D58" s="118">
        <f>(COUNTIF(D3:D42,"&gt;= 80%")/D45)</f>
        <v/>
      </c>
      <c r="E58" s="118">
        <f>(COUNTIF(E3:E42,"&gt;= 80%")/E45)</f>
        <v/>
      </c>
      <c r="F58" s="118">
        <f>(COUNTIF(F3:F42,"&gt;= 80%")/F45)</f>
        <v/>
      </c>
      <c r="G58" s="118">
        <f>(COUNTIF(G3:G42,"&gt;= 80%")/G45)</f>
        <v/>
      </c>
      <c r="H58" s="118">
        <f>(COUNTIF(H3:H42,"&gt;= 80%")/H45)</f>
        <v/>
      </c>
      <c r="I58" s="118">
        <f>(COUNTIF(I3:I42,"&gt;= 80%")/I45)</f>
        <v/>
      </c>
      <c r="J58" s="118">
        <f>(COUNTIF(J3:J42,"&gt;= 80%")/J45)</f>
        <v/>
      </c>
      <c r="K58" s="118">
        <f>(COUNTIF(K3:K42,"&gt;= 80%")/K45)</f>
        <v/>
      </c>
      <c r="L58" s="41">
        <f>AVERAGEIF(B58:K58, "&lt;&gt;#DIV/0!")</f>
        <v/>
      </c>
    </row>
    <row r="59" ht="16.5" customHeight="1" thickBot="1" thickTop="1">
      <c r="A59" s="44" t="n"/>
      <c r="B59" s="89">
        <f>SUMIF(B55:B58, "&lt;&gt;#DIV/0!")</f>
        <v/>
      </c>
      <c r="C59" s="89">
        <f>SUMIF(C55:C58, "&lt;&gt;#DIV/0!")</f>
        <v/>
      </c>
      <c r="D59" s="89">
        <f>SUMIF(D55:D58, "&lt;&gt;#DIV/0!")</f>
        <v/>
      </c>
      <c r="E59" s="89">
        <f>SUMIF(E55:E58, "&lt;&gt;#DIV/0!")</f>
        <v/>
      </c>
      <c r="F59" s="89">
        <f>SUMIF(F55:F58, "&lt;&gt;#DIV/0!")</f>
        <v/>
      </c>
      <c r="G59" s="89">
        <f>SUMIF(G55:G58, "&lt;&gt;#DIV/0!")</f>
        <v/>
      </c>
      <c r="H59" s="89">
        <f>SUMIF(H55:H58, "&lt;&gt;#DIV/0!")</f>
        <v/>
      </c>
      <c r="I59" s="89">
        <f>SUMIF(I55:I58, "&lt;&gt;#DIV/0!")</f>
        <v/>
      </c>
      <c r="J59" s="89">
        <f>SUMIF(J55:J58, "&lt;&gt;#DIV/0!")</f>
        <v/>
      </c>
      <c r="K59" s="89">
        <f>SUMIF(K55:K58, "&lt;&gt;#DIV/0!")</f>
        <v/>
      </c>
      <c r="L59" s="89">
        <f>SUMIF(L55:L58, "&lt;&gt;#DIV/0!")</f>
        <v/>
      </c>
    </row>
    <row r="60" ht="15.75" customHeight="1" thickBot="1"/>
    <row r="61" ht="15.75" customHeight="1" thickBot="1">
      <c r="A61" s="25" t="n"/>
      <c r="B61" s="42" t="inlineStr">
        <is>
          <t>Class Limit</t>
        </is>
      </c>
      <c r="C61" s="42" t="inlineStr">
        <is>
          <t>Bin</t>
        </is>
      </c>
    </row>
    <row r="62" ht="16.5" customHeight="1" thickBot="1">
      <c r="A62" s="38" t="inlineStr">
        <is>
          <t>Exceeds Expectation (A+, A, A-) (%)</t>
        </is>
      </c>
      <c r="B62" s="44" t="inlineStr">
        <is>
          <t>80-100</t>
        </is>
      </c>
      <c r="C62" s="43" t="n">
        <v>100</v>
      </c>
    </row>
    <row r="63" ht="16.5" customHeight="1" thickBot="1">
      <c r="A63" s="38" t="inlineStr">
        <is>
          <t>Meets Expectation (B+, B, B-) (%)</t>
        </is>
      </c>
      <c r="B63" s="44" t="inlineStr">
        <is>
          <t>70-79</t>
        </is>
      </c>
      <c r="C63" s="43" t="n">
        <v>79</v>
      </c>
    </row>
    <row r="64" ht="16.5" customHeight="1" thickBot="1">
      <c r="A64" s="38" t="inlineStr">
        <is>
          <t>Marginal (C+, C)  (%)</t>
        </is>
      </c>
      <c r="B64" s="44" t="inlineStr">
        <is>
          <t>60-69</t>
        </is>
      </c>
      <c r="C64" s="43" t="n">
        <v>69</v>
      </c>
    </row>
    <row r="65" ht="16.5" customHeight="1" thickBot="1">
      <c r="A65" s="38" t="inlineStr">
        <is>
          <t>Below Expectation (C- and below)  (%)</t>
        </is>
      </c>
      <c r="B65" s="44" t="inlineStr">
        <is>
          <t>0-59</t>
        </is>
      </c>
      <c r="C65" s="43" t="n">
        <v>59</v>
      </c>
    </row>
  </sheetData>
  <mergeCells count="1">
    <mergeCell ref="L3:L42"/>
  </mergeCells>
  <conditionalFormatting sqref="B3:K42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69" operator="greaterThanOrEqual" dxfId="3">
      <formula>80</formula>
    </cfRule>
    <cfRule type="containsBlanks" priority="1270" dxfId="4" stopIfTrue="1">
      <formula>LEN(TRIM(B3))=0</formula>
    </cfRule>
    <cfRule type="cellIs" priority="1271" operator="greaterThanOrEqual" dxfId="3">
      <formula>80</formula>
    </cfRule>
    <cfRule type="cellIs" priority="1272" operator="between" dxfId="2">
      <formula>70</formula>
      <formula>79</formula>
    </cfRule>
    <cfRule type="cellIs" priority="1273" operator="between" dxfId="1">
      <formula>60</formula>
      <formula>69</formula>
    </cfRule>
    <cfRule type="cellIs" priority="1274" operator="between" dxfId="0">
      <formula>0</formula>
      <formula>59</formula>
    </cfRule>
  </conditionalFormatting>
  <dataValidations count="1">
    <dataValidation sqref="B2:K2" showErrorMessage="1" showInputMessage="1" allowBlank="1" type="list">
      <formula1>$O$4:$O$11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5"/>
  <sheetViews>
    <sheetView topLeftCell="A22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4.5703125" bestFit="1" customWidth="1" min="3" max="3"/>
    <col width="15.85546875" bestFit="1" customWidth="1" min="4" max="4"/>
    <col width="17.7109375" bestFit="1" customWidth="1" min="5" max="5"/>
    <col width="13.85546875" bestFit="1" customWidth="1" style="106" min="6" max="6"/>
    <col width="9.7109375" bestFit="1" customWidth="1" min="7" max="7"/>
    <col width="17.7109375" bestFit="1" customWidth="1" min="8" max="8"/>
    <col width="7.42578125" bestFit="1" customWidth="1" min="9" max="9"/>
  </cols>
  <sheetData>
    <row r="1" ht="15" customHeight="1">
      <c r="A1" s="9" t="inlineStr">
        <is>
          <t>Student Number</t>
        </is>
      </c>
      <c r="B1" s="155" t="inlineStr">
        <is>
          <t>ENGR-2300-1</t>
        </is>
      </c>
      <c r="C1" s="163" t="inlineStr">
        <is>
          <t>ENGR-3300-2</t>
        </is>
      </c>
      <c r="D1" s="30" t="inlineStr">
        <is>
          <t>SENG-4100-6</t>
        </is>
      </c>
      <c r="E1" s="30">
        <f>COUNTA(B1:D1)</f>
        <v/>
      </c>
    </row>
    <row r="2" ht="30" customHeight="1">
      <c r="A2" s="12" t="inlineStr">
        <is>
          <t>Assessment
Tool</t>
        </is>
      </c>
      <c r="B2" s="12" t="n"/>
      <c r="C2" s="9" t="n"/>
      <c r="D2" s="9" t="n"/>
      <c r="E2" s="30">
        <f>COUNTIF(B2:D2, "&lt;&gt;")</f>
        <v/>
      </c>
    </row>
    <row r="3">
      <c r="A3" s="13" t="n">
        <v>1</v>
      </c>
      <c r="B3" s="164" t="n"/>
      <c r="C3" s="164" t="n"/>
      <c r="D3" s="164" t="n"/>
      <c r="E3" s="191" t="n"/>
    </row>
    <row r="4">
      <c r="A4" s="13" t="n">
        <v>2</v>
      </c>
      <c r="B4" s="164" t="n"/>
      <c r="C4" s="164" t="n"/>
      <c r="D4" s="164" t="n"/>
      <c r="E4" s="192" t="n"/>
    </row>
    <row r="5">
      <c r="A5" s="13" t="n">
        <v>3</v>
      </c>
      <c r="B5" s="164" t="n"/>
      <c r="C5" s="164" t="n"/>
      <c r="D5" s="164" t="n"/>
      <c r="E5" s="192" t="n"/>
    </row>
    <row r="6">
      <c r="A6" s="13" t="n">
        <v>4</v>
      </c>
      <c r="B6" s="164" t="n"/>
      <c r="C6" s="164" t="n"/>
      <c r="D6" s="164" t="n"/>
      <c r="E6" s="192" t="n"/>
      <c r="F6" s="106" t="inlineStr">
        <is>
          <t>A</t>
        </is>
      </c>
    </row>
    <row r="7">
      <c r="A7" s="13" t="n">
        <v>5</v>
      </c>
      <c r="B7" s="164" t="n"/>
      <c r="C7" s="164" t="n"/>
      <c r="D7" s="164" t="n"/>
      <c r="E7" s="192" t="n"/>
      <c r="F7" s="106" t="inlineStr">
        <is>
          <t>Q</t>
        </is>
      </c>
    </row>
    <row r="8">
      <c r="A8" s="13" t="n">
        <v>6</v>
      </c>
      <c r="B8" s="164" t="n"/>
      <c r="C8" s="164" t="n"/>
      <c r="D8" s="164" t="n"/>
      <c r="E8" s="192" t="n"/>
      <c r="F8" s="106" t="inlineStr">
        <is>
          <t>M</t>
        </is>
      </c>
    </row>
    <row r="9">
      <c r="A9" s="13" t="n">
        <v>7</v>
      </c>
      <c r="B9" s="164" t="n"/>
      <c r="C9" s="164" t="n"/>
      <c r="D9" s="164" t="n"/>
      <c r="E9" s="192" t="n"/>
      <c r="F9" s="106" t="inlineStr">
        <is>
          <t>F</t>
        </is>
      </c>
    </row>
    <row r="10">
      <c r="A10" s="13" t="n">
        <v>8</v>
      </c>
      <c r="B10" s="164" t="n"/>
      <c r="C10" s="164" t="n"/>
      <c r="D10" s="164" t="n"/>
      <c r="E10" s="192" t="n"/>
      <c r="F10" s="106" t="inlineStr">
        <is>
          <t>P</t>
        </is>
      </c>
    </row>
    <row r="11">
      <c r="A11" s="13" t="n">
        <v>9</v>
      </c>
      <c r="B11" s="164" t="n"/>
      <c r="C11" s="164" t="n"/>
      <c r="D11" s="164" t="n"/>
      <c r="E11" s="192" t="n"/>
      <c r="F11" s="106" t="inlineStr">
        <is>
          <t>L</t>
        </is>
      </c>
    </row>
    <row r="12">
      <c r="A12" s="13" t="n">
        <v>10</v>
      </c>
      <c r="B12" s="164" t="n"/>
      <c r="C12" s="164" t="n"/>
      <c r="D12" s="164" t="n"/>
      <c r="E12" s="192" t="n"/>
      <c r="F12" s="106" t="inlineStr">
        <is>
          <t>OT</t>
        </is>
      </c>
    </row>
    <row r="13">
      <c r="A13" s="13" t="n">
        <v>11</v>
      </c>
      <c r="B13" s="164" t="n"/>
      <c r="C13" s="164" t="n"/>
      <c r="D13" s="164" t="n"/>
      <c r="E13" s="192" t="n"/>
    </row>
    <row r="14">
      <c r="A14" s="13" t="n">
        <v>12</v>
      </c>
      <c r="B14" s="164" t="n"/>
      <c r="C14" s="164" t="n"/>
      <c r="D14" s="164" t="n"/>
      <c r="E14" s="192" t="n"/>
    </row>
    <row r="15">
      <c r="A15" s="13" t="n">
        <v>13</v>
      </c>
      <c r="B15" s="164" t="n"/>
      <c r="C15" s="164" t="n"/>
      <c r="D15" s="164" t="n"/>
      <c r="E15" s="192" t="n"/>
    </row>
    <row r="16">
      <c r="A16" s="13" t="n">
        <v>14</v>
      </c>
      <c r="B16" s="164" t="n"/>
      <c r="C16" s="164" t="n"/>
      <c r="D16" s="164" t="n"/>
      <c r="E16" s="192" t="n"/>
    </row>
    <row r="17">
      <c r="A17" s="13" t="n">
        <v>15</v>
      </c>
      <c r="B17" s="164" t="n"/>
      <c r="C17" s="164" t="n"/>
      <c r="D17" s="164" t="n"/>
      <c r="E17" s="192" t="n"/>
    </row>
    <row r="18">
      <c r="A18" s="13" t="n">
        <v>16</v>
      </c>
      <c r="B18" s="164" t="n"/>
      <c r="C18" s="164" t="n"/>
      <c r="D18" s="164" t="n"/>
      <c r="E18" s="192" t="n"/>
    </row>
    <row r="19">
      <c r="A19" s="13" t="n">
        <v>17</v>
      </c>
      <c r="B19" s="164" t="n"/>
      <c r="C19" s="164" t="n"/>
      <c r="D19" s="164" t="n"/>
      <c r="E19" s="192" t="n"/>
    </row>
    <row r="20">
      <c r="A20" s="13" t="n">
        <v>18</v>
      </c>
      <c r="B20" s="164" t="n"/>
      <c r="C20" s="164" t="n"/>
      <c r="D20" s="164" t="n"/>
      <c r="E20" s="192" t="n"/>
    </row>
    <row r="21">
      <c r="A21" s="13" t="n">
        <v>19</v>
      </c>
      <c r="B21" s="164" t="n"/>
      <c r="C21" s="164" t="n"/>
      <c r="D21" s="164" t="n"/>
      <c r="E21" s="192" t="n"/>
    </row>
    <row r="22">
      <c r="A22" s="13" t="n">
        <v>20</v>
      </c>
      <c r="B22" s="164" t="n"/>
      <c r="C22" s="164" t="n"/>
      <c r="D22" s="164" t="n"/>
      <c r="E22" s="192" t="n"/>
    </row>
    <row r="23">
      <c r="A23" s="108" t="n">
        <v>21</v>
      </c>
      <c r="B23" s="170" t="n"/>
      <c r="C23" s="170" t="n"/>
      <c r="D23" s="170" t="n"/>
      <c r="E23" s="192" t="n"/>
    </row>
    <row r="24">
      <c r="A24" s="108" t="n">
        <v>22</v>
      </c>
      <c r="B24" s="170" t="n"/>
      <c r="C24" s="170" t="n"/>
      <c r="D24" s="170" t="n"/>
      <c r="E24" s="192" t="n"/>
    </row>
    <row r="25">
      <c r="A25" s="108" t="n">
        <v>23</v>
      </c>
      <c r="B25" s="170" t="n"/>
      <c r="C25" s="170" t="n"/>
      <c r="D25" s="170" t="n"/>
      <c r="E25" s="192" t="n"/>
    </row>
    <row r="26">
      <c r="A26" s="108" t="n">
        <v>24</v>
      </c>
      <c r="B26" s="170" t="n"/>
      <c r="C26" s="170" t="n"/>
      <c r="D26" s="170" t="n"/>
      <c r="E26" s="192" t="n"/>
    </row>
    <row r="27">
      <c r="A27" s="108" t="n">
        <v>25</v>
      </c>
      <c r="B27" s="170" t="n"/>
      <c r="C27" s="170" t="n"/>
      <c r="D27" s="170" t="n"/>
      <c r="E27" s="192" t="n"/>
    </row>
    <row r="28">
      <c r="A28" s="108" t="n">
        <v>26</v>
      </c>
      <c r="B28" s="170" t="n"/>
      <c r="C28" s="170" t="n"/>
      <c r="D28" s="170" t="n"/>
      <c r="E28" s="192" t="n"/>
    </row>
    <row r="29">
      <c r="A29" s="108" t="n">
        <v>27</v>
      </c>
      <c r="B29" s="170" t="n"/>
      <c r="C29" s="170" t="n"/>
      <c r="D29" s="170" t="n"/>
      <c r="E29" s="192" t="n"/>
    </row>
    <row r="30">
      <c r="A30" s="108" t="n">
        <v>28</v>
      </c>
      <c r="B30" s="170" t="n"/>
      <c r="C30" s="170" t="n"/>
      <c r="D30" s="170" t="n"/>
      <c r="E30" s="192" t="n"/>
    </row>
    <row r="31">
      <c r="A31" s="108" t="n">
        <v>29</v>
      </c>
      <c r="B31" s="170" t="n"/>
      <c r="C31" s="170" t="n"/>
      <c r="D31" s="170" t="n"/>
      <c r="E31" s="192" t="n"/>
    </row>
    <row r="32">
      <c r="A32" s="108" t="n">
        <v>30</v>
      </c>
      <c r="B32" s="170" t="n"/>
      <c r="C32" s="170" t="n"/>
      <c r="D32" s="170" t="n"/>
      <c r="E32" s="192" t="n"/>
    </row>
    <row r="33">
      <c r="A33" s="108" t="n">
        <v>31</v>
      </c>
      <c r="B33" s="170" t="n"/>
      <c r="C33" s="170" t="n"/>
      <c r="D33" s="170" t="n"/>
      <c r="E33" s="192" t="n"/>
    </row>
    <row r="34">
      <c r="A34" s="108" t="n">
        <v>32</v>
      </c>
      <c r="B34" s="170" t="n"/>
      <c r="C34" s="170" t="n"/>
      <c r="D34" s="170" t="n"/>
      <c r="E34" s="192" t="n"/>
    </row>
    <row r="35">
      <c r="A35" s="108" t="n">
        <v>33</v>
      </c>
      <c r="B35" s="170" t="n"/>
      <c r="C35" s="170" t="n"/>
      <c r="D35" s="170" t="n"/>
      <c r="E35" s="192" t="n"/>
    </row>
    <row r="36">
      <c r="A36" s="108" t="n">
        <v>34</v>
      </c>
      <c r="B36" s="170" t="n"/>
      <c r="C36" s="170" t="n"/>
      <c r="D36" s="170" t="n"/>
      <c r="E36" s="192" t="n"/>
    </row>
    <row r="37">
      <c r="A37" s="108" t="n">
        <v>35</v>
      </c>
      <c r="B37" s="170" t="n"/>
      <c r="C37" s="170" t="n"/>
      <c r="D37" s="170" t="n"/>
      <c r="E37" s="192" t="n"/>
    </row>
    <row r="38">
      <c r="A38" s="108" t="n">
        <v>36</v>
      </c>
      <c r="B38" s="170" t="n"/>
      <c r="C38" s="170" t="n"/>
      <c r="D38" s="170" t="n"/>
      <c r="E38" s="192" t="n"/>
    </row>
    <row r="39">
      <c r="A39" s="108" t="n">
        <v>37</v>
      </c>
      <c r="B39" s="170" t="n"/>
      <c r="C39" s="170" t="n"/>
      <c r="D39" s="170" t="n"/>
      <c r="E39" s="192" t="n"/>
    </row>
    <row r="40">
      <c r="A40" s="108" t="n">
        <v>38</v>
      </c>
      <c r="B40" s="170" t="n"/>
      <c r="C40" s="170" t="n"/>
      <c r="D40" s="170" t="n"/>
      <c r="E40" s="192" t="n"/>
    </row>
    <row r="41">
      <c r="A41" s="108" t="n">
        <v>39</v>
      </c>
      <c r="B41" s="170" t="n"/>
      <c r="C41" s="170" t="n"/>
      <c r="D41" s="170" t="n"/>
      <c r="E41" s="192" t="n"/>
    </row>
    <row r="42" ht="15.75" customHeight="1" thickBot="1">
      <c r="A42" s="108" t="n">
        <v>40</v>
      </c>
      <c r="B42" s="170" t="n"/>
      <c r="C42" s="170" t="n"/>
      <c r="D42" s="170" t="n"/>
      <c r="E42" s="193" t="n"/>
    </row>
    <row r="43" ht="15.75" customHeight="1" thickTop="1">
      <c r="A43" s="34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17" t="n"/>
    </row>
    <row r="44">
      <c r="A44" s="36" t="inlineStr">
        <is>
          <t>Overall Average</t>
        </is>
      </c>
      <c r="B44" s="164">
        <f>AVERAGEIF(B43:D43, "&lt;&gt;#DIV/0!")</f>
        <v/>
      </c>
      <c r="C44" s="164" t="n"/>
      <c r="D44" s="164" t="n"/>
      <c r="E44" s="14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</row>
    <row r="46">
      <c r="A46" s="92" t="n"/>
      <c r="B46" s="21" t="n"/>
      <c r="C46" s="21" t="n"/>
      <c r="D46" s="21" t="n"/>
    </row>
    <row r="47">
      <c r="A47" s="9" t="n"/>
      <c r="B47" s="1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99" t="inlineStr">
        <is>
          <t>I (1st, 2nd yr)</t>
        </is>
      </c>
      <c r="B48" s="13">
        <f>COUNTIF($B$2, "A")</f>
        <v/>
      </c>
      <c r="C48" s="13">
        <f>COUNTIF($B$2, "Q")</f>
        <v/>
      </c>
      <c r="D48" s="13">
        <f>COUNTIF($B$2, "M")</f>
        <v/>
      </c>
      <c r="E48" s="13">
        <f>COUNTIF($B$2, "F")</f>
        <v/>
      </c>
      <c r="F48" s="13">
        <f>COUNTIF($B$2, "P")</f>
        <v/>
      </c>
      <c r="G48" s="13">
        <f>COUNTIF($B$2, "L")</f>
        <v/>
      </c>
      <c r="H48" s="13">
        <f>COUNTIF($B$2, "OT")</f>
        <v/>
      </c>
      <c r="I48" s="9">
        <f>SUM(B48:D48)</f>
        <v/>
      </c>
    </row>
    <row r="49">
      <c r="A49" s="100" t="inlineStr">
        <is>
          <t>D (2nd &amp; 3rd yr)</t>
        </is>
      </c>
      <c r="B49" s="13">
        <f>COUNTIF($C$2, "A")</f>
        <v/>
      </c>
      <c r="C49" s="13">
        <f>COUNTIF($C$2, "Q")</f>
        <v/>
      </c>
      <c r="D49" s="13">
        <f>COUNTIF($C$2, "M")</f>
        <v/>
      </c>
      <c r="E49" s="13">
        <f>COUNTIF($C$2, "F")</f>
        <v/>
      </c>
      <c r="F49" s="13">
        <f>COUNTIF($C$2, "P")</f>
        <v/>
      </c>
      <c r="G49" s="13">
        <f>COUNTIF($C$2, "L")</f>
        <v/>
      </c>
      <c r="H49" s="13">
        <f>COUNTIF($C$2, "OT")</f>
        <v/>
      </c>
      <c r="I49" s="9">
        <f>SUM(B49:D49)</f>
        <v/>
      </c>
    </row>
    <row r="50">
      <c r="A50" s="101" t="inlineStr">
        <is>
          <t>A (3rd, 4yr)</t>
        </is>
      </c>
      <c r="B50" s="13">
        <f>COUNTIF($D$2:$D$2, "A")</f>
        <v/>
      </c>
      <c r="C50" s="13">
        <f>COUNTIF($D$2:$D$2, "Q")</f>
        <v/>
      </c>
      <c r="D50" s="13">
        <f>COUNTIF($D$2:$D$2, "M")</f>
        <v/>
      </c>
      <c r="E50" s="13">
        <f>COUNTIF($D$2:$D$2, "F")</f>
        <v/>
      </c>
      <c r="F50" s="13">
        <f>COUNTIF($D$2:$D$2, "P")</f>
        <v/>
      </c>
      <c r="G50" s="13">
        <f>COUNTIF($D$2:$D$2, "L")</f>
        <v/>
      </c>
      <c r="H50" s="13">
        <f>COUNTIF($D$2:$D$2, "OT")</f>
        <v/>
      </c>
      <c r="I50" s="9">
        <f>SUM(B50:D50)</f>
        <v/>
      </c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SUM(I48:I50)</f>
        <v/>
      </c>
    </row>
    <row r="53" ht="18.75" customHeight="1" thickBot="1">
      <c r="A53" s="87" t="inlineStr">
        <is>
          <t>Frequency Distribution Analysis</t>
        </is>
      </c>
      <c r="B53" s="87" t="n"/>
      <c r="C53" s="87" t="n"/>
      <c r="D53" s="87" t="n"/>
    </row>
    <row r="54" ht="16.5" customHeight="1" thickBot="1">
      <c r="A54" s="109" t="inlineStr">
        <is>
          <t>Scale</t>
        </is>
      </c>
      <c r="B54" s="155" t="inlineStr">
        <is>
          <t>ENGR-2300-1</t>
        </is>
      </c>
      <c r="C54" s="163" t="inlineStr">
        <is>
          <t>ENGR-3300-2</t>
        </is>
      </c>
      <c r="D54" s="30" t="inlineStr">
        <is>
          <t>SENG-4100-6</t>
        </is>
      </c>
      <c r="E54" s="40" t="inlineStr">
        <is>
          <t>Average</t>
        </is>
      </c>
    </row>
    <row r="55" ht="16.5" customHeight="1" thickBot="1">
      <c r="A55" s="110" t="inlineStr">
        <is>
          <t>Below Expectation (C- and below)  (%)</t>
        </is>
      </c>
      <c r="B55" s="115">
        <f>(COUNTIF(B3:B42, "&lt;=59%"))/B45</f>
        <v/>
      </c>
      <c r="C55" s="115">
        <f>(COUNTIF(C3:C42, "&lt;=59%"))/C45</f>
        <v/>
      </c>
      <c r="D55" s="115">
        <f>(COUNTIF(D3:D42, "&lt;=59%"))/D45</f>
        <v/>
      </c>
      <c r="E55" s="88">
        <f>AVERAGEIF(B55:D55, "&lt;&gt;#DIV/0!")</f>
        <v/>
      </c>
    </row>
    <row r="56" ht="16.5" customHeight="1" thickBot="1">
      <c r="A56" s="111" t="inlineStr">
        <is>
          <t>Marginal (C+, C)  (%)</t>
        </is>
      </c>
      <c r="B56" s="118">
        <f>(COUNTIFS(B3:B42, "&gt;= 60%", B3:B42, "&lt;=69%" ))/B45</f>
        <v/>
      </c>
      <c r="C56" s="118">
        <f>(COUNTIFS(C3:C42, "&gt;= 60%", C3:C42, "&lt;=69%" ))/C45</f>
        <v/>
      </c>
      <c r="D56" s="118">
        <f>(COUNTIFS(D3:D42, "&gt;= 60%", D3:D42, "&lt;=69%" ))/D45</f>
        <v/>
      </c>
      <c r="E56" s="88">
        <f>AVERAGEIF(B56:D56, "&lt;&gt;#DIV/0!")</f>
        <v/>
      </c>
    </row>
    <row r="57" ht="16.5" customHeight="1" thickBot="1">
      <c r="A57" s="112" t="inlineStr">
        <is>
          <t>Meets Expectation (B+, B, B-) (%)</t>
        </is>
      </c>
      <c r="B57" s="118">
        <f>(COUNTIFS(B3:B42, "&gt;= 70%", B3:B42, "&lt;=79%" ))/B45</f>
        <v/>
      </c>
      <c r="C57" s="118">
        <f>(COUNTIFS(C3:C42, "&gt;= 70%", C3:C42, "&lt;=79%" ))/C45</f>
        <v/>
      </c>
      <c r="D57" s="118">
        <f>(COUNTIFS(D3:D42, "&gt;= 70%", D3:D42, "&lt;=79%" ))/D45</f>
        <v/>
      </c>
      <c r="E57" s="88">
        <f>AVERAGEIF(B57:D57, "&lt;&gt;#DIV/0!")</f>
        <v/>
      </c>
    </row>
    <row r="58" ht="16.5" customHeight="1" thickBot="1">
      <c r="A58" s="113" t="inlineStr">
        <is>
          <t>Exceeds Expectation (A+, A, A-) (%)</t>
        </is>
      </c>
      <c r="B58" s="118">
        <f>(COUNTIF(B3:B42,"&gt;= 80%")/B45)</f>
        <v/>
      </c>
      <c r="C58" s="118">
        <f>(COUNTIF(C3:C42,"&gt;= 80%")/C45)</f>
        <v/>
      </c>
      <c r="D58" s="118">
        <f>(COUNTIF(D3:D42,"&gt;= 80%")/D45)</f>
        <v/>
      </c>
      <c r="E58" s="88">
        <f>AVERAGEIF(B58:D58, "&lt;&gt;#DIV/0!")</f>
        <v/>
      </c>
    </row>
    <row r="59" ht="15.75" customHeight="1" thickBot="1">
      <c r="A59" s="121" t="n"/>
      <c r="B59" s="119">
        <f>SUMIF(B55:B58, "&lt;&gt;#DIV/0!")</f>
        <v/>
      </c>
      <c r="C59" s="126">
        <f>SUMIF(C55:C58, "&lt;&gt;#DIV/0!")</f>
        <v/>
      </c>
      <c r="D59" s="126">
        <f>SUMIF(D55:D58, "&lt;&gt;#DIV/0!")</f>
        <v/>
      </c>
      <c r="E59" s="126">
        <f>SUMIF(E55:E58, "&lt;&gt;#DIV/0!")</f>
        <v/>
      </c>
    </row>
    <row r="60" ht="15.75" customHeight="1" thickBot="1"/>
    <row r="61" ht="15.75" customHeight="1" thickBot="1">
      <c r="A61" s="25" t="n"/>
      <c r="B61" s="42" t="inlineStr">
        <is>
          <t>Class Limit</t>
        </is>
      </c>
      <c r="C61" s="42" t="inlineStr">
        <is>
          <t>Bin</t>
        </is>
      </c>
    </row>
    <row r="62" ht="16.5" customHeight="1" thickBot="1">
      <c r="A62" s="38" t="inlineStr">
        <is>
          <t>Exceeds Expectation (A+, A, A-) (%)</t>
        </is>
      </c>
      <c r="B62" s="44" t="inlineStr">
        <is>
          <t>80-100</t>
        </is>
      </c>
      <c r="C62" s="43" t="n">
        <v>100</v>
      </c>
    </row>
    <row r="63" ht="16.5" customHeight="1" thickBot="1">
      <c r="A63" s="38" t="inlineStr">
        <is>
          <t>Meets Expectation (B+, B, B-) (%)</t>
        </is>
      </c>
      <c r="B63" s="44" t="inlineStr">
        <is>
          <t>70-79</t>
        </is>
      </c>
      <c r="C63" s="43" t="n">
        <v>79</v>
      </c>
    </row>
    <row r="64" ht="16.5" customHeight="1" thickBot="1">
      <c r="A64" s="38" t="inlineStr">
        <is>
          <t>Marginal (C+, C)  (%)</t>
        </is>
      </c>
      <c r="B64" s="44" t="inlineStr">
        <is>
          <t>60-69</t>
        </is>
      </c>
      <c r="C64" s="43" t="n">
        <v>69</v>
      </c>
    </row>
    <row r="65" ht="16.5" customHeight="1" thickBot="1">
      <c r="A65" s="38" t="inlineStr">
        <is>
          <t>Below Expectation (C- and below)  (%)</t>
        </is>
      </c>
      <c r="B65" s="44" t="inlineStr">
        <is>
          <t>0-59</t>
        </is>
      </c>
      <c r="C65" s="43" t="n">
        <v>59</v>
      </c>
    </row>
  </sheetData>
  <mergeCells count="1">
    <mergeCell ref="E3:E42"/>
  </mergeCells>
  <conditionalFormatting sqref="B3:D42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76" operator="greaterThanOrEqual" dxfId="3">
      <formula>80</formula>
    </cfRule>
    <cfRule type="containsBlanks" priority="1277" dxfId="4" stopIfTrue="1">
      <formula>LEN(TRIM(B3))=0</formula>
    </cfRule>
    <cfRule type="cellIs" priority="1278" operator="greaterThanOrEqual" dxfId="3">
      <formula>80</formula>
    </cfRule>
    <cfRule type="cellIs" priority="1279" operator="between" dxfId="2">
      <formula>70</formula>
      <formula>79</formula>
    </cfRule>
    <cfRule type="cellIs" priority="1280" operator="between" dxfId="1">
      <formula>60</formula>
      <formula>69</formula>
    </cfRule>
    <cfRule type="cellIs" priority="1281" operator="between" dxfId="0">
      <formula>0</formula>
      <formula>59</formula>
    </cfRule>
  </conditionalFormatting>
  <dataValidations count="1">
    <dataValidation sqref="B2:D2" showErrorMessage="1" showInputMessage="1" allowBlank="1" type="list">
      <formula1>$F$6:$F$13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65"/>
  <sheetViews>
    <sheetView topLeftCell="A21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5.42578125" bestFit="1" customWidth="1" min="3" max="3"/>
    <col width="15.85546875" bestFit="1" customWidth="1" min="4" max="4"/>
    <col width="17.7109375" bestFit="1" customWidth="1" min="5" max="5"/>
    <col width="17.7109375" customWidth="1" min="6" max="13"/>
    <col width="15" bestFit="1" customWidth="1" min="14" max="14"/>
    <col width="17.7109375" bestFit="1" customWidth="1" min="15" max="15"/>
    <col width="15" bestFit="1" customWidth="1" min="16" max="16"/>
    <col width="9.28515625" bestFit="1" customWidth="1" min="17" max="17"/>
  </cols>
  <sheetData>
    <row r="1">
      <c r="A1" s="9" t="inlineStr">
        <is>
          <t>Student Number</t>
        </is>
      </c>
      <c r="B1" s="146" t="inlineStr">
        <is>
          <t>CENG-3020-5</t>
        </is>
      </c>
      <c r="C1" s="146" t="inlineStr">
        <is>
          <t>COMP-3610-10</t>
        </is>
      </c>
      <c r="D1" s="162" t="inlineStr">
        <is>
          <t>EENG-3010-5</t>
        </is>
      </c>
      <c r="E1" s="145" t="inlineStr">
        <is>
          <t>ENGR-1100-9</t>
        </is>
      </c>
      <c r="F1" s="145" t="inlineStr">
        <is>
          <t>ENGR-1200-5</t>
        </is>
      </c>
      <c r="G1" s="162" t="inlineStr">
        <is>
          <t>ENGR-2000-8</t>
        </is>
      </c>
      <c r="H1" s="145" t="inlineStr">
        <is>
          <t>ENGR-2300-5</t>
        </is>
      </c>
      <c r="I1" s="162" t="inlineStr">
        <is>
          <t>ENGR-3300-5</t>
        </is>
      </c>
      <c r="J1" s="146" t="inlineStr">
        <is>
          <t>SENG-4100-2</t>
        </is>
      </c>
      <c r="K1" s="146" t="inlineStr">
        <is>
          <t>SENG-4140-5</t>
        </is>
      </c>
      <c r="L1" s="146" t="inlineStr">
        <is>
          <t>SENG-4640-4</t>
        </is>
      </c>
      <c r="M1" s="146" t="inlineStr">
        <is>
          <t>SENG-4640-5</t>
        </is>
      </c>
      <c r="N1" s="30">
        <f>COUNTA(B1:F1)</f>
        <v/>
      </c>
    </row>
    <row r="2" ht="30" customHeight="1">
      <c r="A2" s="12" t="inlineStr">
        <is>
          <t>Assessment
Tool</t>
        </is>
      </c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30">
        <f>COUNTIF(B2:F2, "&lt;&gt;")</f>
        <v/>
      </c>
    </row>
    <row r="3">
      <c r="A3" s="31" t="n">
        <v>1</v>
      </c>
      <c r="B3" s="164" t="n"/>
      <c r="C3" s="164" t="n"/>
      <c r="D3" s="164" t="n"/>
      <c r="E3" s="164" t="n"/>
      <c r="F3" s="164" t="n"/>
      <c r="G3" s="165" t="n"/>
      <c r="H3" s="165" t="n"/>
      <c r="I3" s="165" t="n"/>
      <c r="J3" s="165" t="n"/>
      <c r="K3" s="165" t="n"/>
      <c r="L3" s="165" t="n"/>
      <c r="M3" s="165" t="n"/>
      <c r="N3" s="194" t="n"/>
    </row>
    <row r="4">
      <c r="A4" s="31" t="n">
        <v>2</v>
      </c>
      <c r="B4" s="164" t="n"/>
      <c r="C4" s="164" t="n"/>
      <c r="D4" s="164" t="n"/>
      <c r="E4" s="164" t="n"/>
      <c r="F4" s="164" t="n"/>
      <c r="G4" s="167" t="n"/>
      <c r="H4" s="167" t="n"/>
      <c r="I4" s="167" t="n"/>
      <c r="J4" s="167" t="n"/>
      <c r="K4" s="167" t="n"/>
      <c r="L4" s="167" t="n"/>
      <c r="M4" s="167" t="n"/>
      <c r="N4" s="192" t="n"/>
    </row>
    <row r="5">
      <c r="A5" s="31" t="n">
        <v>3</v>
      </c>
      <c r="B5" s="164" t="n"/>
      <c r="C5" s="164" t="n"/>
      <c r="D5" s="164" t="n"/>
      <c r="E5" s="164" t="n"/>
      <c r="F5" s="164" t="n"/>
      <c r="G5" s="167" t="n"/>
      <c r="H5" s="167" t="n"/>
      <c r="I5" s="167" t="n"/>
      <c r="J5" s="167" t="n"/>
      <c r="K5" s="167" t="n"/>
      <c r="L5" s="167" t="n"/>
      <c r="M5" s="167" t="n"/>
      <c r="N5" s="192" t="n"/>
    </row>
    <row r="6">
      <c r="A6" s="31" t="n">
        <v>4</v>
      </c>
      <c r="B6" s="164" t="n"/>
      <c r="C6" s="164" t="n"/>
      <c r="D6" s="164" t="n"/>
      <c r="E6" s="164" t="n"/>
      <c r="F6" s="164" t="n"/>
      <c r="G6" s="167" t="n"/>
      <c r="H6" s="167" t="n"/>
      <c r="I6" s="167" t="n"/>
      <c r="J6" s="167" t="n"/>
      <c r="K6" s="167" t="n"/>
      <c r="L6" s="167" t="n"/>
      <c r="M6" s="167" t="n"/>
      <c r="N6" s="192" t="n"/>
      <c r="S6" s="106" t="inlineStr">
        <is>
          <t>A</t>
        </is>
      </c>
    </row>
    <row r="7">
      <c r="A7" s="31" t="n">
        <v>5</v>
      </c>
      <c r="B7" s="164" t="n"/>
      <c r="C7" s="164" t="n"/>
      <c r="D7" s="164" t="n"/>
      <c r="E7" s="164" t="n"/>
      <c r="F7" s="164" t="n"/>
      <c r="G7" s="167" t="n"/>
      <c r="H7" s="167" t="n"/>
      <c r="I7" s="167" t="n"/>
      <c r="J7" s="167" t="n"/>
      <c r="K7" s="167" t="n"/>
      <c r="L7" s="167" t="n"/>
      <c r="M7" s="167" t="n"/>
      <c r="N7" s="192" t="n"/>
      <c r="S7" s="106" t="inlineStr">
        <is>
          <t>Q</t>
        </is>
      </c>
    </row>
    <row r="8">
      <c r="A8" s="31" t="n">
        <v>6</v>
      </c>
      <c r="B8" s="164" t="n"/>
      <c r="C8" s="164" t="n"/>
      <c r="D8" s="164" t="n"/>
      <c r="E8" s="164" t="n"/>
      <c r="F8" s="164" t="n"/>
      <c r="G8" s="167" t="n"/>
      <c r="H8" s="167" t="n"/>
      <c r="I8" s="167" t="n"/>
      <c r="J8" s="167" t="n"/>
      <c r="K8" s="167" t="n"/>
      <c r="L8" s="167" t="n"/>
      <c r="M8" s="167" t="n"/>
      <c r="N8" s="192" t="n"/>
      <c r="S8" s="106" t="inlineStr">
        <is>
          <t>M</t>
        </is>
      </c>
    </row>
    <row r="9">
      <c r="A9" s="31" t="n">
        <v>7</v>
      </c>
      <c r="B9" s="164" t="n"/>
      <c r="C9" s="164" t="n"/>
      <c r="D9" s="164" t="n"/>
      <c r="E9" s="164" t="n"/>
      <c r="F9" s="164" t="n"/>
      <c r="G9" s="167" t="n"/>
      <c r="H9" s="167" t="n"/>
      <c r="I9" s="167" t="n"/>
      <c r="J9" s="167" t="n"/>
      <c r="K9" s="167" t="n"/>
      <c r="L9" s="167" t="n"/>
      <c r="M9" s="167" t="n"/>
      <c r="N9" s="192" t="n"/>
      <c r="S9" s="106" t="inlineStr">
        <is>
          <t>F</t>
        </is>
      </c>
    </row>
    <row r="10">
      <c r="A10" s="31" t="n">
        <v>8</v>
      </c>
      <c r="B10" s="164" t="n"/>
      <c r="C10" s="164" t="n"/>
      <c r="D10" s="164" t="n"/>
      <c r="E10" s="164" t="n"/>
      <c r="F10" s="164" t="n"/>
      <c r="G10" s="167" t="n"/>
      <c r="H10" s="167" t="n"/>
      <c r="I10" s="167" t="n"/>
      <c r="J10" s="167" t="n"/>
      <c r="K10" s="167" t="n"/>
      <c r="L10" s="167" t="n"/>
      <c r="M10" s="167" t="n"/>
      <c r="N10" s="192" t="n"/>
      <c r="S10" s="106" t="inlineStr">
        <is>
          <t>P</t>
        </is>
      </c>
    </row>
    <row r="11">
      <c r="A11" s="31" t="n">
        <v>9</v>
      </c>
      <c r="B11" s="164" t="n"/>
      <c r="C11" s="164" t="n"/>
      <c r="D11" s="164" t="n"/>
      <c r="E11" s="164" t="n"/>
      <c r="F11" s="164" t="n"/>
      <c r="G11" s="167" t="n"/>
      <c r="H11" s="167" t="n"/>
      <c r="I11" s="167" t="n"/>
      <c r="J11" s="167" t="n"/>
      <c r="K11" s="167" t="n"/>
      <c r="L11" s="167" t="n"/>
      <c r="M11" s="167" t="n"/>
      <c r="N11" s="192" t="n"/>
      <c r="S11" s="106" t="inlineStr">
        <is>
          <t>L</t>
        </is>
      </c>
    </row>
    <row r="12">
      <c r="A12" s="31" t="n">
        <v>10</v>
      </c>
      <c r="B12" s="164" t="n"/>
      <c r="C12" s="164" t="n"/>
      <c r="D12" s="164" t="n"/>
      <c r="E12" s="164" t="n"/>
      <c r="F12" s="164" t="n"/>
      <c r="G12" s="167" t="n"/>
      <c r="H12" s="167" t="n"/>
      <c r="I12" s="167" t="n"/>
      <c r="J12" s="167" t="n"/>
      <c r="K12" s="167" t="n"/>
      <c r="L12" s="167" t="n"/>
      <c r="M12" s="167" t="n"/>
      <c r="N12" s="192" t="n"/>
      <c r="S12" s="106" t="inlineStr">
        <is>
          <t>OT</t>
        </is>
      </c>
    </row>
    <row r="13">
      <c r="A13" s="31" t="n">
        <v>11</v>
      </c>
      <c r="B13" s="164" t="n"/>
      <c r="C13" s="164" t="n"/>
      <c r="D13" s="164" t="n"/>
      <c r="E13" s="164" t="n"/>
      <c r="F13" s="164" t="n"/>
      <c r="G13" s="167" t="n"/>
      <c r="H13" s="167" t="n"/>
      <c r="I13" s="167" t="n"/>
      <c r="J13" s="167" t="n"/>
      <c r="K13" s="167" t="n"/>
      <c r="L13" s="167" t="n"/>
      <c r="M13" s="167" t="n"/>
      <c r="N13" s="192" t="n"/>
    </row>
    <row r="14">
      <c r="A14" s="31" t="n">
        <v>12</v>
      </c>
      <c r="B14" s="164" t="n"/>
      <c r="C14" s="164" t="n"/>
      <c r="D14" s="164" t="n"/>
      <c r="E14" s="164" t="n"/>
      <c r="F14" s="164" t="n"/>
      <c r="G14" s="167" t="n"/>
      <c r="H14" s="167" t="n"/>
      <c r="I14" s="167" t="n"/>
      <c r="J14" s="167" t="n"/>
      <c r="K14" s="167" t="n"/>
      <c r="L14" s="167" t="n"/>
      <c r="M14" s="167" t="n"/>
      <c r="N14" s="192" t="n"/>
    </row>
    <row r="15">
      <c r="A15" s="31" t="n">
        <v>13</v>
      </c>
      <c r="B15" s="164" t="n"/>
      <c r="C15" s="164" t="n"/>
      <c r="D15" s="164" t="n"/>
      <c r="E15" s="164" t="n"/>
      <c r="F15" s="164" t="n"/>
      <c r="G15" s="167" t="n"/>
      <c r="H15" s="167" t="n"/>
      <c r="I15" s="167" t="n"/>
      <c r="J15" s="167" t="n"/>
      <c r="K15" s="167" t="n"/>
      <c r="L15" s="167" t="n"/>
      <c r="M15" s="167" t="n"/>
      <c r="N15" s="192" t="n"/>
    </row>
    <row r="16">
      <c r="A16" s="31" t="n">
        <v>14</v>
      </c>
      <c r="B16" s="164" t="n"/>
      <c r="C16" s="164" t="n"/>
      <c r="D16" s="164" t="n"/>
      <c r="E16" s="164" t="n"/>
      <c r="F16" s="164" t="n"/>
      <c r="G16" s="167" t="n"/>
      <c r="H16" s="167" t="n"/>
      <c r="I16" s="167" t="n"/>
      <c r="J16" s="167" t="n"/>
      <c r="K16" s="167" t="n"/>
      <c r="L16" s="167" t="n"/>
      <c r="M16" s="167" t="n"/>
      <c r="N16" s="192" t="n"/>
    </row>
    <row r="17">
      <c r="A17" s="31" t="n">
        <v>15</v>
      </c>
      <c r="B17" s="164" t="n"/>
      <c r="C17" s="164" t="n"/>
      <c r="D17" s="164" t="n"/>
      <c r="E17" s="164" t="n"/>
      <c r="F17" s="164" t="n"/>
      <c r="G17" s="167" t="n"/>
      <c r="H17" s="167" t="n"/>
      <c r="I17" s="167" t="n"/>
      <c r="J17" s="167" t="n"/>
      <c r="K17" s="167" t="n"/>
      <c r="L17" s="167" t="n"/>
      <c r="M17" s="167" t="n"/>
      <c r="N17" s="192" t="n"/>
    </row>
    <row r="18">
      <c r="A18" s="31" t="n">
        <v>16</v>
      </c>
      <c r="B18" s="164" t="n"/>
      <c r="C18" s="164" t="n"/>
      <c r="D18" s="164" t="n"/>
      <c r="E18" s="164" t="n"/>
      <c r="F18" s="164" t="n"/>
      <c r="G18" s="167" t="n"/>
      <c r="H18" s="167" t="n"/>
      <c r="I18" s="167" t="n"/>
      <c r="J18" s="167" t="n"/>
      <c r="K18" s="167" t="n"/>
      <c r="L18" s="167" t="n"/>
      <c r="M18" s="167" t="n"/>
      <c r="N18" s="192" t="n"/>
    </row>
    <row r="19">
      <c r="A19" s="31" t="n">
        <v>17</v>
      </c>
      <c r="B19" s="164" t="n"/>
      <c r="C19" s="164" t="n"/>
      <c r="D19" s="164" t="n"/>
      <c r="E19" s="164" t="n"/>
      <c r="F19" s="164" t="n"/>
      <c r="G19" s="167" t="n"/>
      <c r="H19" s="167" t="n"/>
      <c r="I19" s="167" t="n"/>
      <c r="J19" s="167" t="n"/>
      <c r="K19" s="167" t="n"/>
      <c r="L19" s="167" t="n"/>
      <c r="M19" s="167" t="n"/>
      <c r="N19" s="192" t="n"/>
    </row>
    <row r="20">
      <c r="A20" s="31" t="n">
        <v>18</v>
      </c>
      <c r="B20" s="164" t="n"/>
      <c r="C20" s="164" t="n"/>
      <c r="D20" s="164" t="n"/>
      <c r="E20" s="164" t="n"/>
      <c r="F20" s="164" t="n"/>
      <c r="G20" s="167" t="n"/>
      <c r="H20" s="167" t="n"/>
      <c r="I20" s="167" t="n"/>
      <c r="J20" s="167" t="n"/>
      <c r="K20" s="167" t="n"/>
      <c r="L20" s="167" t="n"/>
      <c r="M20" s="167" t="n"/>
      <c r="N20" s="192" t="n"/>
    </row>
    <row r="21">
      <c r="A21" s="31" t="n">
        <v>19</v>
      </c>
      <c r="B21" s="164" t="n"/>
      <c r="C21" s="164" t="n"/>
      <c r="D21" s="164" t="n"/>
      <c r="E21" s="164" t="n"/>
      <c r="F21" s="164" t="n"/>
      <c r="G21" s="167" t="n"/>
      <c r="H21" s="167" t="n"/>
      <c r="I21" s="167" t="n"/>
      <c r="J21" s="167" t="n"/>
      <c r="K21" s="167" t="n"/>
      <c r="L21" s="167" t="n"/>
      <c r="M21" s="167" t="n"/>
      <c r="N21" s="192" t="n"/>
    </row>
    <row r="22">
      <c r="A22" s="31" t="n">
        <v>20</v>
      </c>
      <c r="B22" s="164" t="n"/>
      <c r="C22" s="164" t="n"/>
      <c r="D22" s="164" t="n"/>
      <c r="E22" s="164" t="n"/>
      <c r="F22" s="164" t="n"/>
      <c r="G22" s="167" t="n"/>
      <c r="H22" s="167" t="n"/>
      <c r="I22" s="167" t="n"/>
      <c r="J22" s="167" t="n"/>
      <c r="K22" s="167" t="n"/>
      <c r="L22" s="167" t="n"/>
      <c r="M22" s="167" t="n"/>
      <c r="N22" s="192" t="n"/>
    </row>
    <row r="23">
      <c r="A23" s="31" t="n">
        <v>21</v>
      </c>
      <c r="B23" s="164" t="n"/>
      <c r="C23" s="164" t="n"/>
      <c r="D23" s="164" t="n"/>
      <c r="E23" s="164" t="n"/>
      <c r="F23" s="164" t="n"/>
      <c r="G23" s="167" t="n"/>
      <c r="H23" s="167" t="n"/>
      <c r="I23" s="167" t="n"/>
      <c r="J23" s="167" t="n"/>
      <c r="K23" s="167" t="n"/>
      <c r="L23" s="167" t="n"/>
      <c r="M23" s="167" t="n"/>
      <c r="N23" s="192" t="n"/>
    </row>
    <row r="24">
      <c r="A24" s="31" t="n">
        <v>22</v>
      </c>
      <c r="B24" s="164" t="n"/>
      <c r="C24" s="164" t="n"/>
      <c r="D24" s="164" t="n"/>
      <c r="E24" s="164" t="n"/>
      <c r="F24" s="164" t="n"/>
      <c r="G24" s="167" t="n"/>
      <c r="H24" s="167" t="n"/>
      <c r="I24" s="167" t="n"/>
      <c r="J24" s="167" t="n"/>
      <c r="K24" s="167" t="n"/>
      <c r="L24" s="167" t="n"/>
      <c r="M24" s="167" t="n"/>
      <c r="N24" s="192" t="n"/>
    </row>
    <row r="25">
      <c r="A25" s="31" t="n">
        <v>23</v>
      </c>
      <c r="B25" s="164" t="n"/>
      <c r="C25" s="164" t="n"/>
      <c r="D25" s="164" t="n"/>
      <c r="E25" s="164" t="n"/>
      <c r="F25" s="164" t="n"/>
      <c r="G25" s="167" t="n"/>
      <c r="H25" s="167" t="n"/>
      <c r="I25" s="167" t="n"/>
      <c r="J25" s="167" t="n"/>
      <c r="K25" s="167" t="n"/>
      <c r="L25" s="167" t="n"/>
      <c r="M25" s="167" t="n"/>
      <c r="N25" s="192" t="n"/>
    </row>
    <row r="26">
      <c r="A26" s="31" t="n">
        <v>24</v>
      </c>
      <c r="B26" s="164" t="n"/>
      <c r="C26" s="164" t="n"/>
      <c r="D26" s="164" t="n"/>
      <c r="E26" s="164" t="n"/>
      <c r="F26" s="164" t="n"/>
      <c r="G26" s="167" t="n"/>
      <c r="H26" s="167" t="n"/>
      <c r="I26" s="167" t="n"/>
      <c r="J26" s="167" t="n"/>
      <c r="K26" s="167" t="n"/>
      <c r="L26" s="167" t="n"/>
      <c r="M26" s="167" t="n"/>
      <c r="N26" s="192" t="n"/>
    </row>
    <row r="27">
      <c r="A27" s="31" t="n">
        <v>25</v>
      </c>
      <c r="B27" s="164" t="n"/>
      <c r="C27" s="164" t="n"/>
      <c r="D27" s="164" t="n"/>
      <c r="E27" s="164" t="n"/>
      <c r="F27" s="164" t="n"/>
      <c r="G27" s="167" t="n"/>
      <c r="H27" s="167" t="n"/>
      <c r="I27" s="167" t="n"/>
      <c r="J27" s="167" t="n"/>
      <c r="K27" s="167" t="n"/>
      <c r="L27" s="167" t="n"/>
      <c r="M27" s="167" t="n"/>
      <c r="N27" s="192" t="n"/>
    </row>
    <row r="28">
      <c r="A28" s="31" t="n">
        <v>26</v>
      </c>
      <c r="B28" s="170" t="n"/>
      <c r="C28" s="170" t="n"/>
      <c r="D28" s="170" t="n"/>
      <c r="E28" s="170" t="n"/>
      <c r="F28" s="170" t="n"/>
      <c r="G28" s="167" t="n"/>
      <c r="H28" s="167" t="n"/>
      <c r="I28" s="167" t="n"/>
      <c r="J28" s="167" t="n"/>
      <c r="K28" s="167" t="n"/>
      <c r="L28" s="167" t="n"/>
      <c r="M28" s="167" t="n"/>
      <c r="N28" s="192" t="n"/>
    </row>
    <row r="29">
      <c r="A29" s="31" t="n">
        <v>27</v>
      </c>
      <c r="B29" s="170" t="n"/>
      <c r="C29" s="170" t="n"/>
      <c r="D29" s="170" t="n"/>
      <c r="E29" s="170" t="n"/>
      <c r="F29" s="170" t="n"/>
      <c r="G29" s="167" t="n"/>
      <c r="H29" s="167" t="n"/>
      <c r="I29" s="167" t="n"/>
      <c r="J29" s="167" t="n"/>
      <c r="K29" s="167" t="n"/>
      <c r="L29" s="167" t="n"/>
      <c r="M29" s="167" t="n"/>
      <c r="N29" s="192" t="n"/>
    </row>
    <row r="30">
      <c r="A30" s="31" t="n">
        <v>28</v>
      </c>
      <c r="B30" s="170" t="n"/>
      <c r="C30" s="170" t="n"/>
      <c r="D30" s="170" t="n"/>
      <c r="E30" s="170" t="n"/>
      <c r="F30" s="170" t="n"/>
      <c r="G30" s="167" t="n"/>
      <c r="H30" s="167" t="n"/>
      <c r="I30" s="167" t="n"/>
      <c r="J30" s="167" t="n"/>
      <c r="K30" s="167" t="n"/>
      <c r="L30" s="167" t="n"/>
      <c r="M30" s="167" t="n"/>
      <c r="N30" s="192" t="n"/>
    </row>
    <row r="31">
      <c r="A31" s="31" t="n">
        <v>29</v>
      </c>
      <c r="B31" s="170" t="n"/>
      <c r="C31" s="170" t="n"/>
      <c r="D31" s="170" t="n"/>
      <c r="E31" s="170" t="n"/>
      <c r="F31" s="170" t="n"/>
      <c r="G31" s="167" t="n"/>
      <c r="H31" s="167" t="n"/>
      <c r="I31" s="167" t="n"/>
      <c r="J31" s="167" t="n"/>
      <c r="K31" s="167" t="n"/>
      <c r="L31" s="167" t="n"/>
      <c r="M31" s="167" t="n"/>
      <c r="N31" s="192" t="n"/>
    </row>
    <row r="32">
      <c r="A32" s="31" t="n">
        <v>30</v>
      </c>
      <c r="B32" s="170" t="n"/>
      <c r="C32" s="170" t="n"/>
      <c r="D32" s="170" t="n"/>
      <c r="E32" s="170" t="n"/>
      <c r="F32" s="170" t="n"/>
      <c r="G32" s="167" t="n"/>
      <c r="H32" s="167" t="n"/>
      <c r="I32" s="167" t="n"/>
      <c r="J32" s="167" t="n"/>
      <c r="K32" s="167" t="n"/>
      <c r="L32" s="167" t="n"/>
      <c r="M32" s="167" t="n"/>
      <c r="N32" s="192" t="n"/>
    </row>
    <row r="33">
      <c r="A33" s="31" t="n">
        <v>31</v>
      </c>
      <c r="B33" s="170" t="n"/>
      <c r="C33" s="170" t="n"/>
      <c r="D33" s="170" t="n"/>
      <c r="E33" s="170" t="n"/>
      <c r="F33" s="170" t="n"/>
      <c r="G33" s="167" t="n"/>
      <c r="H33" s="167" t="n"/>
      <c r="I33" s="167" t="n"/>
      <c r="J33" s="167" t="n"/>
      <c r="K33" s="167" t="n"/>
      <c r="L33" s="167" t="n"/>
      <c r="M33" s="167" t="n"/>
      <c r="N33" s="192" t="n"/>
    </row>
    <row r="34">
      <c r="A34" s="31" t="n">
        <v>32</v>
      </c>
      <c r="B34" s="170" t="n"/>
      <c r="C34" s="170" t="n"/>
      <c r="D34" s="170" t="n"/>
      <c r="E34" s="170" t="n"/>
      <c r="F34" s="170" t="n"/>
      <c r="G34" s="167" t="n"/>
      <c r="H34" s="167" t="n"/>
      <c r="I34" s="167" t="n"/>
      <c r="J34" s="167" t="n"/>
      <c r="K34" s="167" t="n"/>
      <c r="L34" s="167" t="n"/>
      <c r="M34" s="167" t="n"/>
      <c r="N34" s="192" t="n"/>
    </row>
    <row r="35">
      <c r="A35" s="31" t="n">
        <v>33</v>
      </c>
      <c r="B35" s="170" t="n"/>
      <c r="C35" s="170" t="n"/>
      <c r="D35" s="170" t="n"/>
      <c r="E35" s="170" t="n"/>
      <c r="F35" s="170" t="n"/>
      <c r="G35" s="167" t="n"/>
      <c r="H35" s="167" t="n"/>
      <c r="I35" s="167" t="n"/>
      <c r="J35" s="167" t="n"/>
      <c r="K35" s="167" t="n"/>
      <c r="L35" s="167" t="n"/>
      <c r="M35" s="167" t="n"/>
      <c r="N35" s="192" t="n"/>
    </row>
    <row r="36">
      <c r="A36" s="31" t="n">
        <v>34</v>
      </c>
      <c r="B36" s="170" t="n"/>
      <c r="C36" s="170" t="n"/>
      <c r="D36" s="170" t="n"/>
      <c r="E36" s="170" t="n"/>
      <c r="F36" s="170" t="n"/>
      <c r="G36" s="167" t="n"/>
      <c r="H36" s="167" t="n"/>
      <c r="I36" s="167" t="n"/>
      <c r="J36" s="167" t="n"/>
      <c r="K36" s="167" t="n"/>
      <c r="L36" s="167" t="n"/>
      <c r="M36" s="167" t="n"/>
      <c r="N36" s="192" t="n"/>
    </row>
    <row r="37">
      <c r="A37" s="31" t="n">
        <v>35</v>
      </c>
      <c r="B37" s="170" t="n"/>
      <c r="C37" s="170" t="n"/>
      <c r="D37" s="170" t="n"/>
      <c r="E37" s="170" t="n"/>
      <c r="F37" s="170" t="n"/>
      <c r="G37" s="167" t="n"/>
      <c r="H37" s="167" t="n"/>
      <c r="I37" s="167" t="n"/>
      <c r="J37" s="167" t="n"/>
      <c r="K37" s="167" t="n"/>
      <c r="L37" s="167" t="n"/>
      <c r="M37" s="167" t="n"/>
      <c r="N37" s="192" t="n"/>
    </row>
    <row r="38">
      <c r="A38" s="31" t="n">
        <v>36</v>
      </c>
      <c r="B38" s="170" t="n"/>
      <c r="C38" s="170" t="n"/>
      <c r="D38" s="170" t="n"/>
      <c r="E38" s="170" t="n"/>
      <c r="F38" s="170" t="n"/>
      <c r="G38" s="167" t="n"/>
      <c r="H38" s="167" t="n"/>
      <c r="I38" s="167" t="n"/>
      <c r="J38" s="167" t="n"/>
      <c r="K38" s="167" t="n"/>
      <c r="L38" s="167" t="n"/>
      <c r="M38" s="167" t="n"/>
      <c r="N38" s="192" t="n"/>
    </row>
    <row r="39">
      <c r="A39" s="31" t="n">
        <v>37</v>
      </c>
      <c r="B39" s="170" t="n"/>
      <c r="C39" s="170" t="n"/>
      <c r="D39" s="170" t="n"/>
      <c r="E39" s="170" t="n"/>
      <c r="F39" s="170" t="n"/>
      <c r="G39" s="167" t="n"/>
      <c r="H39" s="167" t="n"/>
      <c r="I39" s="167" t="n"/>
      <c r="J39" s="167" t="n"/>
      <c r="K39" s="167" t="n"/>
      <c r="L39" s="167" t="n"/>
      <c r="M39" s="167" t="n"/>
      <c r="N39" s="192" t="n"/>
    </row>
    <row r="40">
      <c r="A40" s="31" t="n">
        <v>38</v>
      </c>
      <c r="B40" s="170" t="n"/>
      <c r="C40" s="170" t="n"/>
      <c r="D40" s="170" t="n"/>
      <c r="E40" s="170" t="n"/>
      <c r="F40" s="170" t="n"/>
      <c r="G40" s="167" t="n"/>
      <c r="H40" s="167" t="n"/>
      <c r="I40" s="167" t="n"/>
      <c r="J40" s="167" t="n"/>
      <c r="K40" s="167" t="n"/>
      <c r="L40" s="167" t="n"/>
      <c r="M40" s="167" t="n"/>
      <c r="N40" s="192" t="n"/>
    </row>
    <row r="41">
      <c r="A41" s="31" t="n">
        <v>39</v>
      </c>
      <c r="B41" s="170" t="n"/>
      <c r="C41" s="170" t="n"/>
      <c r="D41" s="170" t="n"/>
      <c r="E41" s="170" t="n"/>
      <c r="F41" s="170" t="n"/>
      <c r="G41" s="167" t="n"/>
      <c r="H41" s="167" t="n"/>
      <c r="I41" s="167" t="n"/>
      <c r="J41" s="167" t="n"/>
      <c r="K41" s="167" t="n"/>
      <c r="L41" s="167" t="n"/>
      <c r="M41" s="167" t="n"/>
      <c r="N41" s="192" t="n"/>
    </row>
    <row r="42" ht="15.75" customHeight="1" thickBot="1">
      <c r="A42" s="31" t="n">
        <v>40</v>
      </c>
      <c r="B42" s="170" t="n"/>
      <c r="C42" s="170" t="n"/>
      <c r="D42" s="170" t="n"/>
      <c r="E42" s="170" t="n"/>
      <c r="F42" s="170" t="n"/>
      <c r="G42" s="167" t="n"/>
      <c r="H42" s="167" t="n"/>
      <c r="I42" s="167" t="n"/>
      <c r="J42" s="167" t="n"/>
      <c r="K42" s="167" t="n"/>
      <c r="L42" s="167" t="n"/>
      <c r="M42" s="167" t="n"/>
      <c r="N42" s="193" t="n"/>
    </row>
    <row r="43" ht="15.75" customHeight="1" thickTop="1">
      <c r="A43" s="107" t="inlineStr">
        <is>
          <t>Average</t>
        </is>
      </c>
      <c r="B43" s="168">
        <f>AVERAGE(B3:B42)</f>
        <v/>
      </c>
      <c r="C43" s="168">
        <f>AVERAGE(C3:C42)</f>
        <v/>
      </c>
      <c r="D43" s="168">
        <f>AVERAGE(D3:D42)</f>
        <v/>
      </c>
      <c r="E43" s="168">
        <f>AVERAGE(E3:E42)</f>
        <v/>
      </c>
      <c r="F43" s="168">
        <f>AVERAGE(F3:F42)</f>
        <v/>
      </c>
      <c r="G43" s="168">
        <f>AVERAGE(G3:G42)</f>
        <v/>
      </c>
      <c r="H43" s="168">
        <f>AVERAGE(H3:H42)</f>
        <v/>
      </c>
      <c r="I43" s="168">
        <f>AVERAGE(I3:I42)</f>
        <v/>
      </c>
      <c r="J43" s="168">
        <f>AVERAGE(J3:J42)</f>
        <v/>
      </c>
      <c r="K43" s="168">
        <f>AVERAGE(K3:K42)</f>
        <v/>
      </c>
      <c r="L43" s="168">
        <f>AVERAGE(L3:L42)</f>
        <v/>
      </c>
      <c r="M43" s="168">
        <f>AVERAGE(M3:M42)</f>
        <v/>
      </c>
      <c r="N43" s="35" t="n"/>
    </row>
    <row r="44">
      <c r="A44" s="36" t="inlineStr">
        <is>
          <t>Overall Average</t>
        </is>
      </c>
      <c r="B44" s="169">
        <f>AVERAGEIF(B43:M43, "&lt;&gt;#DIV/0!")</f>
        <v/>
      </c>
      <c r="C44" s="169" t="n"/>
      <c r="D44" s="169" t="n"/>
      <c r="E44" s="169" t="n"/>
      <c r="F44" s="169" t="n"/>
      <c r="G44" s="169" t="n"/>
      <c r="H44" s="169" t="n"/>
      <c r="I44" s="169" t="n"/>
      <c r="J44" s="169" t="n"/>
      <c r="K44" s="169" t="n"/>
      <c r="L44" s="169" t="n"/>
      <c r="M44" s="169" t="n"/>
      <c r="N44" s="32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>
        <f>COUNTIF(H3:H42, "&lt;&gt;")</f>
        <v/>
      </c>
      <c r="I45" s="32">
        <f>COUNTIF(I3:I42, "&lt;&gt;")</f>
        <v/>
      </c>
      <c r="J45" s="32">
        <f>COUNTIF(J3:J42, "&lt;&gt;")</f>
        <v/>
      </c>
      <c r="K45" s="32">
        <f>COUNTIF(K3:K42, "&lt;&gt;")</f>
        <v/>
      </c>
      <c r="L45" s="32">
        <f>COUNTIF(L3:L42, "&lt;&gt;")</f>
        <v/>
      </c>
      <c r="M45" s="32">
        <f>COUNTIF(M3:M42, "&lt;&gt;")</f>
        <v/>
      </c>
      <c r="N45" s="32" t="n"/>
    </row>
    <row r="47">
      <c r="A47" s="9" t="n"/>
      <c r="B47" s="1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  <c r="J47" s="86" t="n"/>
      <c r="K47" s="86" t="n"/>
      <c r="L47" s="86" t="n"/>
      <c r="M47" s="86" t="n"/>
    </row>
    <row r="48">
      <c r="A48" s="99" t="inlineStr">
        <is>
          <t>I (1st, 2nd yr)</t>
        </is>
      </c>
      <c r="B48" s="13">
        <f>COUNTIF($E$2:$F$2, "A") + COUNTIF($H$2, "A")</f>
        <v/>
      </c>
      <c r="C48" s="13">
        <f>COUNTIF($E$2:$F$2, "Q") + COUNTIF($H$2, "Q")</f>
        <v/>
      </c>
      <c r="D48" s="13">
        <f>COUNTIF($E$2:$F$2, "M") + COUNTIF($H$2, "M")</f>
        <v/>
      </c>
      <c r="E48" s="13">
        <f>COUNTIF($E$2:$F$2, "F") + COUNTIF($H$2, "F")</f>
        <v/>
      </c>
      <c r="F48" s="13">
        <f>COUNTIF($E$2:$F$2, "P") + COUNTIF($H$2, "P")</f>
        <v/>
      </c>
      <c r="G48" s="13">
        <f>COUNTIF($E$2:$F$2, "L") + COUNTIF($H$2, "L")</f>
        <v/>
      </c>
      <c r="H48" s="13">
        <f>COUNTIF($E$2:$F$2, "OT") + COUNTIF($H$2, "OT")</f>
        <v/>
      </c>
      <c r="I48" s="13">
        <f>SUM(B48:H48)</f>
        <v/>
      </c>
      <c r="J48" s="25" t="n"/>
      <c r="K48" s="25" t="n"/>
      <c r="L48" s="25" t="n"/>
      <c r="M48" s="25" t="n"/>
    </row>
    <row r="49">
      <c r="A49" s="100" t="inlineStr">
        <is>
          <t>D (2nd &amp; 3rd yr)</t>
        </is>
      </c>
      <c r="B49" s="13">
        <f>COUNTIF($I$2, "A") + COUNTIF($G$2, "A") + COUNTIF($D$2, "A")</f>
        <v/>
      </c>
      <c r="C49" s="13">
        <f>COUNTIF($I$2, "Q") + COUNTIF($G$2, "Q") + COUNTIF($D$2, "Q")</f>
        <v/>
      </c>
      <c r="D49" s="13">
        <f>COUNTIF($I$2, "M") + COUNTIF($G$2, "M") + COUNTIF($D$2, "M")</f>
        <v/>
      </c>
      <c r="E49" s="13">
        <f>COUNTIF($I$2, "F") + COUNTIF($G$2, "F") + COUNTIF($D$2, "F")</f>
        <v/>
      </c>
      <c r="F49" s="13">
        <f>COUNTIF($I$2, "P") + COUNTIF($G$2, "P") + COUNTIF($D$2, "P")</f>
        <v/>
      </c>
      <c r="G49" s="13">
        <f>COUNTIF($I$2, "L") + COUNTIF($G$2, "L") + COUNTIF($D$2, "L")</f>
        <v/>
      </c>
      <c r="H49" s="13">
        <f>COUNTIF($I$2, "OT") + COUNTIF($G$2, "OT") + COUNTIF($D$2, "OT")</f>
        <v/>
      </c>
      <c r="I49" s="13">
        <f>SUM(B49:H49)</f>
        <v/>
      </c>
      <c r="J49" s="25" t="n"/>
      <c r="K49" s="25" t="n"/>
      <c r="L49" s="25" t="n"/>
      <c r="M49" s="25" t="n"/>
    </row>
    <row r="50">
      <c r="A50" s="101" t="inlineStr">
        <is>
          <t>A (3rd, 4yr)</t>
        </is>
      </c>
      <c r="B50" s="13">
        <f>COUNTIF($B$2:$C$2, "A") + COUNTIF($J$2:$M$2, "A")</f>
        <v/>
      </c>
      <c r="C50" s="13">
        <f>COUNTIF($B$2:$C$2, "Q") + COUNTIF($J$2:$M$2, "Q")</f>
        <v/>
      </c>
      <c r="D50" s="13">
        <f>COUNTIF($B$2:$C$2, "M") + COUNTIF($J$2:$M$2, "M")</f>
        <v/>
      </c>
      <c r="E50" s="13">
        <f>COUNTIF($B$2:$C$2, "F") + COUNTIF($J$2:$M$2, "F")</f>
        <v/>
      </c>
      <c r="F50" s="13">
        <f>COUNTIF($B$2:$C$2, "P") + COUNTIF($J$2:$M$2, "P")</f>
        <v/>
      </c>
      <c r="G50" s="13">
        <f>COUNTIF($B$2:$C$2, "L") + COUNTIF($J$2:$M$2, "L")</f>
        <v/>
      </c>
      <c r="H50" s="13">
        <f>COUNTIF($B$2:$C$2, "OT") + COUNTIF($J$2:$M$2, "OT")</f>
        <v/>
      </c>
      <c r="I50" s="13">
        <f>SUM(B50:H50)</f>
        <v/>
      </c>
      <c r="J50" s="25" t="n"/>
      <c r="K50" s="25" t="n"/>
      <c r="L50" s="25" t="n"/>
      <c r="M50" s="25" t="n"/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SUM(I48:I50)</f>
        <v/>
      </c>
      <c r="J51" s="25" t="n"/>
      <c r="K51" s="25" t="n"/>
      <c r="L51" s="25" t="n"/>
      <c r="M51" s="25" t="n"/>
    </row>
    <row r="53" ht="18.75" customHeight="1" thickBot="1">
      <c r="A53" s="87" t="inlineStr">
        <is>
          <t>Frequency Distribution Analysis</t>
        </is>
      </c>
      <c r="C53" s="87" t="n"/>
      <c r="D53" s="87" t="n"/>
      <c r="E53" s="87" t="n"/>
      <c r="F53" s="87" t="n"/>
      <c r="G53" s="87" t="n"/>
      <c r="H53" s="87" t="n"/>
      <c r="I53" s="87" t="n"/>
      <c r="J53" s="87" t="n"/>
      <c r="K53" s="87" t="n"/>
      <c r="L53" s="87" t="n"/>
      <c r="M53" s="87" t="n"/>
    </row>
    <row r="54" ht="16.5" customHeight="1" thickBot="1">
      <c r="A54" s="122" t="inlineStr">
        <is>
          <t>Scale</t>
        </is>
      </c>
      <c r="B54" s="146" t="inlineStr">
        <is>
          <t>CENG-3020-5</t>
        </is>
      </c>
      <c r="C54" s="146" t="inlineStr">
        <is>
          <t>COMP-3610-10</t>
        </is>
      </c>
      <c r="D54" s="162" t="inlineStr">
        <is>
          <t>EENG-3010-5</t>
        </is>
      </c>
      <c r="E54" s="145" t="inlineStr">
        <is>
          <t>ENGR-1100-9</t>
        </is>
      </c>
      <c r="F54" s="145" t="inlineStr">
        <is>
          <t>ENGR-1200-5</t>
        </is>
      </c>
      <c r="G54" s="162" t="inlineStr">
        <is>
          <t>ENGR-2000-8</t>
        </is>
      </c>
      <c r="H54" s="145" t="inlineStr">
        <is>
          <t>ENGR-2300-5</t>
        </is>
      </c>
      <c r="I54" s="162" t="inlineStr">
        <is>
          <t>ENGR-3300-5</t>
        </is>
      </c>
      <c r="J54" s="146" t="inlineStr">
        <is>
          <t>SENG-4100-2</t>
        </is>
      </c>
      <c r="K54" s="146" t="inlineStr">
        <is>
          <t>SENG-4140-5</t>
        </is>
      </c>
      <c r="L54" s="146" t="inlineStr">
        <is>
          <t>SENG-4640-4</t>
        </is>
      </c>
      <c r="M54" s="146" t="inlineStr">
        <is>
          <t>SENG-4640-5</t>
        </is>
      </c>
      <c r="N54" s="40" t="inlineStr">
        <is>
          <t>Average</t>
        </is>
      </c>
    </row>
    <row r="55" ht="16.5" customHeight="1" thickBot="1">
      <c r="A55" s="110" t="inlineStr">
        <is>
          <t>Below Expectation (C- and below)  (%)</t>
        </is>
      </c>
      <c r="B55" s="115">
        <f>(COUNTIF(B3:B42, "&lt;=59%"))/B45</f>
        <v/>
      </c>
      <c r="C55" s="115">
        <f>(COUNTIF(C3:C42, "&lt;=59%"))/C45</f>
        <v/>
      </c>
      <c r="D55" s="115">
        <f>(COUNTIF(D3:D42, "&lt;=59%"))/D45</f>
        <v/>
      </c>
      <c r="E55" s="115">
        <f>(COUNTIF(E3:E42, "&lt;=59%"))/E45</f>
        <v/>
      </c>
      <c r="F55" s="115">
        <f>(COUNTIF(F3:F42, "&lt;=59%"))/F45</f>
        <v/>
      </c>
      <c r="G55" s="115">
        <f>(COUNTIF(G3:G42, "&lt;=59%"))/G45</f>
        <v/>
      </c>
      <c r="H55" s="115">
        <f>(COUNTIF(H3:H42, "&lt;=59%"))/H45</f>
        <v/>
      </c>
      <c r="I55" s="115">
        <f>(COUNTIF(I3:I42, "&lt;=59%"))/I45</f>
        <v/>
      </c>
      <c r="J55" s="115">
        <f>(COUNTIF(J3:J42, "&lt;=59%"))/J45</f>
        <v/>
      </c>
      <c r="K55" s="115">
        <f>(COUNTIF(K3:K42, "&lt;=59%"))/K45</f>
        <v/>
      </c>
      <c r="L55" s="115">
        <f>(COUNTIF(L3:L42, "&lt;=59%"))/L45</f>
        <v/>
      </c>
      <c r="M55" s="115">
        <f>(COUNTIF(M3:M42, "&lt;=59%"))/M45</f>
        <v/>
      </c>
      <c r="N55" s="41">
        <f>AVERAGEIF(B55:F55, "&lt;&gt;#DIV/0!")</f>
        <v/>
      </c>
    </row>
    <row r="56" ht="16.5" customHeight="1" thickBot="1">
      <c r="A56" s="111" t="inlineStr">
        <is>
          <t>Marginal (C+, C)  (%)</t>
        </is>
      </c>
      <c r="B56" s="118">
        <f>(COUNTIFS(B3:B42, "&gt;= 60%", B3:B42, "&lt;=69%" ))/B45</f>
        <v/>
      </c>
      <c r="C56" s="118">
        <f>(COUNTIFS(C3:C42, "&gt;= 60%", C3:C42, "&lt;=69%" ))/C45</f>
        <v/>
      </c>
      <c r="D56" s="118">
        <f>(COUNTIFS(D3:D42, "&gt;= 60%", D3:D42, "&lt;=69%" ))/D45</f>
        <v/>
      </c>
      <c r="E56" s="118">
        <f>(COUNTIFS(E3:E42, "&gt;= 60%", E3:E42, "&lt;=69%" ))/E45</f>
        <v/>
      </c>
      <c r="F56" s="118">
        <f>(COUNTIFS(F3:F42, "&gt;= 60%", F3:F42, "&lt;=69%" ))/F45</f>
        <v/>
      </c>
      <c r="G56" s="118">
        <f>(COUNTIFS(G3:G42, "&gt;= 60%", G3:G42, "&lt;=69%" ))/G45</f>
        <v/>
      </c>
      <c r="H56" s="118">
        <f>(COUNTIFS(H3:H42, "&gt;= 60%", H3:H42, "&lt;=69%" ))/H45</f>
        <v/>
      </c>
      <c r="I56" s="118">
        <f>(COUNTIFS(I3:I42, "&gt;= 60%", I3:I42, "&lt;=69%" ))/I45</f>
        <v/>
      </c>
      <c r="J56" s="118">
        <f>(COUNTIFS(J3:J42, "&gt;= 60%", J3:J42, "&lt;=69%" ))/J45</f>
        <v/>
      </c>
      <c r="K56" s="118">
        <f>(COUNTIFS(K3:K42, "&gt;= 60%", K3:K42, "&lt;=69%" ))/K45</f>
        <v/>
      </c>
      <c r="L56" s="118">
        <f>(COUNTIFS(L3:L42, "&gt;= 60%", L3:L42, "&lt;=69%" ))/L45</f>
        <v/>
      </c>
      <c r="M56" s="118">
        <f>(COUNTIFS(M3:M42, "&gt;= 60%", M3:M42, "&lt;=69%" ))/M45</f>
        <v/>
      </c>
      <c r="N56" s="41">
        <f>AVERAGEIF(B56:F56, "&lt;&gt;#DIV/0!")</f>
        <v/>
      </c>
    </row>
    <row r="57" ht="16.5" customHeight="1" thickBot="1">
      <c r="A57" s="112" t="inlineStr">
        <is>
          <t>Meets Expectation (B+, B, B-) (%)</t>
        </is>
      </c>
      <c r="B57" s="118">
        <f>(COUNTIFS(B3:B42, "&gt;= 70%", B3:B42, "&lt;=79%" ))/B45</f>
        <v/>
      </c>
      <c r="C57" s="118">
        <f>(COUNTIFS(C3:C42, "&gt;= 70%", C3:C42, "&lt;=79%" ))/C45</f>
        <v/>
      </c>
      <c r="D57" s="118">
        <f>(COUNTIFS(D3:D42, "&gt;= 70%", D3:D42, "&lt;=79%" ))/D45</f>
        <v/>
      </c>
      <c r="E57" s="118">
        <f>(COUNTIFS(E3:E42, "&gt;= 70%", E3:E42, "&lt;=79%" ))/E45</f>
        <v/>
      </c>
      <c r="F57" s="118">
        <f>(COUNTIFS(F3:F42, "&gt;= 70%", F3:F42, "&lt;=79%" ))/F45</f>
        <v/>
      </c>
      <c r="G57" s="118">
        <f>(COUNTIFS(G3:G42, "&gt;= 70%", G3:G42, "&lt;=79%" ))/G45</f>
        <v/>
      </c>
      <c r="H57" s="118">
        <f>(COUNTIFS(H3:H42, "&gt;= 70%", H3:H42, "&lt;=79%" ))/H45</f>
        <v/>
      </c>
      <c r="I57" s="118">
        <f>(COUNTIFS(I3:I42, "&gt;= 70%", I3:I42, "&lt;=79%" ))/I45</f>
        <v/>
      </c>
      <c r="J57" s="118">
        <f>(COUNTIFS(J3:J42, "&gt;= 70%", J3:J42, "&lt;=79%" ))/J45</f>
        <v/>
      </c>
      <c r="K57" s="118">
        <f>(COUNTIFS(K3:K42, "&gt;= 70%", K3:K42, "&lt;=79%" ))/K45</f>
        <v/>
      </c>
      <c r="L57" s="118">
        <f>(COUNTIFS(L3:L42, "&gt;= 70%", L3:L42, "&lt;=79%" ))/L45</f>
        <v/>
      </c>
      <c r="M57" s="118">
        <f>(COUNTIFS(M3:M42, "&gt;= 70%", M3:M42, "&lt;=79%" ))/M45</f>
        <v/>
      </c>
      <c r="N57" s="41">
        <f>AVERAGEIF(B57:F57, "&lt;&gt;#DIV/0!")</f>
        <v/>
      </c>
    </row>
    <row r="58" ht="16.5" customHeight="1" thickBot="1">
      <c r="A58" s="113" t="inlineStr">
        <is>
          <t>Exceeds Expectation (A+, A, A-) (%)</t>
        </is>
      </c>
      <c r="B58" s="118">
        <f>(COUNTIF(B3:B42,"&gt;= 80%")/B45)</f>
        <v/>
      </c>
      <c r="C58" s="118">
        <f>(COUNTIF(C3:C42,"&gt;= 80%")/C45)</f>
        <v/>
      </c>
      <c r="D58" s="118">
        <f>(COUNTIF(D3:D42,"&gt;= 80%")/D45)</f>
        <v/>
      </c>
      <c r="E58" s="118">
        <f>(COUNTIF(E3:E42,"&gt;= 80%")/E45)</f>
        <v/>
      </c>
      <c r="F58" s="118">
        <f>(COUNTIF(F3:F42,"&gt;= 80%")/F45)</f>
        <v/>
      </c>
      <c r="G58" s="118">
        <f>(COUNTIF(G3:G42,"&gt;= 80%")/G45)</f>
        <v/>
      </c>
      <c r="H58" s="118">
        <f>(COUNTIF(H3:H42,"&gt;= 80%")/H45)</f>
        <v/>
      </c>
      <c r="I58" s="118">
        <f>(COUNTIF(I3:I42,"&gt;= 80%")/I45)</f>
        <v/>
      </c>
      <c r="J58" s="118">
        <f>(COUNTIF(J3:J42,"&gt;= 80%")/J45)</f>
        <v/>
      </c>
      <c r="K58" s="118">
        <f>(COUNTIF(K3:K42,"&gt;= 80%")/K45)</f>
        <v/>
      </c>
      <c r="L58" s="118">
        <f>(COUNTIF(L3:L42,"&gt;= 80%")/L45)</f>
        <v/>
      </c>
      <c r="M58" s="118">
        <f>(COUNTIF(M3:M42,"&gt;= 80%")/M45)</f>
        <v/>
      </c>
      <c r="N58" s="41">
        <f>AVERAGEIF(B58:F58, "&lt;&gt;#DIV/0!")</f>
        <v/>
      </c>
    </row>
    <row r="59" ht="15.75" customHeight="1" thickBot="1">
      <c r="A59" s="123" t="n"/>
      <c r="B59" s="124">
        <f>SUMIF(B55:B58, "&lt;&gt;#DIV/0!")</f>
        <v/>
      </c>
      <c r="C59" s="125">
        <f>SUMIF(C55:C58, "&lt;&gt;#DIV/0!")</f>
        <v/>
      </c>
      <c r="D59" s="125">
        <f>SUMIF(D55:D58, "&lt;&gt;#DIV/0!")</f>
        <v/>
      </c>
      <c r="E59" s="125">
        <f>SUMIF(E55:E58, "&lt;&gt;#DIV/0!")</f>
        <v/>
      </c>
      <c r="F59" s="125">
        <f>SUMIF(F55:F58, "&lt;&gt;#DIV/0!")</f>
        <v/>
      </c>
      <c r="G59" s="125">
        <f>SUMIF(G55:G58, "&lt;&gt;#DIV/0!")</f>
        <v/>
      </c>
      <c r="H59" s="125">
        <f>SUMIF(H55:H58, "&lt;&gt;#DIV/0!")</f>
        <v/>
      </c>
      <c r="I59" s="125">
        <f>SUMIF(I55:I58, "&lt;&gt;#DIV/0!")</f>
        <v/>
      </c>
      <c r="J59" s="125">
        <f>SUMIF(J55:J58, "&lt;&gt;#DIV/0!")</f>
        <v/>
      </c>
      <c r="K59" s="125">
        <f>SUMIF(K55:K58, "&lt;&gt;#DIV/0!")</f>
        <v/>
      </c>
      <c r="L59" s="125">
        <f>SUMIF(L55:L58, "&lt;&gt;#DIV/0!")</f>
        <v/>
      </c>
      <c r="M59" s="125">
        <f>SUMIF(M55:M58, "&lt;&gt;#DIV/0!")</f>
        <v/>
      </c>
      <c r="N59" s="41">
        <f>AVERAGEIF(B59:F59, "&lt;&gt;#DIV/0!")</f>
        <v/>
      </c>
    </row>
    <row r="60" ht="15.75" customHeight="1" thickBot="1"/>
    <row r="61" ht="15.75" customHeight="1" thickBot="1">
      <c r="A61" s="25" t="n"/>
      <c r="B61" s="42" t="inlineStr">
        <is>
          <t>Class Limit</t>
        </is>
      </c>
      <c r="C61" s="42" t="inlineStr">
        <is>
          <t>Bin</t>
        </is>
      </c>
    </row>
    <row r="62" ht="16.5" customHeight="1" thickBot="1">
      <c r="A62" s="38" t="inlineStr">
        <is>
          <t>Exceeds Expectation (A+, A, A-) (%)</t>
        </is>
      </c>
      <c r="B62" s="44" t="inlineStr">
        <is>
          <t>80-100</t>
        </is>
      </c>
      <c r="C62" s="43" t="n">
        <v>100</v>
      </c>
    </row>
    <row r="63" ht="16.5" customHeight="1" thickBot="1">
      <c r="A63" s="38" t="inlineStr">
        <is>
          <t>Meets Expectation (B+, B, B-) (%)</t>
        </is>
      </c>
      <c r="B63" s="44" t="inlineStr">
        <is>
          <t>70-79</t>
        </is>
      </c>
      <c r="C63" s="43" t="n">
        <v>79</v>
      </c>
    </row>
    <row r="64" ht="16.5" customHeight="1" thickBot="1">
      <c r="A64" s="38" t="inlineStr">
        <is>
          <t>Marginal (C+, C)  (%)</t>
        </is>
      </c>
      <c r="B64" s="44" t="inlineStr">
        <is>
          <t>60-69</t>
        </is>
      </c>
      <c r="C64" s="43" t="n">
        <v>69</v>
      </c>
    </row>
    <row r="65" ht="16.5" customHeight="1" thickBot="1">
      <c r="A65" s="38" t="inlineStr">
        <is>
          <t>Below Expectation (C- and below)  (%)</t>
        </is>
      </c>
      <c r="B65" s="44" t="inlineStr">
        <is>
          <t>0-59</t>
        </is>
      </c>
      <c r="C65" s="43" t="n">
        <v>59</v>
      </c>
    </row>
  </sheetData>
  <mergeCells count="1">
    <mergeCell ref="N3:N42"/>
  </mergeCells>
  <conditionalFormatting sqref="B3:M42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83" operator="greaterThanOrEqual" dxfId="3">
      <formula>80</formula>
    </cfRule>
    <cfRule type="containsBlanks" priority="1284" dxfId="4" stopIfTrue="1">
      <formula>LEN(TRIM(B3))=0</formula>
    </cfRule>
    <cfRule type="cellIs" priority="1285" operator="greaterThanOrEqual" dxfId="3">
      <formula>80</formula>
    </cfRule>
    <cfRule type="cellIs" priority="1286" operator="between" dxfId="2">
      <formula>70</formula>
      <formula>79</formula>
    </cfRule>
    <cfRule type="cellIs" priority="1287" operator="between" dxfId="1">
      <formula>60</formula>
      <formula>69</formula>
    </cfRule>
    <cfRule type="cellIs" priority="1288" operator="between" dxfId="0">
      <formula>0</formula>
      <formula>59</formula>
    </cfRule>
  </conditionalFormatting>
  <dataValidations count="1">
    <dataValidation sqref="B2:M2" showErrorMessage="1" showInputMessage="1" allowBlank="1" type="list">
      <formula1>$S$6:$S$13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65"/>
  <sheetViews>
    <sheetView tabSelected="1" topLeftCell="A32" zoomScale="70" zoomScaleNormal="70" workbookViewId="0">
      <selection activeCell="B55" sqref="B55:D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4.5703125" bestFit="1" customWidth="1" min="3" max="3"/>
    <col width="15.85546875" bestFit="1" customWidth="1" min="4" max="4"/>
    <col width="17.7109375" bestFit="1" customWidth="1" min="5" max="5"/>
    <col width="15" bestFit="1" customWidth="1" min="6" max="7"/>
    <col width="17.7109375" bestFit="1" customWidth="1" min="8" max="8"/>
    <col width="15" bestFit="1" customWidth="1" min="9" max="9"/>
    <col width="9.28515625" bestFit="1" customWidth="1" min="10" max="10"/>
  </cols>
  <sheetData>
    <row r="1">
      <c r="A1" s="9" t="inlineStr">
        <is>
          <t>Student Number</t>
        </is>
      </c>
      <c r="B1" s="163" t="inlineStr">
        <is>
          <t>ENGR-2000-3</t>
        </is>
      </c>
      <c r="C1" s="155" t="inlineStr">
        <is>
          <t>ENGR-2400-5</t>
        </is>
      </c>
      <c r="D1" s="163" t="inlineStr">
        <is>
          <t>SENG-3130-4</t>
        </is>
      </c>
      <c r="E1" s="30">
        <f>COUNTA(B1:D1)</f>
        <v/>
      </c>
    </row>
    <row r="2" ht="30" customHeight="1">
      <c r="A2" s="12" t="inlineStr">
        <is>
          <t>Assessment
Tool</t>
        </is>
      </c>
      <c r="B2" s="9" t="n"/>
      <c r="C2" s="9" t="n"/>
      <c r="D2" s="9" t="n"/>
      <c r="E2" s="30">
        <f>COUNTIF(B2:D2, "&lt;&gt;")</f>
        <v/>
      </c>
    </row>
    <row r="3">
      <c r="A3" s="31" t="n">
        <v>1</v>
      </c>
      <c r="B3" s="164" t="n"/>
      <c r="C3" s="164" t="n"/>
      <c r="D3" s="164" t="n"/>
      <c r="E3" s="194" t="n"/>
    </row>
    <row r="4">
      <c r="A4" s="31" t="n">
        <v>2</v>
      </c>
      <c r="B4" s="164" t="n"/>
      <c r="C4" s="164" t="n"/>
      <c r="D4" s="164" t="n"/>
      <c r="E4" s="192" t="n"/>
    </row>
    <row r="5">
      <c r="A5" s="31" t="n">
        <v>3</v>
      </c>
      <c r="B5" s="164" t="n"/>
      <c r="C5" s="164" t="n"/>
      <c r="D5" s="164" t="n"/>
      <c r="E5" s="192" t="n"/>
    </row>
    <row r="6">
      <c r="A6" s="31" t="n">
        <v>4</v>
      </c>
      <c r="B6" s="164" t="n"/>
      <c r="C6" s="164" t="n"/>
      <c r="D6" s="164" t="n"/>
      <c r="E6" s="192" t="n"/>
      <c r="L6" s="106" t="inlineStr">
        <is>
          <t>A</t>
        </is>
      </c>
    </row>
    <row r="7">
      <c r="A7" s="31" t="n">
        <v>5</v>
      </c>
      <c r="B7" s="164" t="n"/>
      <c r="C7" s="164" t="n"/>
      <c r="D7" s="164" t="n"/>
      <c r="E7" s="192" t="n"/>
      <c r="L7" s="106" t="inlineStr">
        <is>
          <t>Q</t>
        </is>
      </c>
    </row>
    <row r="8">
      <c r="A8" s="31" t="n">
        <v>6</v>
      </c>
      <c r="B8" s="164" t="n"/>
      <c r="C8" s="164" t="n"/>
      <c r="D8" s="164" t="n"/>
      <c r="E8" s="192" t="n"/>
      <c r="L8" s="106" t="inlineStr">
        <is>
          <t>M</t>
        </is>
      </c>
    </row>
    <row r="9">
      <c r="A9" s="31" t="n">
        <v>7</v>
      </c>
      <c r="B9" s="164" t="n"/>
      <c r="C9" s="164" t="n"/>
      <c r="D9" s="164" t="n"/>
      <c r="E9" s="192" t="n"/>
      <c r="L9" s="106" t="inlineStr">
        <is>
          <t>F</t>
        </is>
      </c>
    </row>
    <row r="10">
      <c r="A10" s="31" t="n">
        <v>8</v>
      </c>
      <c r="B10" s="164" t="n"/>
      <c r="C10" s="164" t="n"/>
      <c r="D10" s="164" t="n"/>
      <c r="E10" s="192" t="n"/>
      <c r="L10" s="106" t="inlineStr">
        <is>
          <t>P</t>
        </is>
      </c>
    </row>
    <row r="11">
      <c r="A11" s="31" t="n">
        <v>9</v>
      </c>
      <c r="B11" s="164" t="n"/>
      <c r="C11" s="164" t="n"/>
      <c r="D11" s="164" t="n"/>
      <c r="E11" s="192" t="n"/>
      <c r="L11" s="106" t="inlineStr">
        <is>
          <t>L</t>
        </is>
      </c>
    </row>
    <row r="12">
      <c r="A12" s="31" t="n">
        <v>10</v>
      </c>
      <c r="B12" s="164" t="n"/>
      <c r="C12" s="164" t="n"/>
      <c r="D12" s="164" t="n"/>
      <c r="E12" s="192" t="n"/>
      <c r="L12" s="106" t="inlineStr">
        <is>
          <t>OT</t>
        </is>
      </c>
    </row>
    <row r="13">
      <c r="A13" s="31" t="n">
        <v>11</v>
      </c>
      <c r="B13" s="164" t="n"/>
      <c r="C13" s="164" t="n"/>
      <c r="D13" s="164" t="n"/>
      <c r="E13" s="192" t="n"/>
    </row>
    <row r="14">
      <c r="A14" s="31" t="n">
        <v>12</v>
      </c>
      <c r="B14" s="164" t="n"/>
      <c r="C14" s="164" t="n"/>
      <c r="D14" s="164" t="n"/>
      <c r="E14" s="192" t="n"/>
    </row>
    <row r="15">
      <c r="A15" s="31" t="n">
        <v>13</v>
      </c>
      <c r="B15" s="164" t="n"/>
      <c r="C15" s="164" t="n"/>
      <c r="D15" s="164" t="n"/>
      <c r="E15" s="192" t="n"/>
    </row>
    <row r="16">
      <c r="A16" s="31" t="n">
        <v>14</v>
      </c>
      <c r="B16" s="164" t="n"/>
      <c r="C16" s="164" t="n"/>
      <c r="D16" s="164" t="n"/>
      <c r="E16" s="192" t="n"/>
    </row>
    <row r="17">
      <c r="A17" s="31" t="n">
        <v>15</v>
      </c>
      <c r="B17" s="164" t="n"/>
      <c r="C17" s="164" t="n"/>
      <c r="D17" s="164" t="n"/>
      <c r="E17" s="192" t="n"/>
    </row>
    <row r="18">
      <c r="A18" s="31" t="n">
        <v>16</v>
      </c>
      <c r="B18" s="164" t="n"/>
      <c r="C18" s="164" t="n"/>
      <c r="D18" s="164" t="n"/>
      <c r="E18" s="192" t="n"/>
    </row>
    <row r="19">
      <c r="A19" s="31" t="n">
        <v>17</v>
      </c>
      <c r="B19" s="164" t="n"/>
      <c r="C19" s="164" t="n"/>
      <c r="D19" s="164" t="n"/>
      <c r="E19" s="192" t="n"/>
    </row>
    <row r="20">
      <c r="A20" s="31" t="n">
        <v>18</v>
      </c>
      <c r="B20" s="164" t="n"/>
      <c r="C20" s="164" t="n"/>
      <c r="D20" s="164" t="n"/>
      <c r="E20" s="192" t="n"/>
    </row>
    <row r="21">
      <c r="A21" s="31" t="n">
        <v>19</v>
      </c>
      <c r="B21" s="164" t="n"/>
      <c r="C21" s="164" t="n"/>
      <c r="D21" s="164" t="n"/>
      <c r="E21" s="192" t="n"/>
    </row>
    <row r="22">
      <c r="A22" s="31" t="n">
        <v>20</v>
      </c>
      <c r="B22" s="164" t="n"/>
      <c r="C22" s="164" t="n"/>
      <c r="D22" s="164" t="n"/>
      <c r="E22" s="192" t="n"/>
    </row>
    <row r="23">
      <c r="A23" s="31" t="n">
        <v>21</v>
      </c>
      <c r="B23" s="164" t="n"/>
      <c r="C23" s="164" t="n"/>
      <c r="D23" s="164" t="n"/>
      <c r="E23" s="192" t="n"/>
    </row>
    <row r="24">
      <c r="A24" s="31" t="n">
        <v>22</v>
      </c>
      <c r="B24" s="164" t="n"/>
      <c r="C24" s="164" t="n"/>
      <c r="D24" s="164" t="n"/>
      <c r="E24" s="192" t="n"/>
    </row>
    <row r="25">
      <c r="A25" s="31" t="n">
        <v>23</v>
      </c>
      <c r="B25" s="164" t="n"/>
      <c r="C25" s="164" t="n"/>
      <c r="D25" s="164" t="n"/>
      <c r="E25" s="192" t="n"/>
    </row>
    <row r="26">
      <c r="A26" s="31" t="n">
        <v>24</v>
      </c>
      <c r="B26" s="164" t="n"/>
      <c r="C26" s="164" t="n"/>
      <c r="D26" s="164" t="n"/>
      <c r="E26" s="192" t="n"/>
    </row>
    <row r="27">
      <c r="A27" s="31" t="n">
        <v>25</v>
      </c>
      <c r="B27" s="164" t="n"/>
      <c r="C27" s="164" t="n"/>
      <c r="D27" s="164" t="n"/>
      <c r="E27" s="192" t="n"/>
    </row>
    <row r="28">
      <c r="A28" s="31" t="n">
        <v>26</v>
      </c>
      <c r="B28" s="170" t="n"/>
      <c r="C28" s="170" t="n"/>
      <c r="D28" s="170" t="n"/>
      <c r="E28" s="192" t="n"/>
    </row>
    <row r="29">
      <c r="A29" s="31" t="n">
        <v>27</v>
      </c>
      <c r="B29" s="170" t="n"/>
      <c r="C29" s="170" t="n"/>
      <c r="D29" s="170" t="n"/>
      <c r="E29" s="192" t="n"/>
    </row>
    <row r="30">
      <c r="A30" s="31" t="n">
        <v>28</v>
      </c>
      <c r="B30" s="170" t="n"/>
      <c r="C30" s="170" t="n"/>
      <c r="D30" s="170" t="n"/>
      <c r="E30" s="192" t="n"/>
    </row>
    <row r="31">
      <c r="A31" s="31" t="n">
        <v>29</v>
      </c>
      <c r="B31" s="170" t="n"/>
      <c r="C31" s="170" t="n"/>
      <c r="D31" s="170" t="n"/>
      <c r="E31" s="192" t="n"/>
    </row>
    <row r="32">
      <c r="A32" s="31" t="n">
        <v>30</v>
      </c>
      <c r="B32" s="170" t="n"/>
      <c r="C32" s="170" t="n"/>
      <c r="D32" s="170" t="n"/>
      <c r="E32" s="192" t="n"/>
    </row>
    <row r="33">
      <c r="A33" s="31" t="n">
        <v>31</v>
      </c>
      <c r="B33" s="170" t="n"/>
      <c r="C33" s="170" t="n"/>
      <c r="D33" s="170" t="n"/>
      <c r="E33" s="192" t="n"/>
    </row>
    <row r="34">
      <c r="A34" s="31" t="n">
        <v>32</v>
      </c>
      <c r="B34" s="170" t="n"/>
      <c r="C34" s="170" t="n"/>
      <c r="D34" s="170" t="n"/>
      <c r="E34" s="192" t="n"/>
    </row>
    <row r="35">
      <c r="A35" s="31" t="n">
        <v>33</v>
      </c>
      <c r="B35" s="170" t="n"/>
      <c r="C35" s="170" t="n"/>
      <c r="D35" s="170" t="n"/>
      <c r="E35" s="192" t="n"/>
    </row>
    <row r="36">
      <c r="A36" s="31" t="n">
        <v>34</v>
      </c>
      <c r="B36" s="170" t="n"/>
      <c r="C36" s="170" t="n"/>
      <c r="D36" s="170" t="n"/>
      <c r="E36" s="192" t="n"/>
    </row>
    <row r="37">
      <c r="A37" s="31" t="n">
        <v>35</v>
      </c>
      <c r="B37" s="170" t="n"/>
      <c r="C37" s="170" t="n"/>
      <c r="D37" s="170" t="n"/>
      <c r="E37" s="192" t="n"/>
    </row>
    <row r="38">
      <c r="A38" s="31" t="n">
        <v>36</v>
      </c>
      <c r="B38" s="170" t="n"/>
      <c r="C38" s="170" t="n"/>
      <c r="D38" s="170" t="n"/>
      <c r="E38" s="192" t="n"/>
    </row>
    <row r="39">
      <c r="A39" s="31" t="n">
        <v>37</v>
      </c>
      <c r="B39" s="170" t="n"/>
      <c r="C39" s="170" t="n"/>
      <c r="D39" s="170" t="n"/>
      <c r="E39" s="192" t="n"/>
    </row>
    <row r="40">
      <c r="A40" s="31" t="n">
        <v>38</v>
      </c>
      <c r="B40" s="170" t="n"/>
      <c r="C40" s="170" t="n"/>
      <c r="D40" s="170" t="n"/>
      <c r="E40" s="192" t="n"/>
    </row>
    <row r="41">
      <c r="A41" s="31" t="n">
        <v>39</v>
      </c>
      <c r="B41" s="170" t="n"/>
      <c r="C41" s="170" t="n"/>
      <c r="D41" s="170" t="n"/>
      <c r="E41" s="192" t="n"/>
    </row>
    <row r="42" ht="15.75" customHeight="1" thickBot="1">
      <c r="A42" s="31" t="n">
        <v>40</v>
      </c>
      <c r="B42" s="170" t="n"/>
      <c r="C42" s="170" t="n"/>
      <c r="D42" s="170" t="n"/>
      <c r="E42" s="193" t="n"/>
    </row>
    <row r="43" ht="15.75" customHeight="1" thickTop="1">
      <c r="A43" s="107" t="inlineStr">
        <is>
          <t>Average</t>
        </is>
      </c>
      <c r="B43" s="168">
        <f>AVERAGE(B3:B42)</f>
        <v/>
      </c>
      <c r="C43" s="168">
        <f>AVERAGE(C3:C42)</f>
        <v/>
      </c>
      <c r="D43" s="168">
        <f>AVERAGE(D3:D42)</f>
        <v/>
      </c>
      <c r="E43" s="35" t="n"/>
    </row>
    <row r="44">
      <c r="A44" s="36" t="inlineStr">
        <is>
          <t>Overall Average</t>
        </is>
      </c>
      <c r="B44" s="169">
        <f>AVERAGEIF(B43:D43, "&lt;&gt;#DIV/0!")</f>
        <v/>
      </c>
      <c r="C44" s="169" t="n"/>
      <c r="D44" s="169" t="n"/>
      <c r="E44" s="32" t="n"/>
    </row>
    <row r="45">
      <c r="A45" s="36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 t="n"/>
    </row>
    <row r="47">
      <c r="A47" s="9" t="n"/>
      <c r="B47" s="1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99" t="inlineStr">
        <is>
          <t>I (1st, 2nd yr)</t>
        </is>
      </c>
      <c r="B48" s="13">
        <f>COUNTIF($C$2, "A")</f>
        <v/>
      </c>
      <c r="C48" s="13">
        <f>COUNTIF($C$2, "Q")</f>
        <v/>
      </c>
      <c r="D48" s="13">
        <f>COUNTIF($C$2, "M")</f>
        <v/>
      </c>
      <c r="E48" s="13">
        <f>COUNTIF($C$2, "F")</f>
        <v/>
      </c>
      <c r="F48" s="13">
        <f>COUNTIF($C$2, "P")</f>
        <v/>
      </c>
      <c r="G48" s="13">
        <f>COUNTIF($C$2, "L")</f>
        <v/>
      </c>
      <c r="H48" s="13">
        <f>COUNTIF($C$2, "OT")</f>
        <v/>
      </c>
      <c r="I48" s="13">
        <f>SUM(B48:H48)</f>
        <v/>
      </c>
    </row>
    <row r="49">
      <c r="A49" s="100" t="inlineStr">
        <is>
          <t>D (2nd &amp; 3rd yr)</t>
        </is>
      </c>
      <c r="B49" s="13">
        <f>COUNTIF($B$2, "A") + COUNTIF($D$2, "A")</f>
        <v/>
      </c>
      <c r="C49" s="13">
        <f>COUNTIF($B$2, "Q") + COUNTIF($D$2, "Q")</f>
        <v/>
      </c>
      <c r="D49" s="13">
        <f>COUNTIF($B$2, "M") + COUNTIF($D$2, "M")</f>
        <v/>
      </c>
      <c r="E49" s="13">
        <f>COUNTIF($B$2, "F") + COUNTIF($D$2, "F")</f>
        <v/>
      </c>
      <c r="F49" s="13">
        <f>COUNTIF($B$2, "P") + COUNTIF($D$2, "P")</f>
        <v/>
      </c>
      <c r="G49" s="13">
        <f>COUNTIF($B$2, "L") + COUNTIF($D$2, "L")</f>
        <v/>
      </c>
      <c r="H49" s="13">
        <f>COUNTIF($B$2, "OT") + COUNTIF($D$2, "OT")</f>
        <v/>
      </c>
      <c r="I49" s="13">
        <f>SUM(B49:H49)</f>
        <v/>
      </c>
    </row>
    <row r="50">
      <c r="A50" s="101" t="inlineStr">
        <is>
          <t>A (3rd, 4yr)</t>
        </is>
      </c>
      <c r="B50" s="13" t="n">
        <v>0</v>
      </c>
      <c r="C50" s="13" t="n">
        <v>0</v>
      </c>
      <c r="D50" s="13" t="n">
        <v>0</v>
      </c>
      <c r="E50" s="13" t="n">
        <v>0</v>
      </c>
      <c r="F50" s="13" t="n">
        <v>0</v>
      </c>
      <c r="G50" s="13" t="n">
        <v>0</v>
      </c>
      <c r="H50" s="13" t="n">
        <v>0</v>
      </c>
      <c r="I50" s="13">
        <f>SUM(B50:H50)</f>
        <v/>
      </c>
    </row>
    <row r="51">
      <c r="A51" s="19" t="inlineStr">
        <is>
          <t>Total</t>
        </is>
      </c>
      <c r="B51" s="9">
        <f>SUM(B48:B50)</f>
        <v/>
      </c>
      <c r="C51" s="9">
        <f>SUM(C48:C50)</f>
        <v/>
      </c>
      <c r="D51" s="9">
        <f>SUM(D48:D50)</f>
        <v/>
      </c>
      <c r="E51" s="9">
        <f>SUM(E48:E50)</f>
        <v/>
      </c>
      <c r="F51" s="9">
        <f>SUM(F48:F50)</f>
        <v/>
      </c>
      <c r="G51" s="9">
        <f>SUM(G48:G50)</f>
        <v/>
      </c>
      <c r="H51" s="9">
        <f>SUM(H48:H50)</f>
        <v/>
      </c>
      <c r="I51" s="9">
        <f>SUM(I48:I50)</f>
        <v/>
      </c>
    </row>
    <row r="53" ht="18.75" customHeight="1" thickBot="1">
      <c r="A53" s="87" t="inlineStr">
        <is>
          <t>Frequency Distribution Analysis</t>
        </is>
      </c>
      <c r="C53" s="87" t="n"/>
      <c r="D53" s="87" t="n"/>
      <c r="E53" s="87" t="n"/>
      <c r="F53" s="87" t="n"/>
      <c r="G53" s="87" t="n"/>
      <c r="H53" s="85" t="n"/>
      <c r="I53" s="85" t="n"/>
    </row>
    <row r="54" ht="16.5" customHeight="1" thickBot="1">
      <c r="A54" s="122" t="inlineStr">
        <is>
          <t>Scale</t>
        </is>
      </c>
      <c r="B54" s="163" t="inlineStr">
        <is>
          <t>ENGR-2000-3</t>
        </is>
      </c>
      <c r="C54" s="155" t="inlineStr">
        <is>
          <t>ENGR-2400-5</t>
        </is>
      </c>
      <c r="D54" s="163" t="inlineStr">
        <is>
          <t>SENG-3130-4</t>
        </is>
      </c>
      <c r="E54" s="40" t="inlineStr">
        <is>
          <t>Average</t>
        </is>
      </c>
    </row>
    <row r="55" ht="16.5" customHeight="1" thickBot="1">
      <c r="A55" s="110" t="inlineStr">
        <is>
          <t>Below Expectation (C- and below)  (%)</t>
        </is>
      </c>
      <c r="B55" s="115">
        <f>(COUNTIF(B3:B42, "&lt;=59%"))/B45</f>
        <v/>
      </c>
      <c r="C55" s="115">
        <f>(COUNTIF(C3:C42, "&lt;=59%"))/C45</f>
        <v/>
      </c>
      <c r="D55" s="115">
        <f>(COUNTIF(D3:D42, "&lt;=59%"))/D45</f>
        <v/>
      </c>
      <c r="E55" s="41">
        <f>AVERAGEIF(B55:D55, "&lt;&gt;#DIV/0!")</f>
        <v/>
      </c>
    </row>
    <row r="56" ht="16.5" customHeight="1" thickBot="1">
      <c r="A56" s="111" t="inlineStr">
        <is>
          <t>Marginal (C+, C)  (%)</t>
        </is>
      </c>
      <c r="B56" s="118">
        <f>(COUNTIFS(B3:B42, "&gt;= 60%", B3:B42, "&lt;=69%" ))/B45</f>
        <v/>
      </c>
      <c r="C56" s="118">
        <f>(COUNTIFS(C3:C42, "&gt;= 60%", C3:C42, "&lt;=69%" ))/C45</f>
        <v/>
      </c>
      <c r="D56" s="118">
        <f>(COUNTIFS(D3:D42, "&gt;= 60%", D3:D42, "&lt;=69%" ))/D45</f>
        <v/>
      </c>
      <c r="E56" s="41">
        <f>AVERAGEIF(B56:D56, "&lt;&gt;#DIV/0!")</f>
        <v/>
      </c>
    </row>
    <row r="57" ht="16.5" customHeight="1" thickBot="1">
      <c r="A57" s="112" t="inlineStr">
        <is>
          <t>Meets Expectation (B+, B, B-) (%)</t>
        </is>
      </c>
      <c r="B57" s="118">
        <f>(COUNTIFS(B3:B42, "&gt;= 70%", B3:B42, "&lt;=79%" ))/B45</f>
        <v/>
      </c>
      <c r="C57" s="118">
        <f>(COUNTIFS(C3:C42, "&gt;= 70%", C3:C42, "&lt;=79%" ))/C45</f>
        <v/>
      </c>
      <c r="D57" s="118">
        <f>(COUNTIFS(D3:D42, "&gt;= 70%", D3:D42, "&lt;=79%" ))/D45</f>
        <v/>
      </c>
      <c r="E57" s="41">
        <f>AVERAGEIF(B57:D57, "&lt;&gt;#DIV/0!")</f>
        <v/>
      </c>
    </row>
    <row r="58" ht="16.5" customHeight="1" thickBot="1">
      <c r="A58" s="113" t="inlineStr">
        <is>
          <t>Exceeds Expectation (A+, A, A-) (%)</t>
        </is>
      </c>
      <c r="B58" s="118">
        <f>(COUNTIF(B3:B42,"&gt;= 80%")/B45)</f>
        <v/>
      </c>
      <c r="C58" s="118">
        <f>(COUNTIF(C3:C42,"&gt;= 80%")/C45)</f>
        <v/>
      </c>
      <c r="D58" s="118">
        <f>(COUNTIF(D3:D42,"&gt;= 80%")/D45)</f>
        <v/>
      </c>
      <c r="E58" s="41">
        <f>AVERAGEIF(B58:D58, "&lt;&gt;#DIV/0!")</f>
        <v/>
      </c>
    </row>
    <row r="59" ht="15.75" customHeight="1" thickBot="1">
      <c r="A59" s="123" t="n"/>
      <c r="B59" s="124">
        <f>SUMIF(B55:B58, "&lt;&gt;#DIV/0!")</f>
        <v/>
      </c>
      <c r="C59" s="125">
        <f>SUMIF(C55:C58, "&lt;&gt;#DIV/0!")</f>
        <v/>
      </c>
      <c r="D59" s="125">
        <f>SUMIF(D55:D58, "&lt;&gt;#DIV/0!")</f>
        <v/>
      </c>
      <c r="E59" s="41">
        <f>AVERAGEIF(B59:D59, "&lt;&gt;#DIV/0!")</f>
        <v/>
      </c>
    </row>
    <row r="60" ht="15.75" customHeight="1" thickBot="1"/>
    <row r="61" ht="15.75" customHeight="1" thickBot="1">
      <c r="A61" s="25" t="n"/>
      <c r="B61" s="42" t="inlineStr">
        <is>
          <t>Class Limit</t>
        </is>
      </c>
      <c r="C61" s="42" t="inlineStr">
        <is>
          <t>Bin</t>
        </is>
      </c>
    </row>
    <row r="62" ht="16.5" customHeight="1" thickBot="1">
      <c r="A62" s="38" t="inlineStr">
        <is>
          <t>Exceeds Expectation (A+, A, A-) (%)</t>
        </is>
      </c>
      <c r="B62" s="44" t="inlineStr">
        <is>
          <t>80-100</t>
        </is>
      </c>
      <c r="C62" s="43" t="n">
        <v>100</v>
      </c>
    </row>
    <row r="63" ht="16.5" customHeight="1" thickBot="1">
      <c r="A63" s="38" t="inlineStr">
        <is>
          <t>Meets Expectation (B+, B, B-) (%)</t>
        </is>
      </c>
      <c r="B63" s="44" t="inlineStr">
        <is>
          <t>70-79</t>
        </is>
      </c>
      <c r="C63" s="43" t="n">
        <v>79</v>
      </c>
    </row>
    <row r="64" ht="16.5" customHeight="1" thickBot="1">
      <c r="A64" s="38" t="inlineStr">
        <is>
          <t>Marginal (C+, C)  (%)</t>
        </is>
      </c>
      <c r="B64" s="44" t="inlineStr">
        <is>
          <t>60-69</t>
        </is>
      </c>
      <c r="C64" s="43" t="n">
        <v>69</v>
      </c>
    </row>
    <row r="65" ht="16.5" customHeight="1" thickBot="1">
      <c r="A65" s="38" t="inlineStr">
        <is>
          <t>Below Expectation (C- and below)  (%)</t>
        </is>
      </c>
      <c r="B65" s="44" t="inlineStr">
        <is>
          <t>0-59</t>
        </is>
      </c>
      <c r="C65" s="43" t="n">
        <v>59</v>
      </c>
    </row>
  </sheetData>
  <mergeCells count="1">
    <mergeCell ref="E3:E42"/>
  </mergeCells>
  <conditionalFormatting sqref="B3:D42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97" operator="greaterThanOrEqual" dxfId="3">
      <formula>80</formula>
    </cfRule>
    <cfRule type="containsBlanks" priority="1298" dxfId="4" stopIfTrue="1">
      <formula>LEN(TRIM(B3))=0</formula>
    </cfRule>
    <cfRule type="cellIs" priority="1299" operator="greaterThanOrEqual" dxfId="3">
      <formula>80</formula>
    </cfRule>
    <cfRule type="cellIs" priority="1300" operator="between" dxfId="2">
      <formula>70</formula>
      <formula>79</formula>
    </cfRule>
    <cfRule type="cellIs" priority="1301" operator="between" dxfId="1">
      <formula>60</formula>
      <formula>69</formula>
    </cfRule>
    <cfRule type="cellIs" priority="1302" operator="between" dxfId="0">
      <formula>0</formula>
      <formula>59</formula>
    </cfRule>
  </conditionalFormatting>
  <dataValidations count="1">
    <dataValidation sqref="B2:D2" showErrorMessage="1" showInputMessage="1" allowBlank="1" type="list">
      <formula1>$L$6:$L$13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7"/>
  <sheetViews>
    <sheetView zoomScale="80" zoomScaleNormal="80" workbookViewId="0">
      <selection activeCell="K6" sqref="K6"/>
    </sheetView>
  </sheetViews>
  <sheetFormatPr baseColWidth="8" defaultRowHeight="15" outlineLevelCol="0"/>
  <cols>
    <col width="16.140625" bestFit="1" customWidth="1" min="1" max="1"/>
  </cols>
  <sheetData>
    <row r="1" ht="18" customHeight="1">
      <c r="A1" s="142" t="n"/>
      <c r="B1" s="142" t="n"/>
      <c r="C1" s="185" t="inlineStr">
        <is>
          <t xml:space="preserve"> Individual and team work (GA-6) Curriculum Map</t>
        </is>
      </c>
    </row>
    <row r="2" ht="16.5" customHeight="1" thickBot="1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57.5" customHeight="1" thickBot="1" thickTop="1">
      <c r="A3" s="93" t="inlineStr">
        <is>
          <t>Individual and team work</t>
        </is>
      </c>
      <c r="B3" s="94" t="inlineStr">
        <is>
          <t>ENGR-1100</t>
        </is>
      </c>
      <c r="C3" s="94" t="inlineStr">
        <is>
          <t>ENGR-1200</t>
        </is>
      </c>
      <c r="D3" s="94" t="inlineStr">
        <is>
          <t>ENGR-2300</t>
        </is>
      </c>
      <c r="E3" s="94" t="inlineStr">
        <is>
          <t>ENGR-2400</t>
        </is>
      </c>
      <c r="F3" s="94" t="inlineStr">
        <is>
          <t>ENGR-2000</t>
        </is>
      </c>
      <c r="G3" s="94" t="inlineStr">
        <is>
          <t>CENG-3010</t>
        </is>
      </c>
      <c r="H3" s="94" t="inlineStr">
        <is>
          <t>EENG-3010</t>
        </is>
      </c>
      <c r="I3" s="94" t="inlineStr">
        <is>
          <t>SENG 3130</t>
        </is>
      </c>
      <c r="J3" s="94" t="inlineStr">
        <is>
          <t>ENGR-3300</t>
        </is>
      </c>
      <c r="K3" s="94" t="inlineStr">
        <is>
          <t>COMP-3610</t>
        </is>
      </c>
      <c r="L3" s="94" t="inlineStr">
        <is>
          <t>SENG 3120</t>
        </is>
      </c>
      <c r="M3" s="94" t="inlineStr">
        <is>
          <t>SENG-3210</t>
        </is>
      </c>
      <c r="N3" s="94" t="inlineStr">
        <is>
          <t>CENG-3020</t>
        </is>
      </c>
      <c r="O3" s="94" t="inlineStr">
        <is>
          <t>SENG-4100</t>
        </is>
      </c>
      <c r="P3" s="94" t="inlineStr">
        <is>
          <t>SENG-4130</t>
        </is>
      </c>
      <c r="Q3" s="94" t="inlineStr">
        <is>
          <t>SENG-4140</t>
        </is>
      </c>
      <c r="R3" s="94" t="inlineStr">
        <is>
          <t>SENG-4640</t>
        </is>
      </c>
    </row>
    <row r="4" ht="17.25" customHeight="1" thickBot="1" thickTop="1">
      <c r="A4" s="5" t="inlineStr">
        <is>
          <t>I</t>
        </is>
      </c>
      <c r="B4" s="6" t="inlineStr">
        <is>
          <t>X</t>
        </is>
      </c>
      <c r="C4" s="6" t="inlineStr">
        <is>
          <t>X</t>
        </is>
      </c>
      <c r="D4" s="6" t="inlineStr">
        <is>
          <t>X</t>
        </is>
      </c>
      <c r="E4" s="6" t="inlineStr">
        <is>
          <t>X</t>
        </is>
      </c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</row>
    <row r="5" ht="17.25" customHeight="1" thickBot="1" thickTop="1">
      <c r="A5" s="5" t="inlineStr">
        <is>
          <t>D</t>
        </is>
      </c>
      <c r="B5" s="2" t="n"/>
      <c r="C5" s="2" t="n"/>
      <c r="D5" s="7" t="n"/>
      <c r="E5" s="7" t="n"/>
      <c r="F5" s="8" t="inlineStr">
        <is>
          <t>X</t>
        </is>
      </c>
      <c r="G5" s="158" t="inlineStr">
        <is>
          <t>X</t>
        </is>
      </c>
      <c r="H5" s="158" t="inlineStr">
        <is>
          <t>X</t>
        </is>
      </c>
      <c r="I5" s="158" t="inlineStr">
        <is>
          <t>X</t>
        </is>
      </c>
      <c r="J5" s="8" t="inlineStr">
        <is>
          <t>X</t>
        </is>
      </c>
      <c r="K5" s="2" t="n"/>
      <c r="L5" s="2" t="n"/>
      <c r="M5" s="2" t="n"/>
      <c r="N5" s="2" t="n"/>
      <c r="O5" s="2" t="n"/>
      <c r="P5" s="2" t="n"/>
      <c r="Q5" s="2" t="n"/>
      <c r="R5" s="2" t="n"/>
    </row>
    <row r="6" ht="17.25" customHeight="1" thickBot="1" thickTop="1">
      <c r="A6" s="5" t="inlineStr">
        <is>
          <t>A</t>
        </is>
      </c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143" t="inlineStr">
        <is>
          <t>X</t>
        </is>
      </c>
      <c r="L6" s="143" t="inlineStr">
        <is>
          <t>X</t>
        </is>
      </c>
      <c r="M6" s="143" t="inlineStr">
        <is>
          <t>X</t>
        </is>
      </c>
      <c r="N6" s="143" t="inlineStr">
        <is>
          <t>X</t>
        </is>
      </c>
      <c r="O6" s="143" t="inlineStr">
        <is>
          <t>X</t>
        </is>
      </c>
      <c r="P6" s="143" t="inlineStr">
        <is>
          <t>X</t>
        </is>
      </c>
      <c r="Q6" s="143" t="inlineStr">
        <is>
          <t>X</t>
        </is>
      </c>
      <c r="R6" s="143" t="inlineStr">
        <is>
          <t>X</t>
        </is>
      </c>
    </row>
    <row r="7" ht="17.25" customHeight="1" thickBot="1" thickTop="1">
      <c r="A7" s="5" t="inlineStr">
        <is>
          <t>GA Indicators</t>
        </is>
      </c>
      <c r="B7" s="2" t="inlineStr">
        <is>
          <t>abe</t>
        </is>
      </c>
      <c r="C7" s="2" t="inlineStr">
        <is>
          <t>bce</t>
        </is>
      </c>
      <c r="D7" s="2" t="inlineStr">
        <is>
          <t>cde</t>
        </is>
      </c>
      <c r="E7" s="2" t="inlineStr">
        <is>
          <t>cf</t>
        </is>
      </c>
      <c r="F7" s="2" t="inlineStr">
        <is>
          <t>cef</t>
        </is>
      </c>
      <c r="G7" s="2" t="inlineStr">
        <is>
          <t>a</t>
        </is>
      </c>
      <c r="H7" s="2" t="inlineStr">
        <is>
          <t>e</t>
        </is>
      </c>
      <c r="I7" s="2" t="inlineStr">
        <is>
          <t>af</t>
        </is>
      </c>
      <c r="J7" s="2" t="inlineStr">
        <is>
          <t>bde</t>
        </is>
      </c>
      <c r="K7" s="2" t="inlineStr">
        <is>
          <t>ae</t>
        </is>
      </c>
      <c r="L7" s="2" t="inlineStr">
        <is>
          <t>ab</t>
        </is>
      </c>
      <c r="M7" s="2" t="inlineStr">
        <is>
          <t>bc</t>
        </is>
      </c>
      <c r="N7" s="2" t="inlineStr">
        <is>
          <t>ae</t>
        </is>
      </c>
      <c r="O7" s="2" t="inlineStr">
        <is>
          <t>abcde</t>
        </is>
      </c>
      <c r="P7" s="2" t="inlineStr">
        <is>
          <t>a</t>
        </is>
      </c>
      <c r="Q7" s="2" t="inlineStr">
        <is>
          <t>ace</t>
        </is>
      </c>
      <c r="R7" s="2" t="inlineStr">
        <is>
          <t>ace</t>
        </is>
      </c>
    </row>
    <row r="8" ht="15.75" customHeight="1" thickTop="1"/>
    <row r="9" ht="15.75" customHeight="1" thickBot="1"/>
    <row r="10" ht="17.25" customHeight="1" thickBot="1" thickTop="1">
      <c r="A10" s="5" t="inlineStr">
        <is>
          <t>I</t>
        </is>
      </c>
      <c r="B10" s="6" t="inlineStr">
        <is>
          <t>X</t>
        </is>
      </c>
      <c r="C10" s="6" t="inlineStr">
        <is>
          <t>X</t>
        </is>
      </c>
      <c r="D10" s="6" t="inlineStr">
        <is>
          <t>X</t>
        </is>
      </c>
      <c r="E10" s="6" t="inlineStr">
        <is>
          <t>X</t>
        </is>
      </c>
    </row>
    <row r="11" ht="17.25" customHeight="1" thickBot="1" thickTop="1">
      <c r="A11" s="5" t="inlineStr">
        <is>
          <t>GA Indicators</t>
        </is>
      </c>
      <c r="B11" s="2" t="inlineStr">
        <is>
          <t>abe</t>
        </is>
      </c>
      <c r="C11" s="2" t="inlineStr">
        <is>
          <t>bce</t>
        </is>
      </c>
      <c r="D11" s="2" t="inlineStr">
        <is>
          <t>cde</t>
        </is>
      </c>
      <c r="E11" s="2" t="inlineStr">
        <is>
          <t>cf</t>
        </is>
      </c>
      <c r="K11" s="154" t="n"/>
    </row>
    <row r="12" ht="17.25" customHeight="1" thickBot="1" thickTop="1">
      <c r="L12" s="7" t="n"/>
    </row>
    <row r="13" ht="17.25" customHeight="1" thickBot="1" thickTop="1">
      <c r="A13" s="5" t="inlineStr">
        <is>
          <t>D</t>
        </is>
      </c>
      <c r="B13" s="159" t="inlineStr">
        <is>
          <t>X</t>
        </is>
      </c>
      <c r="C13" s="8" t="inlineStr">
        <is>
          <t>X</t>
        </is>
      </c>
      <c r="D13" s="8" t="inlineStr">
        <is>
          <t>X</t>
        </is>
      </c>
      <c r="E13" s="8" t="inlineStr">
        <is>
          <t>X</t>
        </is>
      </c>
      <c r="F13" s="160" t="inlineStr">
        <is>
          <t>X</t>
        </is>
      </c>
    </row>
    <row r="14" ht="17.25" customHeight="1" thickBot="1" thickTop="1">
      <c r="A14" s="5" t="inlineStr">
        <is>
          <t>GA Indicators</t>
        </is>
      </c>
      <c r="B14" s="2" t="inlineStr">
        <is>
          <t>cef</t>
        </is>
      </c>
      <c r="C14" s="161" t="inlineStr">
        <is>
          <t>a</t>
        </is>
      </c>
      <c r="D14" s="161" t="inlineStr">
        <is>
          <t>e</t>
        </is>
      </c>
      <c r="E14" s="161" t="inlineStr">
        <is>
          <t>af</t>
        </is>
      </c>
      <c r="F14" s="2" t="inlineStr">
        <is>
          <t>bde</t>
        </is>
      </c>
      <c r="K14" s="154" t="n"/>
    </row>
    <row r="15" ht="17.25" customHeight="1" thickBot="1" thickTop="1">
      <c r="L15" s="7" t="n"/>
    </row>
    <row r="16" ht="17.25" customHeight="1" thickBot="1" thickTop="1">
      <c r="A16" s="5" t="inlineStr">
        <is>
          <t>A</t>
        </is>
      </c>
      <c r="B16" s="143" t="inlineStr">
        <is>
          <t>X</t>
        </is>
      </c>
      <c r="C16" s="143" t="inlineStr">
        <is>
          <t>X</t>
        </is>
      </c>
      <c r="D16" s="143" t="inlineStr">
        <is>
          <t>X</t>
        </is>
      </c>
      <c r="E16" s="143" t="inlineStr">
        <is>
          <t>X</t>
        </is>
      </c>
      <c r="F16" s="143" t="inlineStr">
        <is>
          <t>X</t>
        </is>
      </c>
      <c r="G16" s="143" t="inlineStr">
        <is>
          <t>X</t>
        </is>
      </c>
      <c r="H16" s="143" t="inlineStr">
        <is>
          <t>X</t>
        </is>
      </c>
      <c r="I16" s="143" t="inlineStr">
        <is>
          <t>X</t>
        </is>
      </c>
    </row>
    <row r="17" ht="17.25" customHeight="1" thickBot="1" thickTop="1">
      <c r="A17" s="5" t="inlineStr">
        <is>
          <t>GA Indicators</t>
        </is>
      </c>
      <c r="B17" s="2" t="inlineStr">
        <is>
          <t>ae</t>
        </is>
      </c>
      <c r="C17" s="2" t="inlineStr">
        <is>
          <t>ab</t>
        </is>
      </c>
      <c r="D17" s="2" t="inlineStr">
        <is>
          <t>bc</t>
        </is>
      </c>
      <c r="E17" s="2" t="inlineStr">
        <is>
          <t>ae</t>
        </is>
      </c>
      <c r="F17" s="2" t="inlineStr">
        <is>
          <t>abcde</t>
        </is>
      </c>
      <c r="G17" s="2" t="inlineStr">
        <is>
          <t>a</t>
        </is>
      </c>
      <c r="H17" s="2" t="inlineStr">
        <is>
          <t>ace</t>
        </is>
      </c>
      <c r="I17" s="2" t="inlineStr">
        <is>
          <t>ace</t>
        </is>
      </c>
    </row>
    <row r="18" ht="15.75" customHeight="1" thickTop="1"/>
  </sheetData>
  <mergeCells count="1">
    <mergeCell ref="C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Fahmed</dc:creator>
  <dcterms:created xsi:type="dcterms:W3CDTF">2021-08-10T23:02:18Z</dcterms:created>
  <dcterms:modified xsi:type="dcterms:W3CDTF">2022-07-21T21:43:48Z</dcterms:modified>
  <cp:lastModifiedBy>varundel</cp:lastModifiedBy>
</cp:coreProperties>
</file>