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125" yWindow="1125" windowWidth="24390" windowHeight="13335" tabRatio="600" firstSheet="0" activeTab="1" autoFilterDateGrouping="1"/>
  </bookViews>
  <sheets>
    <sheet name="Analysis" sheetId="1" state="visible" r:id="rId1"/>
    <sheet name="8a" sheetId="2" state="visible" r:id="rId2"/>
    <sheet name="8b" sheetId="3" state="visible" r:id="rId3"/>
    <sheet name="8c" sheetId="4" state="visible" r:id="rId4"/>
    <sheet name="8d" sheetId="5" state="visible" r:id="rId5"/>
    <sheet name="8e" sheetId="6" state="visible" r:id="rId6"/>
    <sheet name="8f" sheetId="7" state="visible" r:id="rId7"/>
    <sheet name="Indicator Map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8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theme="1"/>
      <sz val="14"/>
    </font>
    <font>
      <name val="Calibri"/>
      <family val="2"/>
      <sz val="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  <font>
      <name val="Calibri"/>
      <family val="2"/>
      <sz val="11"/>
      <scheme val="minor"/>
    </font>
  </fonts>
  <fills count="21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15" fillId="0" borderId="0"/>
    <xf numFmtId="0" fontId="8" fillId="0" borderId="0"/>
    <xf numFmtId="9" fontId="15" fillId="0" borderId="0"/>
  </cellStyleXfs>
  <cellXfs count="19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pivotButton="0" quotePrefix="0" xfId="0"/>
    <xf numFmtId="0" fontId="5" fillId="3" borderId="1" pivotButton="0" quotePrefix="0" xfId="0"/>
    <xf numFmtId="0" fontId="5" fillId="0" borderId="1" pivotButton="0" quotePrefix="0" xfId="0"/>
    <xf numFmtId="0" fontId="2" fillId="0" borderId="1" pivotButton="0" quotePrefix="0" xfId="0"/>
    <xf numFmtId="0" fontId="3" fillId="4" borderId="1" pivotButton="0" quotePrefix="0" xfId="0"/>
    <xf numFmtId="0" fontId="3" fillId="0" borderId="0" pivotButton="0" quotePrefix="0" xfId="0"/>
    <xf numFmtId="0" fontId="0" fillId="8" borderId="6" applyAlignment="1" pivotButton="0" quotePrefix="0" xfId="0">
      <alignment horizontal="center" vertical="center"/>
    </xf>
    <xf numFmtId="2" fontId="0" fillId="8" borderId="6" applyAlignment="1" pivotButton="0" quotePrefix="0" xfId="0">
      <alignment horizontal="center" vertical="center" wrapText="1"/>
    </xf>
    <xf numFmtId="1" fontId="0" fillId="9" borderId="6" applyAlignment="1" pivotButton="0" quotePrefix="0" xfId="0">
      <alignment horizontal="center" vertical="center"/>
    </xf>
    <xf numFmtId="0" fontId="0" fillId="8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8" borderId="6" applyAlignment="1" pivotButton="0" quotePrefix="0" xfId="0">
      <alignment horizontal="center" vertical="center"/>
    </xf>
    <xf numFmtId="2" fontId="1" fillId="8" borderId="6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0" fontId="0" fillId="0" borderId="5" applyAlignment="1" pivotButton="0" quotePrefix="0" xfId="0">
      <alignment horizontal="center" vertical="center"/>
    </xf>
    <xf numFmtId="164" fontId="10" fillId="0" borderId="17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3" borderId="2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1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4" fontId="2" fillId="0" borderId="11" applyAlignment="1" pivotButton="0" quotePrefix="0" xfId="0">
      <alignment horizontal="center"/>
    </xf>
    <xf numFmtId="0" fontId="2" fillId="3" borderId="5" pivotButton="0" quotePrefix="0" xfId="0"/>
    <xf numFmtId="10" fontId="0" fillId="0" borderId="16" applyAlignment="1" pivotButton="0" quotePrefix="0" xfId="0">
      <alignment horizontal="center"/>
    </xf>
    <xf numFmtId="0" fontId="0" fillId="11" borderId="12" applyAlignment="1" pivotButton="0" quotePrefix="0" xfId="0">
      <alignment horizontal="center" vertical="center"/>
    </xf>
    <xf numFmtId="10" fontId="0" fillId="11" borderId="1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" fontId="0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0" fontId="8" fillId="0" borderId="6" pivotButton="0" quotePrefix="0" xfId="0"/>
    <xf numFmtId="0" fontId="9" fillId="0" borderId="6" pivotButton="0" quotePrefix="0" xfId="0"/>
    <xf numFmtId="0" fontId="8" fillId="0" borderId="6" applyAlignment="1" pivotButton="0" quotePrefix="0" xfId="0">
      <alignment horizontal="center"/>
    </xf>
    <xf numFmtId="0" fontId="8" fillId="0" borderId="19" pivotButton="0" quotePrefix="0" xfId="0"/>
    <xf numFmtId="0" fontId="9" fillId="11" borderId="19" applyAlignment="1" pivotButton="0" quotePrefix="0" xfId="0">
      <alignment horizontal="center"/>
    </xf>
    <xf numFmtId="0" fontId="9" fillId="3" borderId="19" pivotButton="0" quotePrefix="0" xfId="0"/>
    <xf numFmtId="0" fontId="9" fillId="3" borderId="6" pivotButton="0" quotePrefix="0" xfId="0"/>
    <xf numFmtId="10" fontId="8" fillId="0" borderId="6" pivotButton="0" quotePrefix="0" xfId="0"/>
    <xf numFmtId="10" fontId="9" fillId="11" borderId="6" pivotButton="0" quotePrefix="0" xfId="0"/>
    <xf numFmtId="9" fontId="8" fillId="0" borderId="6" pivotButton="0" quotePrefix="0" xfId="0"/>
    <xf numFmtId="0" fontId="12" fillId="7" borderId="6" applyAlignment="1" pivotButton="0" quotePrefix="0" xfId="0">
      <alignment horizontal="center"/>
    </xf>
    <xf numFmtId="0" fontId="12" fillId="7" borderId="18" applyAlignment="1" pivotButton="0" quotePrefix="0" xfId="0">
      <alignment horizontal="center"/>
    </xf>
    <xf numFmtId="0" fontId="12" fillId="7" borderId="20" applyAlignment="1" pivotButton="0" quotePrefix="0" xfId="0">
      <alignment horizontal="center"/>
    </xf>
    <xf numFmtId="0" fontId="12" fillId="7" borderId="25" applyAlignment="1" pivotButton="0" quotePrefix="0" xfId="0">
      <alignment horizontal="center"/>
    </xf>
    <xf numFmtId="0" fontId="12" fillId="7" borderId="22" applyAlignment="1" pivotButton="0" quotePrefix="0" xfId="0">
      <alignment horizontal="center"/>
    </xf>
    <xf numFmtId="0" fontId="12" fillId="7" borderId="19" applyAlignment="1" pivotButton="0" quotePrefix="0" xfId="0">
      <alignment horizontal="center"/>
    </xf>
    <xf numFmtId="0" fontId="8" fillId="0" borderId="7" pivotButton="0" quotePrefix="0" xfId="0"/>
    <xf numFmtId="0" fontId="8" fillId="12" borderId="7" pivotButton="0" quotePrefix="0" xfId="0"/>
    <xf numFmtId="0" fontId="8" fillId="0" borderId="9" pivotButton="0" quotePrefix="0" xfId="0"/>
    <xf numFmtId="0" fontId="8" fillId="13" borderId="19" pivotButton="0" quotePrefix="0" xfId="0"/>
    <xf numFmtId="0" fontId="8" fillId="13" borderId="6" pivotButton="0" quotePrefix="0" xfId="0"/>
    <xf numFmtId="0" fontId="5" fillId="3" borderId="0" pivotButton="0" quotePrefix="0" xfId="0"/>
    <xf numFmtId="0" fontId="14" fillId="11" borderId="6" applyAlignment="1" pivotButton="0" quotePrefix="0" xfId="0">
      <alignment horizontal="center"/>
    </xf>
    <xf numFmtId="0" fontId="9" fillId="0" borderId="19" pivotButton="0" quotePrefix="0" xfId="0"/>
    <xf numFmtId="0" fontId="8" fillId="14" borderId="19" applyAlignment="1" pivotButton="0" quotePrefix="0" xfId="0">
      <alignment horizontal="center"/>
    </xf>
    <xf numFmtId="2" fontId="9" fillId="11" borderId="19" applyAlignment="1" pivotButton="0" quotePrefix="0" xfId="0">
      <alignment horizontal="center"/>
    </xf>
    <xf numFmtId="0" fontId="8" fillId="0" borderId="26" pivotButton="0" quotePrefix="0" xfId="0"/>
    <xf numFmtId="0" fontId="9" fillId="0" borderId="23" applyAlignment="1" pivotButton="0" quotePrefix="0" xfId="0">
      <alignment horizontal="center"/>
    </xf>
    <xf numFmtId="0" fontId="9" fillId="11" borderId="24" applyAlignment="1" pivotButton="0" quotePrefix="0" xfId="0">
      <alignment horizontal="center"/>
    </xf>
    <xf numFmtId="0" fontId="9" fillId="0" borderId="7" pivotButton="0" quotePrefix="0" xfId="0"/>
    <xf numFmtId="0" fontId="8" fillId="0" borderId="7" applyAlignment="1" pivotButton="0" quotePrefix="0" xfId="0">
      <alignment horizontal="center"/>
    </xf>
    <xf numFmtId="10" fontId="8" fillId="0" borderId="19" pivotButton="0" quotePrefix="0" xfId="0"/>
    <xf numFmtId="9" fontId="8" fillId="0" borderId="19" pivotButton="0" quotePrefix="0" xfId="0"/>
    <xf numFmtId="9" fontId="9" fillId="11" borderId="19" pivotButton="0" quotePrefix="0" xfId="0"/>
    <xf numFmtId="164" fontId="9" fillId="0" borderId="26" applyAlignment="1" pivotButton="0" quotePrefix="0" xfId="0">
      <alignment horizontal="center"/>
    </xf>
    <xf numFmtId="0" fontId="9" fillId="0" borderId="2" applyAlignment="1" pivotButton="0" quotePrefix="0" xfId="0">
      <alignment horizontal="center" vertical="center"/>
    </xf>
    <xf numFmtId="0" fontId="8" fillId="15" borderId="6" pivotButton="0" quotePrefix="0" xfId="0"/>
    <xf numFmtId="0" fontId="8" fillId="15" borderId="7" pivotButton="0" quotePrefix="0" xfId="0"/>
    <xf numFmtId="0" fontId="8" fillId="9" borderId="6" pivotButton="0" quotePrefix="0" xfId="0"/>
    <xf numFmtId="0" fontId="8" fillId="9" borderId="7" pivotButton="0" quotePrefix="0" xfId="0"/>
    <xf numFmtId="164" fontId="0" fillId="0" borderId="0" applyAlignment="1" pivotButton="0" quotePrefix="0" xfId="0">
      <alignment horizontal="center"/>
    </xf>
    <xf numFmtId="164" fontId="10" fillId="0" borderId="0" pivotButton="0" quotePrefix="0" xfId="0"/>
    <xf numFmtId="10" fontId="0" fillId="11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/>
    </xf>
    <xf numFmtId="10" fontId="9" fillId="11" borderId="19" pivotButton="0" quotePrefix="0" xfId="0"/>
    <xf numFmtId="0" fontId="1" fillId="8" borderId="25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0" fontId="3" fillId="0" borderId="1" applyAlignment="1" pivotButton="0" quotePrefix="0" xfId="0">
      <alignment textRotation="255"/>
    </xf>
    <xf numFmtId="0" fontId="8" fillId="15" borderId="6" applyAlignment="1" pivotButton="0" quotePrefix="0" xfId="0">
      <alignment horizontal="center"/>
    </xf>
    <xf numFmtId="0" fontId="13" fillId="15" borderId="6" applyAlignment="1" pivotButton="0" quotePrefix="0" xfId="0">
      <alignment horizontal="center"/>
    </xf>
    <xf numFmtId="10" fontId="0" fillId="0" borderId="27" applyAlignment="1" pivotButton="0" quotePrefix="0" xfId="0">
      <alignment horizontal="center" vertical="center"/>
    </xf>
    <xf numFmtId="0" fontId="2" fillId="11" borderId="5" applyAlignment="1" pivotButton="0" quotePrefix="0" xfId="0">
      <alignment vertical="center"/>
    </xf>
    <xf numFmtId="0" fontId="1" fillId="4" borderId="6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7" fillId="16" borderId="5" applyAlignment="1" pivotButton="0" quotePrefix="0" xfId="0">
      <alignment vertical="center"/>
    </xf>
    <xf numFmtId="0" fontId="2" fillId="17" borderId="5" applyAlignment="1" pivotButton="0" quotePrefix="0" xfId="0">
      <alignment vertical="center"/>
    </xf>
    <xf numFmtId="0" fontId="2" fillId="18" borderId="5" applyAlignment="1" pivotButton="0" quotePrefix="0" xfId="0">
      <alignment vertical="center"/>
    </xf>
    <xf numFmtId="0" fontId="1" fillId="19" borderId="6" applyAlignment="1" pivotButton="0" quotePrefix="0" xfId="0">
      <alignment horizontal="center" vertical="center"/>
    </xf>
    <xf numFmtId="0" fontId="16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164" fontId="2" fillId="0" borderId="28" applyAlignment="1" pivotButton="0" quotePrefix="0" xfId="0">
      <alignment horizontal="center"/>
    </xf>
    <xf numFmtId="0" fontId="17" fillId="16" borderId="2" applyAlignment="1" pivotButton="0" quotePrefix="0" xfId="0">
      <alignment vertical="center"/>
    </xf>
    <xf numFmtId="0" fontId="2" fillId="17" borderId="2" applyAlignment="1" pivotButton="0" quotePrefix="0" xfId="0">
      <alignment vertical="center"/>
    </xf>
    <xf numFmtId="0" fontId="2" fillId="11" borderId="2" applyAlignment="1" pivotButton="0" quotePrefix="0" xfId="0">
      <alignment vertical="center"/>
    </xf>
    <xf numFmtId="0" fontId="2" fillId="18" borderId="2" applyAlignment="1" pivotButton="0" quotePrefix="0" xfId="0">
      <alignment vertical="center"/>
    </xf>
    <xf numFmtId="164" fontId="0" fillId="0" borderId="29" applyAlignment="1" pivotButton="0" quotePrefix="0" xfId="0">
      <alignment horizontal="center"/>
    </xf>
    <xf numFmtId="10" fontId="0" fillId="0" borderId="13" applyAlignment="1" pivotButton="0" quotePrefix="0" xfId="2">
      <alignment horizontal="center" vertical="center"/>
    </xf>
    <xf numFmtId="2" fontId="0" fillId="11" borderId="30" applyAlignment="1" pivotButton="0" quotePrefix="0" xfId="0">
      <alignment horizontal="center" vertical="center"/>
    </xf>
    <xf numFmtId="164" fontId="10" fillId="0" borderId="0" applyAlignment="1" pivotButton="0" quotePrefix="0" xfId="0">
      <alignment vertical="center"/>
    </xf>
    <xf numFmtId="10" fontId="0" fillId="0" borderId="13" applyAlignment="1" pivotButton="0" quotePrefix="0" xfId="0">
      <alignment horizontal="center" vertical="center"/>
    </xf>
    <xf numFmtId="10" fontId="0" fillId="0" borderId="21" applyAlignment="1" pivotButton="0" quotePrefix="0" xfId="0">
      <alignment horizontal="center" vertical="center"/>
    </xf>
    <xf numFmtId="0" fontId="0" fillId="11" borderId="30" applyAlignment="1" pivotButton="0" quotePrefix="0" xfId="0">
      <alignment horizontal="center" vertical="center"/>
    </xf>
    <xf numFmtId="164" fontId="0" fillId="0" borderId="29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0" fontId="0" fillId="0" borderId="21" applyAlignment="1" pivotButton="0" quotePrefix="0" xfId="0">
      <alignment horizontal="center"/>
    </xf>
    <xf numFmtId="10" fontId="0" fillId="0" borderId="31" applyAlignment="1" pivotButton="0" quotePrefix="0" xfId="0">
      <alignment horizontal="center"/>
    </xf>
    <xf numFmtId="10" fontId="0" fillId="0" borderId="31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wrapText="1"/>
    </xf>
    <xf numFmtId="0" fontId="4" fillId="3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horizontal="center"/>
    </xf>
    <xf numFmtId="0" fontId="14" fillId="3" borderId="6" applyAlignment="1" pivotButton="0" quotePrefix="0" xfId="0">
      <alignment horizontal="center"/>
    </xf>
    <xf numFmtId="164" fontId="2" fillId="3" borderId="0" applyAlignment="1" pivotButton="0" quotePrefix="0" xfId="0">
      <alignment vertical="center"/>
    </xf>
    <xf numFmtId="0" fontId="2" fillId="3" borderId="0" pivotButton="0" quotePrefix="0" xfId="0"/>
    <xf numFmtId="10" fontId="3" fillId="3" borderId="0" pivotButton="0" quotePrefix="0" xfId="0"/>
    <xf numFmtId="0" fontId="3" fillId="3" borderId="0" pivotButton="0" quotePrefix="0" xfId="0"/>
    <xf numFmtId="164" fontId="2" fillId="3" borderId="0" applyAlignment="1" pivotButton="0" quotePrefix="0" xfId="0">
      <alignment horizontal="center"/>
    </xf>
    <xf numFmtId="9" fontId="3" fillId="3" borderId="0" pivotButton="0" quotePrefix="0" xfId="0"/>
    <xf numFmtId="0" fontId="8" fillId="3" borderId="0" pivotButton="0" quotePrefix="0" xfId="0"/>
    <xf numFmtId="9" fontId="1" fillId="3" borderId="0" pivotButton="0" quotePrefix="0" xfId="0"/>
    <xf numFmtId="2" fontId="8" fillId="0" borderId="6" pivotButton="0" quotePrefix="0" xfId="0"/>
    <xf numFmtId="164" fontId="8" fillId="0" borderId="6" pivotButton="0" quotePrefix="0" xfId="0"/>
    <xf numFmtId="0" fontId="3" fillId="9" borderId="1" pivotButton="0" quotePrefix="0" xfId="0"/>
    <xf numFmtId="0" fontId="0" fillId="4" borderId="6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8" fillId="9" borderId="19" pivotButton="0" quotePrefix="0" xfId="0"/>
    <xf numFmtId="0" fontId="13" fillId="3" borderId="26" applyAlignment="1" pivotButton="0" quotePrefix="0" xfId="0">
      <alignment horizontal="center"/>
    </xf>
    <xf numFmtId="0" fontId="13" fillId="0" borderId="23" applyAlignment="1" pivotButton="0" quotePrefix="0" xfId="0">
      <alignment horizontal="center"/>
    </xf>
    <xf numFmtId="0" fontId="13" fillId="0" borderId="24" applyAlignment="1" pivotButton="0" quotePrefix="0" xfId="0">
      <alignment horizontal="center"/>
    </xf>
    <xf numFmtId="164" fontId="9" fillId="11" borderId="6" pivotButton="0" quotePrefix="0" xfId="0"/>
    <xf numFmtId="1" fontId="0" fillId="0" borderId="6" applyAlignment="1" pivotButton="0" quotePrefix="0" xfId="0">
      <alignment horizontal="center" vertical="center"/>
    </xf>
    <xf numFmtId="1" fontId="0" fillId="8" borderId="6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/>
    </xf>
    <xf numFmtId="0" fontId="3" fillId="7" borderId="1" pivotButton="0" quotePrefix="0" xfId="0"/>
    <xf numFmtId="0" fontId="0" fillId="4" borderId="6" applyAlignment="1" pivotButton="0" quotePrefix="0" xfId="0">
      <alignment horizontal="center" vertical="center" wrapText="1"/>
    </xf>
    <xf numFmtId="0" fontId="0" fillId="7" borderId="6" applyAlignment="1" pivotButton="0" quotePrefix="0" xfId="0">
      <alignment horizontal="center" vertical="center"/>
    </xf>
    <xf numFmtId="0" fontId="4" fillId="20" borderId="1" pivotButton="0" quotePrefix="0" xfId="0"/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7" borderId="6" applyAlignment="1" pivotButton="0" quotePrefix="0" xfId="0">
      <alignment horizontal="center" vertical="center" wrapText="1"/>
    </xf>
    <xf numFmtId="0" fontId="0" fillId="7" borderId="6" applyAlignment="1" pivotButton="0" quotePrefix="0" xfId="0">
      <alignment horizontal="center" wrapText="1"/>
    </xf>
    <xf numFmtId="0" fontId="0" fillId="4" borderId="6" applyAlignment="1" pivotButton="0" quotePrefix="0" xfId="0">
      <alignment horizontal="center" wrapText="1"/>
    </xf>
    <xf numFmtId="0" fontId="0" fillId="7" borderId="6" applyAlignment="1" pivotButton="0" quotePrefix="0" xfId="0">
      <alignment horizontal="center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10" fontId="0" fillId="0" borderId="6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10" fontId="0" fillId="0" borderId="9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10" fontId="0" fillId="0" borderId="19" applyAlignment="1" pivotButton="0" quotePrefix="0" xfId="0">
      <alignment horizontal="center" vertical="center"/>
    </xf>
    <xf numFmtId="0" fontId="7" fillId="10" borderId="26" applyAlignment="1" pivotButton="0" quotePrefix="0" xfId="0">
      <alignment horizontal="center" wrapText="1"/>
    </xf>
    <xf numFmtId="0" fontId="7" fillId="10" borderId="23" applyAlignment="1" pivotButton="0" quotePrefix="0" xfId="0">
      <alignment horizontal="center" wrapText="1"/>
    </xf>
    <xf numFmtId="0" fontId="7" fillId="10" borderId="32" applyAlignment="1" pivotButton="0" quotePrefix="0" xfId="0">
      <alignment horizontal="center" wrapText="1"/>
    </xf>
    <xf numFmtId="0" fontId="7" fillId="10" borderId="24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6" fillId="3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164" fontId="0" fillId="8" borderId="7" applyAlignment="1" pivotButton="0" quotePrefix="0" xfId="0">
      <alignment horizontal="center" vertical="center"/>
    </xf>
    <xf numFmtId="164" fontId="0" fillId="8" borderId="9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 vertical="center"/>
    </xf>
    <xf numFmtId="164" fontId="0" fillId="8" borderId="7" applyAlignment="1" pivotButton="0" quotePrefix="0" xfId="0">
      <alignment horizontal="center"/>
    </xf>
    <xf numFmtId="164" fontId="0" fillId="8" borderId="9" applyAlignment="1" pivotButton="0" quotePrefix="0" xfId="0">
      <alignment horizontal="center"/>
    </xf>
    <xf numFmtId="164" fontId="0" fillId="8" borderId="1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35" pivotButton="0" quotePrefix="0" xfId="0"/>
    <xf numFmtId="0" fontId="0" fillId="0" borderId="36" pivotButton="0" quotePrefix="0" xfId="0"/>
    <xf numFmtId="164" fontId="0" fillId="8" borderId="39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0" fillId="8" borderId="39" applyAlignment="1" pivotButton="0" quotePrefix="0" xfId="0">
      <alignment horizontal="center"/>
    </xf>
  </cellXfs>
  <cellStyles count="3">
    <cellStyle name="Normal" xfId="0" builtinId="0"/>
    <cellStyle name="Normal 7" xfId="1"/>
    <cellStyle name="Percent" xfId="2" builtinId="5"/>
  </cellStyles>
  <dxfs count="232"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Professionalism (GA-8)</a:t>
            </a:r>
            <a:r>
              <a:rPr lang="en-US"/>
              <a:t>Number of Courses per Indicator Analysis</a:t>
            </a:r>
            <a:br>
              <a:rPr lang="en-US"/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Analysis!$E$5</f>
              <strCache>
                <ptCount val="1"/>
                <pt idx="0">
                  <v>Number of Courses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8a</v>
                </pt>
                <pt idx="1">
                  <v>8b</v>
                </pt>
                <pt idx="2">
                  <v>8c</v>
                </pt>
                <pt idx="3">
                  <v>8d</v>
                </pt>
                <pt idx="4">
                  <v>8e</v>
                </pt>
                <pt idx="5">
                  <v>8f</v>
                </pt>
                <pt idx="6">
                  <v>Average</v>
                </pt>
              </strCache>
            </strRef>
          </cat>
          <val>
            <numRef>
              <f>Analysis!$F$5:$L$5</f>
              <numCache>
                <formatCode>General</formatCode>
                <ptCount val="7"/>
                <pt idx="0">
                  <v>3</v>
                </pt>
                <pt idx="1">
                  <v>11</v>
                </pt>
                <pt idx="2">
                  <v>8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formatCode>0.00</formatCode>
                  <v>6.4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676431"/>
        <axId val="191088799"/>
      </barChart>
      <catAx>
        <axId val="18067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88799"/>
        <crosses val="autoZero"/>
        <auto val="1"/>
        <lblAlgn val="ctr"/>
        <lblOffset val="100"/>
        <noMultiLvlLbl val="0"/>
      </catAx>
      <valAx>
        <axId val="1910887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6764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Professionalism (GA-8) 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Analysis!$E$6</f>
              <strCache>
                <ptCount val="1"/>
                <pt idx="0">
                  <v>Number of CLO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2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8a</v>
                </pt>
                <pt idx="1">
                  <v>8b</v>
                </pt>
                <pt idx="2">
                  <v>8c</v>
                </pt>
                <pt idx="3">
                  <v>8d</v>
                </pt>
                <pt idx="4">
                  <v>8e</v>
                </pt>
                <pt idx="5">
                  <v>8f</v>
                </pt>
                <pt idx="6">
                  <v>Average</v>
                </pt>
              </strCache>
            </strRef>
          </cat>
          <val>
            <numRef>
              <f>Analysis!$F$6:$L$6</f>
              <numCache>
                <formatCode>General</formatCode>
                <ptCount val="7"/>
                <pt idx="0">
                  <v>3</v>
                </pt>
                <pt idx="1">
                  <v>11</v>
                </pt>
                <pt idx="2">
                  <v>13</v>
                </pt>
                <pt idx="3">
                  <v>4</v>
                </pt>
                <pt idx="4">
                  <v>6</v>
                </pt>
                <pt idx="5">
                  <v>11</v>
                </pt>
                <pt idx="6">
                  <formatCode>0.00</formatCode>
                  <v>7.4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563295"/>
        <axId val="86564543"/>
      </barChart>
      <catAx>
        <axId val="86563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4543"/>
        <crosses val="autoZero"/>
        <auto val="1"/>
        <lblAlgn val="ctr"/>
        <lblOffset val="100"/>
        <noMultiLvlLbl val="0"/>
      </catAx>
      <valAx>
        <axId val="86564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329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Professionalism (GA-8)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Introduced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8a</v>
                </pt>
                <pt idx="1">
                  <v>8b</v>
                </pt>
                <pt idx="2">
                  <v>8c</v>
                </pt>
                <pt idx="3">
                  <v>8d</v>
                </pt>
                <pt idx="4">
                  <v>8e</v>
                </pt>
                <pt idx="5">
                  <v>8f</v>
                </pt>
                <pt idx="6">
                  <v>Average</v>
                </pt>
              </strCache>
            </strRef>
          </cat>
          <val>
            <numRef>
              <f>Analysis!$F$7:$L$7</f>
              <numCache>
                <formatCode>General</formatCode>
                <ptCount val="7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1</v>
                </pt>
                <pt idx="4">
                  <v>2</v>
                </pt>
                <pt idx="5">
                  <v>4</v>
                </pt>
                <pt idx="6">
                  <formatCode>0.00</formatCode>
                  <v>1.8</v>
                </pt>
              </numCache>
            </numRef>
          </val>
        </ser>
        <ser>
          <idx val="1"/>
          <order val="1"/>
          <tx>
            <v>Developed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8a</v>
                </pt>
                <pt idx="1">
                  <v>8b</v>
                </pt>
                <pt idx="2">
                  <v>8c</v>
                </pt>
                <pt idx="3">
                  <v>8d</v>
                </pt>
                <pt idx="4">
                  <v>8e</v>
                </pt>
                <pt idx="5">
                  <v>8f</v>
                </pt>
                <pt idx="6">
                  <v>Average</v>
                </pt>
              </strCache>
            </strRef>
          </cat>
          <val>
            <numRef>
              <f>Analysis!$F$8:$L$8</f>
              <numCache>
                <formatCode>General</formatCode>
                <ptCount val="7"/>
                <pt idx="0">
                  <v>0</v>
                </pt>
                <pt idx="1">
                  <v>3</v>
                </pt>
                <pt idx="2">
                  <v>3</v>
                </pt>
                <pt idx="3">
                  <v>2</v>
                </pt>
                <pt idx="4">
                  <v>1</v>
                </pt>
                <pt idx="5">
                  <v>2</v>
                </pt>
                <pt idx="6">
                  <formatCode>0.00</formatCode>
                  <v>1.8</v>
                </pt>
              </numCache>
            </numRef>
          </val>
        </ser>
        <ser>
          <idx val="2"/>
          <order val="2"/>
          <tx>
            <v>Applied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8a</v>
                </pt>
                <pt idx="1">
                  <v>8b</v>
                </pt>
                <pt idx="2">
                  <v>8c</v>
                </pt>
                <pt idx="3">
                  <v>8d</v>
                </pt>
                <pt idx="4">
                  <v>8e</v>
                </pt>
                <pt idx="5">
                  <v>8f</v>
                </pt>
                <pt idx="6">
                  <v>Average</v>
                </pt>
              </strCache>
            </strRef>
          </cat>
          <val>
            <numRef>
              <f>Analysis!$F$9:$L$9</f>
              <numCache>
                <formatCode>General</formatCode>
                <ptCount val="7"/>
                <pt idx="0">
                  <v>1</v>
                </pt>
                <pt idx="1">
                  <v>6</v>
                </pt>
                <pt idx="2">
                  <v>3</v>
                </pt>
                <pt idx="3">
                  <v>1</v>
                </pt>
                <pt idx="4">
                  <v>3</v>
                </pt>
                <pt idx="5">
                  <v>2</v>
                </pt>
                <pt idx="6">
                  <formatCode>0.00</formatCode>
                  <v>2.8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6363120"/>
        <axId val="188702735"/>
      </barChart>
      <catAx>
        <axId val="198636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702735"/>
        <crosses val="autoZero"/>
        <auto val="1"/>
        <lblAlgn val="ctr"/>
        <lblOffset val="100"/>
        <noMultiLvlLbl val="0"/>
      </catAx>
      <valAx>
        <axId val="18870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6363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109536</colOff>
      <row>28</row>
      <rowOff>76200</rowOff>
    </from>
    <to>
      <col>20</col>
      <colOff>587902</colOff>
      <row>40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128587</colOff>
      <row>2</row>
      <rowOff>19050</rowOff>
    </from>
    <to>
      <col>20</col>
      <colOff>606953</colOff>
      <row>14</row>
      <rowOff>63500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119061</colOff>
      <row>15</row>
      <rowOff>47625</rowOff>
    </from>
    <to>
      <col>20</col>
      <colOff>597427</colOff>
      <row>27</row>
      <rowOff>123825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2"/>
  <sheetViews>
    <sheetView zoomScale="90" zoomScaleNormal="90" workbookViewId="0">
      <selection activeCell="E1" sqref="E1:N1"/>
    </sheetView>
  </sheetViews>
  <sheetFormatPr baseColWidth="8" defaultRowHeight="15.75" outlineLevelCol="0"/>
  <cols>
    <col width="16" bestFit="1" customWidth="1" style="125" min="1" max="1"/>
    <col width="5.85546875" bestFit="1" customWidth="1" style="126" min="2" max="2"/>
    <col width="5.85546875" customWidth="1" style="126" min="3" max="3"/>
    <col width="9.140625" bestFit="1" customWidth="1" style="127" min="4" max="4"/>
    <col width="45.42578125" bestFit="1" customWidth="1" style="127" min="5" max="5"/>
    <col width="8.28515625" bestFit="1" customWidth="1" style="127" min="6" max="11"/>
    <col width="9" bestFit="1" customWidth="1" style="127" min="12" max="12"/>
    <col width="9.140625" customWidth="1" style="127" min="13" max="13"/>
    <col width="13" customWidth="1" style="127" min="14" max="14"/>
    <col width="9.140625" customWidth="1" style="127" min="15" max="20"/>
    <col width="10.5703125" customWidth="1" style="127" min="21" max="21"/>
    <col width="9.140625" customWidth="1" style="127" min="22" max="22"/>
    <col width="12.140625" customWidth="1" style="127" min="23" max="23"/>
    <col width="9.140625" customWidth="1" style="127" min="24" max="25"/>
    <col width="12.5703125" customWidth="1" style="127" min="26" max="26"/>
    <col width="9.140625" customWidth="1" style="127" min="27" max="16384"/>
  </cols>
  <sheetData>
    <row r="1" ht="24" customHeight="1" thickBot="1">
      <c r="D1" s="126" t="n"/>
      <c r="E1" s="187" t="inlineStr">
        <is>
          <t>Professionalism (GA-8) 2021-2022</t>
        </is>
      </c>
      <c r="F1" s="188" t="n"/>
      <c r="G1" s="188" t="n"/>
      <c r="H1" s="188" t="n"/>
      <c r="I1" s="188" t="n"/>
      <c r="J1" s="188" t="n"/>
      <c r="K1" s="188" t="n"/>
      <c r="L1" s="188" t="n"/>
      <c r="M1" s="188" t="n"/>
      <c r="N1" s="189" t="n"/>
    </row>
    <row r="2" thickBot="1">
      <c r="A2" s="127" t="n"/>
      <c r="B2" s="127" t="n"/>
      <c r="C2" s="127" t="n"/>
    </row>
    <row r="3" ht="20.25" customHeight="1" thickBot="1" thickTop="1">
      <c r="A3" s="1" t="inlineStr">
        <is>
          <t>LO#</t>
        </is>
      </c>
      <c r="B3" s="155" t="inlineStr">
        <is>
          <t>GA-8</t>
        </is>
      </c>
      <c r="C3" s="128" t="n"/>
      <c r="E3" s="172" t="inlineStr">
        <is>
          <t>Professionalism (GA-8)</t>
        </is>
      </c>
      <c r="F3" s="190" t="n"/>
      <c r="G3" s="190" t="n"/>
      <c r="H3" s="190" t="n"/>
      <c r="I3" s="190" t="n"/>
      <c r="J3" s="190" t="n"/>
      <c r="K3" s="190" t="n"/>
      <c r="L3" s="191" t="n"/>
      <c r="N3" s="130" t="n"/>
      <c r="O3" s="176" t="n"/>
    </row>
    <row r="4" ht="17.25" customHeight="1" thickBot="1" thickTop="1">
      <c r="A4" s="2" t="inlineStr">
        <is>
          <t>ENGR-1100-1</t>
        </is>
      </c>
      <c r="B4" s="3" t="inlineStr">
        <is>
          <t>8a</t>
        </is>
      </c>
      <c r="C4" s="64" t="n"/>
      <c r="E4" s="69" t="n"/>
      <c r="F4" s="70" t="inlineStr">
        <is>
          <t>8a</t>
        </is>
      </c>
      <c r="G4" s="70" t="inlineStr">
        <is>
          <t>8b</t>
        </is>
      </c>
      <c r="H4" s="70" t="inlineStr">
        <is>
          <t>8c</t>
        </is>
      </c>
      <c r="I4" s="70" t="inlineStr">
        <is>
          <t>8d</t>
        </is>
      </c>
      <c r="J4" s="70" t="inlineStr">
        <is>
          <t>8e</t>
        </is>
      </c>
      <c r="K4" s="151" t="inlineStr">
        <is>
          <t>8f</t>
        </is>
      </c>
      <c r="L4" s="71" t="inlineStr">
        <is>
          <t>Average</t>
        </is>
      </c>
      <c r="N4" s="130" t="n"/>
      <c r="O4" s="131" t="n"/>
      <c r="P4" s="131" t="n"/>
      <c r="Q4" s="131" t="n"/>
      <c r="R4" s="131" t="n"/>
      <c r="S4" s="131" t="n"/>
      <c r="T4" s="131" t="n"/>
      <c r="U4" s="131" t="n"/>
    </row>
    <row r="5" ht="17.25" customHeight="1" thickBot="1" thickTop="1">
      <c r="A5" s="2" t="inlineStr">
        <is>
          <t>ENGR-2200-1</t>
        </is>
      </c>
      <c r="B5" s="4" t="inlineStr">
        <is>
          <t>8a</t>
        </is>
      </c>
      <c r="C5" s="64" t="n"/>
      <c r="E5" s="66" t="inlineStr">
        <is>
          <t>Number of Courses</t>
        </is>
      </c>
      <c r="F5" s="67">
        <f>COUNTIF(F29:F77, "&gt;0")</f>
        <v/>
      </c>
      <c r="G5" s="67">
        <f>COUNTIF(G29:G77, "&gt;0")</f>
        <v/>
      </c>
      <c r="H5" s="67">
        <f>COUNTIF(H29:H77, "&gt;0")</f>
        <v/>
      </c>
      <c r="I5" s="67">
        <f>COUNTIF(I29:I77, "&gt;0")</f>
        <v/>
      </c>
      <c r="J5" s="67">
        <f>COUNTIF(J29:J77, "&gt;0")</f>
        <v/>
      </c>
      <c r="K5" s="67">
        <f>COUNTIF(K29:K77, "&gt;0")</f>
        <v/>
      </c>
      <c r="L5" s="68">
        <f>AVERAGE(F5:J5)</f>
        <v/>
      </c>
      <c r="N5" s="131" t="n"/>
      <c r="O5" s="132" t="n"/>
      <c r="P5" s="132" t="n"/>
      <c r="Q5" s="132" t="n"/>
      <c r="R5" s="132" t="n"/>
      <c r="S5" s="132" t="n"/>
      <c r="T5" s="132" t="n"/>
      <c r="U5" s="133" t="n"/>
    </row>
    <row r="6" ht="17.25" customHeight="1" thickBot="1" thickTop="1">
      <c r="A6" s="2" t="inlineStr">
        <is>
          <t>ENGR-3300-4</t>
        </is>
      </c>
      <c r="B6" s="4" t="inlineStr">
        <is>
          <t>8a</t>
        </is>
      </c>
      <c r="C6" s="64" t="n"/>
      <c r="E6" s="44" t="inlineStr">
        <is>
          <t>Number of CLO</t>
        </is>
      </c>
      <c r="F6" s="93">
        <f>COUNTIF(B:B, "8a")</f>
        <v/>
      </c>
      <c r="G6" s="93">
        <f>COUNTIF(B:B, "8b")</f>
        <v/>
      </c>
      <c r="H6" s="93">
        <f>COUNTIF(B:B, "8c")</f>
        <v/>
      </c>
      <c r="I6" s="93">
        <f>COUNTIF(B:B, "8d")</f>
        <v/>
      </c>
      <c r="J6" s="93">
        <f>COUNTIF(B:B, "8e")</f>
        <v/>
      </c>
      <c r="K6" s="93">
        <f>COUNTIF(B:B, "8f")</f>
        <v/>
      </c>
      <c r="L6" s="68">
        <f>AVERAGE(F6:J6)</f>
        <v/>
      </c>
      <c r="N6" s="131" t="n"/>
      <c r="O6" s="176" t="n"/>
    </row>
    <row r="7" ht="17.25" customHeight="1" thickBot="1" thickTop="1">
      <c r="A7" s="2" t="inlineStr">
        <is>
          <t>ENGL-1100-2</t>
        </is>
      </c>
      <c r="B7" s="4" t="inlineStr">
        <is>
          <t>8b</t>
        </is>
      </c>
      <c r="C7" s="64" t="n"/>
      <c r="E7" s="44" t="inlineStr">
        <is>
          <t>Introduced (Number of Courses)</t>
        </is>
      </c>
      <c r="F7" s="45">
        <f>COUNTIF('Indicator Map'!$B$11:$M$11, "*a*")</f>
        <v/>
      </c>
      <c r="G7" s="45">
        <f>COUNTIF('Indicator Map'!$B$11:$M$11, "*b*")</f>
        <v/>
      </c>
      <c r="H7" s="45">
        <f>COUNTIF('Indicator Map'!$B$11:$M$11, "*c*")</f>
        <v/>
      </c>
      <c r="I7" s="45">
        <f>COUNTIF('Indicator Map'!$B$11:$M$11, "*d*")</f>
        <v/>
      </c>
      <c r="J7" s="45">
        <f>COUNTIF('Indicator Map'!$B$11:$M$11, "*e*")</f>
        <v/>
      </c>
      <c r="K7" s="45">
        <f>COUNTIF('Indicator Map'!$B$11:$M$11, "*f*")</f>
        <v/>
      </c>
      <c r="L7" s="68">
        <f>AVERAGE(F7:J7)</f>
        <v/>
      </c>
      <c r="N7" s="134" t="n"/>
      <c r="O7" s="131" t="n"/>
      <c r="P7" s="131" t="n"/>
      <c r="Q7" s="131" t="n"/>
      <c r="R7" s="131" t="n"/>
      <c r="S7" s="131" t="n"/>
      <c r="T7" s="131" t="n"/>
      <c r="U7" s="131" t="n"/>
    </row>
    <row r="8" ht="17.25" customHeight="1" thickBot="1" thickTop="1">
      <c r="A8" s="2" t="inlineStr">
        <is>
          <t>ENGR-1200-3</t>
        </is>
      </c>
      <c r="B8" s="3" t="inlineStr">
        <is>
          <t>8b</t>
        </is>
      </c>
      <c r="C8" s="64" t="n"/>
      <c r="E8" s="44" t="inlineStr">
        <is>
          <t>Developed (Number of Courses)</t>
        </is>
      </c>
      <c r="F8" s="45">
        <f>COUNTIF('Indicator Map'!$B$14:$K$14, "*a*")</f>
        <v/>
      </c>
      <c r="G8" s="45">
        <f>COUNTIF('Indicator Map'!$B$14:$K$14, "*b*")</f>
        <v/>
      </c>
      <c r="H8" s="45">
        <f>COUNTIF('Indicator Map'!$B$14:$K$14, "*c*")</f>
        <v/>
      </c>
      <c r="I8" s="45">
        <f>COUNTIF('Indicator Map'!$B$14:$K$14, "*d*")</f>
        <v/>
      </c>
      <c r="J8" s="45">
        <f>COUNTIF('Indicator Map'!$B$14:$K$14, "*e*")</f>
        <v/>
      </c>
      <c r="K8" s="45">
        <f>COUNTIF('Indicator Map'!$B$14:$K$14, "*f*")</f>
        <v/>
      </c>
      <c r="L8" s="68">
        <f>AVERAGE(F8:J8)</f>
        <v/>
      </c>
      <c r="N8" s="131" t="n"/>
      <c r="O8" s="135" t="n"/>
      <c r="P8" s="135" t="n"/>
      <c r="Q8" s="135" t="n"/>
      <c r="R8" s="135" t="n"/>
      <c r="S8" s="135" t="n"/>
      <c r="T8" s="135" t="n"/>
      <c r="U8" s="135" t="n"/>
    </row>
    <row r="9" ht="17.25" customHeight="1" thickBot="1" thickTop="1">
      <c r="A9" s="2" t="inlineStr">
        <is>
          <t>ENGR-2000-2</t>
        </is>
      </c>
      <c r="B9" s="3" t="inlineStr">
        <is>
          <t>8b</t>
        </is>
      </c>
      <c r="C9" s="64" t="n"/>
      <c r="E9" s="72" t="inlineStr">
        <is>
          <t>Applied (Number of Courses)</t>
        </is>
      </c>
      <c r="F9" s="73">
        <f>COUNTIF('Indicator Map'!$B$17:$K$17, "*a*")</f>
        <v/>
      </c>
      <c r="G9" s="73">
        <f>COUNTIF('Indicator Map'!$B$17:$K$17, "*b*")</f>
        <v/>
      </c>
      <c r="H9" s="73">
        <f>COUNTIF('Indicator Map'!$B$17:$K$17, "*c*")</f>
        <v/>
      </c>
      <c r="I9" s="73">
        <f>COUNTIF('Indicator Map'!$B$17:$K$17, "*d*")</f>
        <v/>
      </c>
      <c r="J9" s="73">
        <f>COUNTIF('Indicator Map'!$B$17:$K$17, "*e*")</f>
        <v/>
      </c>
      <c r="K9" s="73">
        <f>COUNTIF('Indicator Map'!$B$17:$K$17, "*f*")</f>
        <v/>
      </c>
      <c r="L9" s="68">
        <f>AVERAGE(F9:J9)</f>
        <v/>
      </c>
      <c r="N9" s="131" t="n"/>
      <c r="O9" s="135" t="n"/>
      <c r="P9" s="135" t="n"/>
      <c r="Q9" s="135" t="n"/>
      <c r="R9" s="135" t="n"/>
      <c r="S9" s="135" t="n"/>
      <c r="T9" s="135" t="n"/>
      <c r="U9" s="135" t="n"/>
    </row>
    <row r="10" ht="17.25" customHeight="1" thickBot="1" thickTop="1">
      <c r="A10" s="2" t="inlineStr">
        <is>
          <t>ENGR-2300-1</t>
        </is>
      </c>
      <c r="B10" s="4" t="inlineStr">
        <is>
          <t>8b</t>
        </is>
      </c>
      <c r="C10" s="64" t="n"/>
      <c r="E10" s="78" t="inlineStr">
        <is>
          <t>Scale</t>
        </is>
      </c>
      <c r="F10" s="70" t="inlineStr">
        <is>
          <t>8a</t>
        </is>
      </c>
      <c r="G10" s="70" t="inlineStr">
        <is>
          <t>8b</t>
        </is>
      </c>
      <c r="H10" s="70" t="inlineStr">
        <is>
          <t>8c</t>
        </is>
      </c>
      <c r="I10" s="70" t="inlineStr">
        <is>
          <t>8d</t>
        </is>
      </c>
      <c r="J10" s="70" t="inlineStr">
        <is>
          <t>8e</t>
        </is>
      </c>
      <c r="K10" s="151" t="inlineStr">
        <is>
          <t>8f</t>
        </is>
      </c>
      <c r="L10" s="71" t="inlineStr">
        <is>
          <t>Average</t>
        </is>
      </c>
      <c r="N10" s="131" t="n"/>
      <c r="O10" s="135" t="n"/>
      <c r="P10" s="135" t="n"/>
      <c r="Q10" s="135" t="n"/>
      <c r="R10" s="135" t="n"/>
      <c r="S10" s="135" t="n"/>
      <c r="T10" s="135" t="n"/>
      <c r="U10" s="135" t="n"/>
    </row>
    <row r="11" ht="17.25" customHeight="1" thickBot="1" thickTop="1">
      <c r="A11" s="2" t="inlineStr">
        <is>
          <t>SENG-3130-3</t>
        </is>
      </c>
      <c r="B11" s="4" t="inlineStr">
        <is>
          <t>8b</t>
        </is>
      </c>
      <c r="C11" s="64" t="n"/>
      <c r="E11" s="48" t="inlineStr">
        <is>
          <t>Below Expectation (C- and below)  (%)</t>
        </is>
      </c>
      <c r="F11" s="74">
        <f>'8a'!E55</f>
        <v/>
      </c>
      <c r="G11" s="74">
        <f>'8b'!M55</f>
        <v/>
      </c>
      <c r="H11" s="74">
        <f>'8c'!O55</f>
        <v/>
      </c>
      <c r="I11" s="74">
        <f>'8d'!F55</f>
        <v/>
      </c>
      <c r="J11" s="74">
        <f>'8e'!H55</f>
        <v/>
      </c>
      <c r="K11" s="74">
        <f>'8f'!M55</f>
        <v/>
      </c>
      <c r="L11" s="87">
        <f>AVERAGE(F11:J11)</f>
        <v/>
      </c>
      <c r="N11" s="131" t="n"/>
      <c r="O11" s="135" t="n"/>
      <c r="P11" s="135" t="n"/>
      <c r="Q11" s="135" t="n"/>
      <c r="R11" s="135" t="n"/>
      <c r="S11" s="135" t="n"/>
      <c r="T11" s="135" t="n"/>
      <c r="U11" s="135" t="n"/>
    </row>
    <row r="12" ht="17.25" customHeight="1" thickBot="1" thickTop="1">
      <c r="A12" s="2" t="inlineStr">
        <is>
          <t>ENGR-3300-3</t>
        </is>
      </c>
      <c r="B12" s="4" t="inlineStr">
        <is>
          <t>8b</t>
        </is>
      </c>
      <c r="C12" s="64" t="n"/>
      <c r="E12" s="49" t="inlineStr">
        <is>
          <t>Marginal (C+, C)  (%)</t>
        </is>
      </c>
      <c r="F12" s="50">
        <f>'8a'!E56</f>
        <v/>
      </c>
      <c r="G12" s="50">
        <f>'8b'!M56</f>
        <v/>
      </c>
      <c r="H12" s="50">
        <f>'8c'!O56</f>
        <v/>
      </c>
      <c r="I12" s="50">
        <f>'8d'!F56</f>
        <v/>
      </c>
      <c r="J12" s="74">
        <f>'8e'!H56</f>
        <v/>
      </c>
      <c r="K12" s="74">
        <f>'8f'!M56</f>
        <v/>
      </c>
      <c r="L12" s="87">
        <f>AVERAGE(F12:J12)</f>
        <v/>
      </c>
      <c r="N12" s="131" t="n"/>
      <c r="O12" s="135" t="n"/>
      <c r="P12" s="135" t="n"/>
      <c r="Q12" s="135" t="n"/>
      <c r="R12" s="135" t="n"/>
      <c r="S12" s="135" t="n"/>
      <c r="T12" s="135" t="n"/>
      <c r="U12" s="135" t="n"/>
    </row>
    <row r="13" ht="17.25" customHeight="1" thickBot="1" thickTop="1">
      <c r="A13" s="2" t="inlineStr">
        <is>
          <t>CENG-3020-1</t>
        </is>
      </c>
      <c r="B13" s="3" t="inlineStr">
        <is>
          <t>8b</t>
        </is>
      </c>
      <c r="C13" s="64" t="n"/>
      <c r="E13" s="49" t="inlineStr">
        <is>
          <t>Meets Expectation (B+, B, B-) (%)</t>
        </is>
      </c>
      <c r="F13" s="50">
        <f>'8a'!E57</f>
        <v/>
      </c>
      <c r="G13" s="50">
        <f>'8b'!M57</f>
        <v/>
      </c>
      <c r="H13" s="50">
        <f>'8c'!O57</f>
        <v/>
      </c>
      <c r="I13" s="50">
        <f>'8d'!F57</f>
        <v/>
      </c>
      <c r="J13" s="74">
        <f>'8e'!H57</f>
        <v/>
      </c>
      <c r="K13" s="74">
        <f>'8f'!M57</f>
        <v/>
      </c>
      <c r="L13" s="87">
        <f>AVERAGE(F13:J13)</f>
        <v/>
      </c>
      <c r="N13" s="131" t="n"/>
      <c r="O13" s="135" t="n"/>
      <c r="P13" s="135" t="n"/>
      <c r="Q13" s="135" t="n"/>
      <c r="R13" s="135" t="n"/>
      <c r="S13" s="135" t="n"/>
      <c r="T13" s="135" t="n"/>
      <c r="U13" s="135" t="n"/>
    </row>
    <row r="14" ht="17.25" customHeight="1" thickBot="1" thickTop="1">
      <c r="A14" s="2" t="inlineStr">
        <is>
          <t>SENG-4100-2</t>
        </is>
      </c>
      <c r="B14" s="3" t="inlineStr">
        <is>
          <t>8b</t>
        </is>
      </c>
      <c r="C14" s="64" t="n"/>
      <c r="E14" s="49" t="inlineStr">
        <is>
          <t>Exceeds Expectation (A+, A, A-) (%)</t>
        </is>
      </c>
      <c r="F14" s="50">
        <f>'8a'!E58</f>
        <v/>
      </c>
      <c r="G14" s="50">
        <f>'8b'!M58</f>
        <v/>
      </c>
      <c r="H14" s="50">
        <f>'8c'!O58</f>
        <v/>
      </c>
      <c r="I14" s="50">
        <f>'8d'!F58</f>
        <v/>
      </c>
      <c r="J14" s="74">
        <f>'8e'!H58</f>
        <v/>
      </c>
      <c r="K14" s="74">
        <f>'8f'!M58</f>
        <v/>
      </c>
      <c r="L14" s="87">
        <f>AVERAGE(F14:J14)</f>
        <v/>
      </c>
      <c r="N14" s="131" t="n"/>
      <c r="O14" s="135" t="n"/>
      <c r="P14" s="135" t="n"/>
      <c r="Q14" s="135" t="n"/>
      <c r="R14" s="135" t="n"/>
      <c r="S14" s="135" t="n"/>
      <c r="T14" s="135" t="n"/>
      <c r="U14" s="135" t="n"/>
    </row>
    <row r="15" ht="17.25" customHeight="1" thickBot="1" thickTop="1">
      <c r="A15" s="2" t="inlineStr">
        <is>
          <t>SENG-4120-2</t>
        </is>
      </c>
      <c r="B15" s="4" t="inlineStr">
        <is>
          <t>8b</t>
        </is>
      </c>
      <c r="C15" s="64" t="n"/>
      <c r="E15" s="44" t="inlineStr">
        <is>
          <t>Frequency Distribution Analysis (70% cutoff)</t>
        </is>
      </c>
      <c r="F15" s="50">
        <f>SUM(F13:F14)</f>
        <v/>
      </c>
      <c r="G15" s="50">
        <f>SUM(G13:G14)</f>
        <v/>
      </c>
      <c r="H15" s="50">
        <f>SUM(H13:H14)</f>
        <v/>
      </c>
      <c r="I15" s="50">
        <f>SUM(I13:I14)</f>
        <v/>
      </c>
      <c r="J15" s="50">
        <f>SUM(J13:J14)</f>
        <v/>
      </c>
      <c r="K15" s="50">
        <f>SUM(K13:K14)</f>
        <v/>
      </c>
      <c r="L15" s="51">
        <f>AVERAGE(F15:J15)</f>
        <v/>
      </c>
    </row>
    <row r="16" ht="17.25" customHeight="1" thickBot="1" thickTop="1">
      <c r="A16" s="2" t="inlineStr">
        <is>
          <t>SENG-4110-4</t>
        </is>
      </c>
      <c r="B16" s="4" t="inlineStr">
        <is>
          <t>8b</t>
        </is>
      </c>
      <c r="C16" s="64" t="n"/>
      <c r="E16" s="49" t="inlineStr">
        <is>
          <t>Overall indicator simple Average Analysis</t>
        </is>
      </c>
      <c r="F16" s="139">
        <f>'8a'!B44</f>
        <v/>
      </c>
      <c r="G16" s="139">
        <f>'8b'!B44</f>
        <v/>
      </c>
      <c r="H16" s="139">
        <f>'8c'!B44</f>
        <v/>
      </c>
      <c r="I16" s="139">
        <f>'8d'!B44</f>
        <v/>
      </c>
      <c r="J16" s="138">
        <f>'8e'!B44</f>
        <v/>
      </c>
      <c r="K16" s="138">
        <f>'8f'!B44</f>
        <v/>
      </c>
      <c r="L16" s="147">
        <f>AVERAGE(F16:J16)</f>
        <v/>
      </c>
    </row>
    <row r="17" ht="17.25" customHeight="1" thickBot="1" thickTop="1">
      <c r="A17" s="2" t="inlineStr">
        <is>
          <t>SENG-4220-2</t>
        </is>
      </c>
      <c r="B17" s="3" t="inlineStr">
        <is>
          <t>8b</t>
        </is>
      </c>
      <c r="C17" s="64" t="n"/>
      <c r="E17" s="77" t="inlineStr">
        <is>
          <t>Assessment Tool</t>
        </is>
      </c>
      <c r="F17" s="70" t="inlineStr">
        <is>
          <t>8a</t>
        </is>
      </c>
      <c r="G17" s="70" t="inlineStr">
        <is>
          <t>8b</t>
        </is>
      </c>
      <c r="H17" s="70" t="inlineStr">
        <is>
          <t>8c</t>
        </is>
      </c>
      <c r="I17" s="70" t="inlineStr">
        <is>
          <t>8d</t>
        </is>
      </c>
      <c r="J17" s="70" t="inlineStr">
        <is>
          <t>8e</t>
        </is>
      </c>
      <c r="K17" s="151" t="inlineStr">
        <is>
          <t>8f</t>
        </is>
      </c>
      <c r="L17" s="71" t="inlineStr">
        <is>
          <t>Average</t>
        </is>
      </c>
    </row>
    <row r="18" ht="17.25" customHeight="1" thickBot="1" thickTop="1">
      <c r="A18" s="2" t="inlineStr">
        <is>
          <t>ENGR-1200-4</t>
        </is>
      </c>
      <c r="B18" s="3" t="inlineStr">
        <is>
          <t>8c</t>
        </is>
      </c>
      <c r="C18" s="64" t="n"/>
      <c r="E18" s="48" t="inlineStr">
        <is>
          <t>Assignment</t>
        </is>
      </c>
      <c r="F18" s="75">
        <f>'8a'!B51/'8a'!I51</f>
        <v/>
      </c>
      <c r="G18" s="75">
        <f>'8b'!B51/'8b'!I51</f>
        <v/>
      </c>
      <c r="H18" s="75">
        <f>'8c'!B51/'8c'!I51</f>
        <v/>
      </c>
      <c r="I18" s="75">
        <f>'8d'!B51/'8d'!I51</f>
        <v/>
      </c>
      <c r="J18" s="75">
        <f>'8e'!B51/'8e'!I51</f>
        <v/>
      </c>
      <c r="K18" s="75">
        <f>'8f'!B51/'8f'!I51</f>
        <v/>
      </c>
      <c r="L18" s="76">
        <f>AVERAGE(F18:J18)</f>
        <v/>
      </c>
      <c r="M18" s="136" t="n"/>
    </row>
    <row r="19" ht="17.25" customHeight="1" thickBot="1" thickTop="1">
      <c r="A19" s="2" t="inlineStr">
        <is>
          <t>ENGR-2200-2</t>
        </is>
      </c>
      <c r="B19" s="4" t="inlineStr">
        <is>
          <t>8c</t>
        </is>
      </c>
      <c r="C19" s="64" t="n"/>
      <c r="E19" s="49" t="inlineStr">
        <is>
          <t>Quiz</t>
        </is>
      </c>
      <c r="F19" s="52">
        <f>'8a'!C51/'8a'!I51</f>
        <v/>
      </c>
      <c r="G19" s="75">
        <f>'8b'!C51/'8b'!I51</f>
        <v/>
      </c>
      <c r="H19" s="52">
        <f>'8c'!C51/'8c'!I51</f>
        <v/>
      </c>
      <c r="I19" s="52">
        <f>'8d'!C51/'8d'!I51</f>
        <v/>
      </c>
      <c r="J19" s="52">
        <f>'8e'!C51/'8e'!I51</f>
        <v/>
      </c>
      <c r="K19" s="75">
        <f>'8f'!C51/'8f'!I51</f>
        <v/>
      </c>
      <c r="L19" s="76">
        <f>AVERAGE(F19:J19)</f>
        <v/>
      </c>
      <c r="M19" s="136" t="n"/>
    </row>
    <row r="20" ht="17.25" customHeight="1" thickBot="1" thickTop="1">
      <c r="A20" s="2" t="inlineStr">
        <is>
          <t>ENGR-2200-4</t>
        </is>
      </c>
      <c r="B20" s="4" t="inlineStr">
        <is>
          <t>8c</t>
        </is>
      </c>
      <c r="C20" s="64" t="n"/>
      <c r="E20" s="49" t="inlineStr">
        <is>
          <t>Mid Term</t>
        </is>
      </c>
      <c r="F20" s="52">
        <f>'8a'!D51/'8a'!I51</f>
        <v/>
      </c>
      <c r="G20" s="75">
        <f>'8b'!D51/'8b'!I51</f>
        <v/>
      </c>
      <c r="H20" s="52">
        <f>'8c'!D51/'8c'!I51</f>
        <v/>
      </c>
      <c r="I20" s="52">
        <f>'8d'!D51/'8d'!I51</f>
        <v/>
      </c>
      <c r="J20" s="52">
        <f>'8e'!D51/'8e'!I51</f>
        <v/>
      </c>
      <c r="K20" s="75">
        <f>'8f'!D51/'8f'!I51</f>
        <v/>
      </c>
      <c r="L20" s="76">
        <f>AVERAGE(F20:J20)</f>
        <v/>
      </c>
      <c r="M20" s="136" t="n"/>
    </row>
    <row r="21" ht="17.25" customHeight="1" thickBot="1" thickTop="1">
      <c r="A21" s="2" t="inlineStr">
        <is>
          <t>ENGR-2000-1</t>
        </is>
      </c>
      <c r="B21" s="3" t="inlineStr">
        <is>
          <t>8c</t>
        </is>
      </c>
      <c r="C21" s="64" t="n"/>
      <c r="E21" s="49" t="inlineStr">
        <is>
          <t>Final Exam</t>
        </is>
      </c>
      <c r="F21" s="52">
        <f>'8a'!E51/'8a'!I51</f>
        <v/>
      </c>
      <c r="G21" s="75">
        <f>'8b'!E51/'8b'!I51</f>
        <v/>
      </c>
      <c r="H21" s="52">
        <f>'8c'!E51/'8c'!I51</f>
        <v/>
      </c>
      <c r="I21" s="52">
        <f>'8d'!E51/'8d'!I51</f>
        <v/>
      </c>
      <c r="J21" s="52">
        <f>'8e'!E51/'8e'!I51</f>
        <v/>
      </c>
      <c r="K21" s="75">
        <f>'8f'!E51/'8f'!I51</f>
        <v/>
      </c>
      <c r="L21" s="76">
        <f>AVERAGE(F21:J21)</f>
        <v/>
      </c>
      <c r="M21" s="136" t="n"/>
    </row>
    <row r="22" ht="17.25" customHeight="1" thickBot="1" thickTop="1">
      <c r="A22" s="2" t="inlineStr">
        <is>
          <t>ENGR-2000-7</t>
        </is>
      </c>
      <c r="B22" s="3" t="inlineStr">
        <is>
          <t>8c</t>
        </is>
      </c>
      <c r="C22" s="64" t="n"/>
      <c r="E22" s="44" t="inlineStr">
        <is>
          <t>Project</t>
        </is>
      </c>
      <c r="F22" s="52">
        <f>'8a'!F51/'8a'!I51</f>
        <v/>
      </c>
      <c r="G22" s="75">
        <f>'8b'!F51/'8b'!I51</f>
        <v/>
      </c>
      <c r="H22" s="52">
        <f>'8c'!F51/'8c'!I51</f>
        <v/>
      </c>
      <c r="I22" s="52">
        <f>'8d'!F51/'8d'!I51</f>
        <v/>
      </c>
      <c r="J22" s="52">
        <f>'8e'!F51/'8e'!I51</f>
        <v/>
      </c>
      <c r="K22" s="75">
        <f>'8f'!F51/'8f'!I51</f>
        <v/>
      </c>
      <c r="L22" s="76">
        <f>AVERAGE(F22:J22)</f>
        <v/>
      </c>
      <c r="M22" s="136" t="n"/>
    </row>
    <row r="23" ht="17.25" customHeight="1" thickBot="1" thickTop="1">
      <c r="A23" s="2" t="inlineStr">
        <is>
          <t>ENGR-2400-1</t>
        </is>
      </c>
      <c r="B23" s="4" t="inlineStr">
        <is>
          <t>8c</t>
        </is>
      </c>
      <c r="C23" s="64" t="n"/>
      <c r="E23" s="44" t="inlineStr">
        <is>
          <t>Lab</t>
        </is>
      </c>
      <c r="F23" s="52">
        <f>'8a'!G51/'8a'!I51</f>
        <v/>
      </c>
      <c r="G23" s="75">
        <f>'8b'!G51/'8b'!I51</f>
        <v/>
      </c>
      <c r="H23" s="52">
        <f>'8c'!G51/'8c'!I51</f>
        <v/>
      </c>
      <c r="I23" s="52">
        <f>'8d'!G51/'8d'!I51</f>
        <v/>
      </c>
      <c r="J23" s="52">
        <f>'8e'!G51/'8e'!I51</f>
        <v/>
      </c>
      <c r="K23" s="75">
        <f>'8f'!G51/'8f'!I51</f>
        <v/>
      </c>
      <c r="L23" s="76">
        <f>AVERAGE(F23:J23)</f>
        <v/>
      </c>
      <c r="M23" s="136" t="n"/>
    </row>
    <row r="24" ht="17.25" customHeight="1" thickBot="1" thickTop="1">
      <c r="A24" s="2" t="inlineStr">
        <is>
          <t>ENGR-2400-4</t>
        </is>
      </c>
      <c r="B24" s="4" t="inlineStr">
        <is>
          <t>8c</t>
        </is>
      </c>
      <c r="C24" s="64" t="n"/>
      <c r="E24" s="49" t="inlineStr">
        <is>
          <t>Anyother</t>
        </is>
      </c>
      <c r="F24" s="52">
        <f>'8a'!H51/'8a'!I51</f>
        <v/>
      </c>
      <c r="G24" s="75">
        <f>'8b'!H51/'8b'!I51</f>
        <v/>
      </c>
      <c r="H24" s="52">
        <f>'8c'!H51/'8c'!I51</f>
        <v/>
      </c>
      <c r="I24" s="52">
        <f>'8d'!H51/'8d'!I51</f>
        <v/>
      </c>
      <c r="J24" s="52">
        <f>'8e'!H51/'8e'!I51</f>
        <v/>
      </c>
      <c r="K24" s="75">
        <f>'8f'!H51/'8f'!I51</f>
        <v/>
      </c>
      <c r="L24" s="76">
        <f>AVERAGE(F24:J24)</f>
        <v/>
      </c>
      <c r="M24" s="136" t="n"/>
    </row>
    <row r="25" ht="17.25" customHeight="1" thickBot="1" thickTop="1">
      <c r="A25" s="2" t="inlineStr">
        <is>
          <t>SENG-3130-4</t>
        </is>
      </c>
      <c r="B25" s="4" t="inlineStr">
        <is>
          <t>8c</t>
        </is>
      </c>
      <c r="C25" s="64" t="n"/>
      <c r="L25" s="137" t="n"/>
      <c r="M25" s="136" t="n"/>
    </row>
    <row r="26" ht="17.25" customHeight="1" thickBot="1" thickTop="1">
      <c r="A26" s="2" t="inlineStr">
        <is>
          <t>SENG-3130-5</t>
        </is>
      </c>
      <c r="B26" s="4" t="inlineStr">
        <is>
          <t>8c</t>
        </is>
      </c>
      <c r="C26" s="64" t="n"/>
      <c r="E26" s="136" t="n"/>
      <c r="F26" s="136" t="n"/>
      <c r="G26" s="136" t="n"/>
      <c r="H26" s="136" t="n"/>
      <c r="I26" s="136" t="n"/>
      <c r="J26" s="136" t="n"/>
      <c r="K26" s="136" t="n"/>
      <c r="L26" s="136" t="n"/>
      <c r="M26" s="136" t="n"/>
    </row>
    <row r="27" ht="17.25" customHeight="1" thickBot="1" thickTop="1">
      <c r="A27" s="2" t="inlineStr">
        <is>
          <t>ENGR-3300-1</t>
        </is>
      </c>
      <c r="B27" s="4" t="inlineStr">
        <is>
          <t>8c</t>
        </is>
      </c>
      <c r="C27" s="64" t="n"/>
      <c r="F27" s="136" t="n"/>
      <c r="H27" s="136" t="n"/>
      <c r="I27" s="136" t="n"/>
      <c r="J27" s="136" t="n"/>
      <c r="K27" s="136" t="n"/>
      <c r="L27" s="136" t="n"/>
      <c r="M27" s="136" t="n"/>
    </row>
    <row r="28" ht="17.25" customHeight="1" thickBot="1" thickTop="1">
      <c r="A28" s="2" t="inlineStr">
        <is>
          <t>SENG-4110-7</t>
        </is>
      </c>
      <c r="B28" s="4" t="inlineStr">
        <is>
          <t>8c</t>
        </is>
      </c>
      <c r="D28" s="144" t="inlineStr">
        <is>
          <t>Total LO</t>
        </is>
      </c>
      <c r="E28" s="145" t="inlineStr">
        <is>
          <t>Course</t>
        </is>
      </c>
      <c r="F28" s="70" t="inlineStr">
        <is>
          <t>8a</t>
        </is>
      </c>
      <c r="G28" s="70" t="inlineStr">
        <is>
          <t>8b</t>
        </is>
      </c>
      <c r="H28" s="70" t="inlineStr">
        <is>
          <t>8c</t>
        </is>
      </c>
      <c r="I28" s="70" t="inlineStr">
        <is>
          <t>8d</t>
        </is>
      </c>
      <c r="J28" s="70" t="inlineStr">
        <is>
          <t>8e</t>
        </is>
      </c>
      <c r="K28" s="151" t="inlineStr">
        <is>
          <t>8f</t>
        </is>
      </c>
      <c r="L28" s="146" t="inlineStr">
        <is>
          <t>Total</t>
        </is>
      </c>
    </row>
    <row r="29" ht="17.25" customHeight="1" thickBot="1" thickTop="1">
      <c r="A29" s="2" t="inlineStr">
        <is>
          <t>SENG-4220-1</t>
        </is>
      </c>
      <c r="B29" s="3" t="inlineStr">
        <is>
          <t>8c</t>
        </is>
      </c>
      <c r="D29" s="58">
        <f>COUNTIF(A:A, "CENG-2010*")</f>
        <v/>
      </c>
      <c r="E29" s="58" t="inlineStr">
        <is>
          <t>CENG 2010</t>
        </is>
      </c>
      <c r="F29" s="46">
        <f>COUNTIF('8a'!$B$1:$D$1, "CENG-2010*")</f>
        <v/>
      </c>
      <c r="G29" s="46">
        <f>COUNTIF('8b'!$B$1:$L$1, "CENG-2010*")</f>
        <v/>
      </c>
      <c r="H29" s="46">
        <f>COUNTIF('8c'!$B$1:$N$1, "CENG-2010*")</f>
        <v/>
      </c>
      <c r="I29" s="46">
        <f>COUNTIF('8d'!$B$1:$E$1, "CENG-2010*")</f>
        <v/>
      </c>
      <c r="J29" s="143">
        <f>COUNTIFS('8e'!$B$1:$G$1, "CENG-2010*")</f>
        <v/>
      </c>
      <c r="K29" s="143">
        <f>COUNTIFS('8f'!$B$1:$L$1, "CENG-2010*")</f>
        <v/>
      </c>
      <c r="L29" s="47">
        <f>SUM(F29:K29)</f>
        <v/>
      </c>
    </row>
    <row r="30" ht="17.25" customHeight="1" thickBot="1" thickTop="1">
      <c r="A30" s="2" t="inlineStr">
        <is>
          <t>SENG-4220-5</t>
        </is>
      </c>
      <c r="B30" s="3" t="inlineStr">
        <is>
          <t>8c</t>
        </is>
      </c>
      <c r="D30" s="53">
        <f>COUNTIF(A:A, "CENG-2030*")</f>
        <v/>
      </c>
      <c r="E30" s="53" t="inlineStr">
        <is>
          <t>CENG 2030</t>
        </is>
      </c>
      <c r="F30" s="43">
        <f>COUNTIF('8a'!$B$1:$D$1, "CENG-2030*")</f>
        <v/>
      </c>
      <c r="G30" s="43">
        <f>COUNTIF('8b'!$B$1:$L$1, "CENG-2030*")</f>
        <v/>
      </c>
      <c r="H30" s="43">
        <f>COUNTIF('8c'!$B$1:$N$1, "CENG-2030*")</f>
        <v/>
      </c>
      <c r="I30" s="43">
        <f>COUNTIF('8d'!$B$1:$E$1, "CENG-2030*")</f>
        <v/>
      </c>
      <c r="J30" s="81">
        <f>COUNTIFS('8e'!$B$1:$G$1, "CENG-2030*")</f>
        <v/>
      </c>
      <c r="K30" s="81">
        <f>COUNTIFS('8f'!$B$1:$L$1, "CENG-2030*")</f>
        <v/>
      </c>
      <c r="L30" s="47">
        <f>SUM(F30:K30)</f>
        <v/>
      </c>
    </row>
    <row r="31" ht="17.25" customHeight="1" thickBot="1" thickTop="1">
      <c r="A31" s="2" t="inlineStr">
        <is>
          <t>ENGR-1100-3</t>
        </is>
      </c>
      <c r="B31" s="3" t="inlineStr">
        <is>
          <t>8d</t>
        </is>
      </c>
      <c r="D31" s="53">
        <f>COUNTIF(A:A, "CENG-3010*")</f>
        <v/>
      </c>
      <c r="E31" s="53" t="inlineStr">
        <is>
          <t>CENG 3010</t>
        </is>
      </c>
      <c r="F31" s="43">
        <f>COUNTIF('8a'!$B$1:$D$1, "CENG-3010*")</f>
        <v/>
      </c>
      <c r="G31" s="43">
        <f>COUNTIF('8b'!$B$1:$L$1, "CENG-3010*")</f>
        <v/>
      </c>
      <c r="H31" s="43">
        <f>COUNTIF('8c'!$B$1:$N$1, "CENG-3010*")</f>
        <v/>
      </c>
      <c r="I31" s="43">
        <f>COUNTIF('8d'!$B$1:$E$1, "CENG-3010*")</f>
        <v/>
      </c>
      <c r="J31" s="81">
        <f>COUNTIFS('8e'!$B$1:$G$1, "CENG-3010*")</f>
        <v/>
      </c>
      <c r="K31" s="81">
        <f>COUNTIFS('8f'!$B$1:$L$1, "CENG-3010*")</f>
        <v/>
      </c>
      <c r="L31" s="47">
        <f>SUM(F31:K31)</f>
        <v/>
      </c>
    </row>
    <row r="32" ht="17.25" customHeight="1" thickBot="1" thickTop="1">
      <c r="A32" s="2" t="inlineStr">
        <is>
          <t>ENGR-2000-6</t>
        </is>
      </c>
      <c r="B32" s="3" t="inlineStr">
        <is>
          <t>8d</t>
        </is>
      </c>
      <c r="D32" s="53">
        <f>COUNTIF(A:A, "CENG-3020*")</f>
        <v/>
      </c>
      <c r="E32" s="53" t="inlineStr">
        <is>
          <t>CENG 3020</t>
        </is>
      </c>
      <c r="F32" s="43">
        <f>COUNTIF('8a'!$B$1:$D$1, "CENG-3020*")</f>
        <v/>
      </c>
      <c r="G32" s="43">
        <f>COUNTIF('8b'!$B$1:$L$1, "CENG-3020*")</f>
        <v/>
      </c>
      <c r="H32" s="43">
        <f>COUNTIF('8c'!$B$1:$N$1, "CENG-3020*")</f>
        <v/>
      </c>
      <c r="I32" s="43">
        <f>COUNTIF('8d'!$B$1:$E$1, "CENG-3020*")</f>
        <v/>
      </c>
      <c r="J32" s="81">
        <f>COUNTIFS('8e'!$B$1:$G$1, "CENG-3020*")</f>
        <v/>
      </c>
      <c r="K32" s="81">
        <f>COUNTIFS('8f'!$B$1:$L$1, "CENG-3020*")</f>
        <v/>
      </c>
      <c r="L32" s="47">
        <f>SUM(F32:K32)</f>
        <v/>
      </c>
    </row>
    <row r="33" ht="17.25" customHeight="1" thickBot="1" thickTop="1">
      <c r="A33" s="2" t="inlineStr">
        <is>
          <t>SENG-3130-2</t>
        </is>
      </c>
      <c r="B33" s="4" t="inlineStr">
        <is>
          <t>8d</t>
        </is>
      </c>
      <c r="D33" s="53">
        <f>COUNTIF(A:A, "CENG-3310*")</f>
        <v/>
      </c>
      <c r="E33" s="53" t="inlineStr">
        <is>
          <t xml:space="preserve">CENG 3310 </t>
        </is>
      </c>
      <c r="F33" s="59">
        <f>COUNTIF('8a'!$B$1:$D$1, "CENG-3310*")</f>
        <v/>
      </c>
      <c r="G33" s="43">
        <f>COUNTIF('8b'!$B$1:$L$1, "CENG-3310*")</f>
        <v/>
      </c>
      <c r="H33" s="43">
        <f>COUNTIF('8c'!$B$1:$N$1, "CENG-3310*")</f>
        <v/>
      </c>
      <c r="I33" s="43">
        <f>COUNTIF('8d'!$B$1:$E$1, "CENG-3310*")</f>
        <v/>
      </c>
      <c r="J33" s="82">
        <f>COUNTIFS('8e'!$B$1:$G$1, "CENG-3310*")</f>
        <v/>
      </c>
      <c r="K33" s="82">
        <f>COUNTIFS('8f'!$B$1:$L$1, "CENG-3310*")</f>
        <v/>
      </c>
      <c r="L33" s="47">
        <f>SUM(F33:K33)</f>
        <v/>
      </c>
    </row>
    <row r="34" ht="17.25" customHeight="1" thickBot="1" thickTop="1">
      <c r="A34" s="2" t="inlineStr">
        <is>
          <t>SENG-3120-1</t>
        </is>
      </c>
      <c r="B34" s="3" t="inlineStr">
        <is>
          <t>8d</t>
        </is>
      </c>
      <c r="D34" s="53">
        <f>COUNTIF(A:A, "CENG-4320*")</f>
        <v/>
      </c>
      <c r="E34" s="53" t="inlineStr">
        <is>
          <t>CENG 4320</t>
        </is>
      </c>
      <c r="F34" s="59">
        <f>COUNTIF('8a'!$B$1:$D$1, "CENG-4320*")</f>
        <v/>
      </c>
      <c r="G34" s="43">
        <f>COUNTIF('8b'!$B$1:$L$1, "CENG-4320*")</f>
        <v/>
      </c>
      <c r="H34" s="43">
        <f>COUNTIF('8c'!$B$1:$N$1, "CENG-4320*")</f>
        <v/>
      </c>
      <c r="I34" s="43">
        <f>COUNTIF('8d'!$B$1:$E$1, "CENG-4320*")</f>
        <v/>
      </c>
      <c r="J34" s="82">
        <f>COUNTIFS('8e'!$B$1:$G$1, "CENG-4320*")</f>
        <v/>
      </c>
      <c r="K34" s="82">
        <f>COUNTIFS('8f'!$B$1:$L$1, "CENG-4320*")</f>
        <v/>
      </c>
      <c r="L34" s="47">
        <f>SUM(F34:K34)</f>
        <v/>
      </c>
    </row>
    <row r="35" ht="17.25" customHeight="1" thickBot="1" thickTop="1">
      <c r="A35" s="2" t="inlineStr">
        <is>
          <t>ENGR-1200-7</t>
        </is>
      </c>
      <c r="B35" s="3" t="inlineStr">
        <is>
          <t>8e</t>
        </is>
      </c>
      <c r="D35" s="53">
        <f>COUNTIF(A:A, "CHEM-1520*")</f>
        <v/>
      </c>
      <c r="E35" s="53" t="inlineStr">
        <is>
          <t>CHEM 1520</t>
        </is>
      </c>
      <c r="F35" s="80">
        <f>COUNTIF('8a'!$B$1:$D$1, "CHEM-1520*")</f>
        <v/>
      </c>
      <c r="G35" s="43">
        <f>COUNTIF('8b'!$B$1:$L$1, "CHEM-1520*")</f>
        <v/>
      </c>
      <c r="H35" s="43">
        <f>COUNTIF('8c'!$B$1:$N$1, "CHEM-1520*")</f>
        <v/>
      </c>
      <c r="I35" s="43">
        <f>COUNTIF('8d'!$B$1:$E$1, "CHEM-1520*")</f>
        <v/>
      </c>
      <c r="J35" s="82">
        <f>COUNTIFS('8e'!$B$1:$G$1, "CHEM-1520*")</f>
        <v/>
      </c>
      <c r="K35" s="82">
        <f>COUNTIFS('8f'!$B$1:$L$1, "CHEM-1520*")</f>
        <v/>
      </c>
      <c r="L35" s="47">
        <f>SUM(F35:K35)</f>
        <v/>
      </c>
    </row>
    <row r="36" ht="17.25" customHeight="1" thickBot="1" thickTop="1">
      <c r="A36" s="2" t="inlineStr">
        <is>
          <t>ENGR-2200-3</t>
        </is>
      </c>
      <c r="B36" s="4" t="inlineStr">
        <is>
          <t>8e</t>
        </is>
      </c>
      <c r="D36" s="53">
        <f>COUNTIF(A:A, "CMNS-1290*")</f>
        <v/>
      </c>
      <c r="E36" s="53" t="inlineStr">
        <is>
          <t>CMNS 1290</t>
        </is>
      </c>
      <c r="F36" s="80">
        <f>COUNTIF('8a'!$B$1:$D$1, "CMNS-1290*")</f>
        <v/>
      </c>
      <c r="G36" s="43">
        <f>COUNTIF('8b'!$B$1:$L$1, "CMNS-1290*")</f>
        <v/>
      </c>
      <c r="H36" s="43">
        <f>COUNTIF('8c'!$B$1:$N$1, "CMNS-1290*")</f>
        <v/>
      </c>
      <c r="I36" s="43">
        <f>COUNTIF('8d'!$B$1:$E$1, "CMNS-1290*")</f>
        <v/>
      </c>
      <c r="J36" s="82">
        <f>COUNTIFS('8e'!$B$1:$G$1, "CMNS-1290*")</f>
        <v/>
      </c>
      <c r="K36" s="82">
        <f>COUNTIFS('8f'!$B$1:$L$1, "CMNS-1290*")</f>
        <v/>
      </c>
      <c r="L36" s="47">
        <f>SUM(F36:K36)</f>
        <v/>
      </c>
    </row>
    <row r="37" ht="17.25" customHeight="1" thickBot="1" thickTop="1">
      <c r="A37" s="2" t="inlineStr">
        <is>
          <t>ENGR-2400-5</t>
        </is>
      </c>
      <c r="B37" s="4" t="inlineStr">
        <is>
          <t>8e</t>
        </is>
      </c>
      <c r="D37" s="53">
        <f>COUNTIF(A:A, "COMP-3410*")</f>
        <v/>
      </c>
      <c r="E37" s="53" t="inlineStr">
        <is>
          <t>COMP 3410</t>
        </is>
      </c>
      <c r="F37" s="43">
        <f>COUNTIF('8a'!$B$1:$D$1, "COMP-3410*")</f>
        <v/>
      </c>
      <c r="G37" s="43">
        <f>COUNTIF('8b'!$B$1:$L$1, "COMP-3410*")</f>
        <v/>
      </c>
      <c r="H37" s="43">
        <f>COUNTIF('8c'!$B$1:$N$1, "COMP-3410*")</f>
        <v/>
      </c>
      <c r="I37" s="43">
        <f>COUNTIF('8d'!$B$1:$E$1, "COMP-3410*")</f>
        <v/>
      </c>
      <c r="J37" s="82">
        <f>COUNTIFS('8e'!$B$1:$G$1, "COMP-3410*")</f>
        <v/>
      </c>
      <c r="K37" s="82">
        <f>COUNTIFS('8f'!$B$1:$L$1, "COMP-3410*")</f>
        <v/>
      </c>
      <c r="L37" s="47">
        <f>SUM(F37:K37)</f>
        <v/>
      </c>
    </row>
    <row r="38" ht="17.25" customHeight="1" thickBot="1" thickTop="1">
      <c r="A38" s="2" t="inlineStr">
        <is>
          <t>ENGR-3300-2</t>
        </is>
      </c>
      <c r="B38" s="4" t="inlineStr">
        <is>
          <t>8e</t>
        </is>
      </c>
      <c r="D38" s="53">
        <f>COUNTIF(A:A, "COMP-3610*")</f>
        <v/>
      </c>
      <c r="E38" s="53" t="inlineStr">
        <is>
          <t>COMP 3610</t>
        </is>
      </c>
      <c r="F38" s="43">
        <f>COUNTIF('8a'!$B$1:$D$1, "COMP-3610*")</f>
        <v/>
      </c>
      <c r="G38" s="43">
        <f>COUNTIF('8b'!$B$1:$L$1, "COMP-3610*")</f>
        <v/>
      </c>
      <c r="H38" s="43">
        <f>COUNTIF('8c'!$B$1:$N$1, "COMP-3610*")</f>
        <v/>
      </c>
      <c r="I38" s="43">
        <f>COUNTIF('8d'!$B$1:$E$1, "COMP-3610*")</f>
        <v/>
      </c>
      <c r="J38" s="82">
        <f>COUNTIFS('8e'!$B$1:$G$1, "COMP-3610*")</f>
        <v/>
      </c>
      <c r="K38" s="82">
        <f>COUNTIFS('8f'!$B$1:$L$1, "COMP-3610*")</f>
        <v/>
      </c>
      <c r="L38" s="47">
        <f>SUM(F38:K38)</f>
        <v/>
      </c>
    </row>
    <row r="39" ht="17.25" customHeight="1" thickBot="1" thickTop="1">
      <c r="A39" s="2" t="inlineStr">
        <is>
          <t>SENG-3120-3</t>
        </is>
      </c>
      <c r="B39" s="3" t="inlineStr">
        <is>
          <t>8e</t>
        </is>
      </c>
      <c r="D39" s="53">
        <f>COUNTIF(A:A, "EENG-3010*")</f>
        <v/>
      </c>
      <c r="E39" s="53" t="inlineStr">
        <is>
          <t>EENG 3010</t>
        </is>
      </c>
      <c r="F39" s="46">
        <f>COUNTIF('8a'!$B$1:$D$1, "EENG-3010*")</f>
        <v/>
      </c>
      <c r="G39" s="43">
        <f>COUNTIF('8b'!$B$1:$L$1, "EENG-3010*")</f>
        <v/>
      </c>
      <c r="H39" s="43">
        <f>COUNTIF('8c'!$B$1:$N$1, "EENG-3010*")</f>
        <v/>
      </c>
      <c r="I39" s="43">
        <f>COUNTIF('8d'!$B$1:$E$1, "EENG-3010*")</f>
        <v/>
      </c>
      <c r="J39" s="82">
        <f>COUNTIFS('8e'!$B$1:$G$1, "EENG-3010*")</f>
        <v/>
      </c>
      <c r="K39" s="82">
        <f>COUNTIFS('8f'!$B$1:$L$1, "EENG-3010*")</f>
        <v/>
      </c>
      <c r="L39" s="47">
        <f>SUM(F39:K39)</f>
        <v/>
      </c>
    </row>
    <row r="40" ht="17.25" customHeight="1" thickBot="1" thickTop="1">
      <c r="A40" s="2" t="inlineStr">
        <is>
          <t>SENG-4110-5</t>
        </is>
      </c>
      <c r="B40" s="4" t="inlineStr">
        <is>
          <t>8e</t>
        </is>
      </c>
      <c r="D40" s="53">
        <f>COUNTIF(A:A, "ENGL-1100*")</f>
        <v/>
      </c>
      <c r="E40" s="53" t="inlineStr">
        <is>
          <t>ENGL 1100</t>
        </is>
      </c>
      <c r="F40" s="46">
        <f>COUNTIF('8a'!$B$1:$D$1, "ENGL-1100*")</f>
        <v/>
      </c>
      <c r="G40" s="43">
        <f>COUNTIF('8b'!$B$1:$L$1, "ENGL-1100*")</f>
        <v/>
      </c>
      <c r="H40" s="43">
        <f>COUNTIF('8c'!$B$1:$N$1, "ENGL-1100*")</f>
        <v/>
      </c>
      <c r="I40" s="43">
        <f>COUNTIF('8d'!$B$1:$E$1, "ENGL-1100*")</f>
        <v/>
      </c>
      <c r="J40" s="82">
        <f>COUNTIFS('8e'!$B$1:$G$1, "ENGL-1100*")</f>
        <v/>
      </c>
      <c r="K40" s="82">
        <f>COUNTIFS('8f'!$B$1:$L$1, "ENGL-1100*")</f>
        <v/>
      </c>
      <c r="L40" s="47">
        <f>SUM(F40:K40)</f>
        <v/>
      </c>
    </row>
    <row r="41" ht="17.25" customHeight="1" thickBot="1" thickTop="1">
      <c r="A41" s="2" t="inlineStr">
        <is>
          <t>ENGR-1100-2</t>
        </is>
      </c>
      <c r="B41" s="3" t="inlineStr">
        <is>
          <t>8f</t>
        </is>
      </c>
      <c r="D41" s="53">
        <f>COUNTIF(A:A, "ENGR-1100*")</f>
        <v/>
      </c>
      <c r="E41" s="53" t="inlineStr">
        <is>
          <t>ENGR 1100</t>
        </is>
      </c>
      <c r="F41" s="46">
        <f>COUNTIF('8a'!$B$1:$D$1, "ENGR-1100*")</f>
        <v/>
      </c>
      <c r="G41" s="43">
        <f>COUNTIF('8b'!$B$1:$L$1, "ENGR-1100*")</f>
        <v/>
      </c>
      <c r="H41" s="43">
        <f>COUNTIF('8c'!$B$1:$N$1, "ENGR-1100*")</f>
        <v/>
      </c>
      <c r="I41" s="43">
        <f>COUNTIF('8d'!$B$1:$E$1, "ENGR-1100*")</f>
        <v/>
      </c>
      <c r="J41" s="82">
        <f>COUNTIFS('8e'!$B$1:$G$1, "ENGR-1100*")</f>
        <v/>
      </c>
      <c r="K41" s="82">
        <f>COUNTIFS('8f'!$B$1:$L$1, "ENGR-1100*")</f>
        <v/>
      </c>
      <c r="L41" s="47">
        <f>SUM(F41:K41)</f>
        <v/>
      </c>
    </row>
    <row r="42" ht="17.25" customHeight="1" thickBot="1" thickTop="1">
      <c r="A42" s="2" t="inlineStr">
        <is>
          <t>ENGL-1100-6</t>
        </is>
      </c>
      <c r="B42" s="4" t="inlineStr">
        <is>
          <t>8f</t>
        </is>
      </c>
      <c r="D42" s="53">
        <f>COUNTIF(A:A, "ENGR-1200*")</f>
        <v/>
      </c>
      <c r="E42" s="53" t="inlineStr">
        <is>
          <t>ENGR 1200</t>
        </is>
      </c>
      <c r="F42" s="46">
        <f>COUNTIF('8a'!$B$1:$D$1, "ENGR-1200*")</f>
        <v/>
      </c>
      <c r="G42" s="43">
        <f>COUNTIF('8b'!$B$1:$L$1, "ENGR-1200*")</f>
        <v/>
      </c>
      <c r="H42" s="43">
        <f>COUNTIF('8c'!$B$1:$N$1, "ENGR-1200*")</f>
        <v/>
      </c>
      <c r="I42" s="43">
        <f>COUNTIF('8d'!$B$1:$E$1, "ENGR-1200*")</f>
        <v/>
      </c>
      <c r="J42" s="82">
        <f>COUNTIFS('8e'!$B$1:$G$1, "ENGR-1200*")</f>
        <v/>
      </c>
      <c r="K42" s="82">
        <f>COUNTIFS('8f'!$B$1:$L$1, "ENGR-1200*")</f>
        <v/>
      </c>
      <c r="L42" s="47">
        <f>SUM(F42:K42)</f>
        <v/>
      </c>
    </row>
    <row r="43" ht="17.25" customHeight="1" thickBot="1" thickTop="1">
      <c r="A43" s="2" t="inlineStr">
        <is>
          <t>CMNS-1290-2</t>
        </is>
      </c>
      <c r="B43" s="4" t="inlineStr">
        <is>
          <t>8f</t>
        </is>
      </c>
      <c r="D43" s="53">
        <f>COUNTIF(A:A, "ENGR-2000*")</f>
        <v/>
      </c>
      <c r="E43" s="53" t="inlineStr">
        <is>
          <t>ENGR 2000</t>
        </is>
      </c>
      <c r="F43" s="46">
        <f>COUNTIF('8a'!$B$1:$D$1, "ENGR-2000*")</f>
        <v/>
      </c>
      <c r="G43" s="43">
        <f>COUNTIF('8b'!$B$1:$L$1, "ENGR-2000*")</f>
        <v/>
      </c>
      <c r="H43" s="43">
        <f>COUNTIF('8c'!$B$1:$N$1, "ENGR-2000*")</f>
        <v/>
      </c>
      <c r="I43" s="43">
        <f>COUNTIF('8d'!$B$1:$E$1, "ENGR-2000*")</f>
        <v/>
      </c>
      <c r="J43" s="82">
        <f>COUNTIFS('8e'!$B$1:$G$1, "ENGR-2000*")</f>
        <v/>
      </c>
      <c r="K43" s="82">
        <f>COUNTIFS('8f'!$B$1:$L$1, "ENGR-2000*")</f>
        <v/>
      </c>
      <c r="L43" s="47">
        <f>SUM(F43:K43)</f>
        <v/>
      </c>
    </row>
    <row r="44" ht="17.25" customHeight="1" thickBot="1" thickTop="1">
      <c r="A44" s="2" t="inlineStr">
        <is>
          <t>CMNS-1290-3</t>
        </is>
      </c>
      <c r="B44" s="4" t="inlineStr">
        <is>
          <t>8f</t>
        </is>
      </c>
      <c r="D44" s="53">
        <f>COUNTIF(A:A, "ENGR-2200*")</f>
        <v/>
      </c>
      <c r="E44" s="53" t="inlineStr">
        <is>
          <t>ENGR 2200</t>
        </is>
      </c>
      <c r="F44" s="46">
        <f>COUNTIF('8a'!$B$1:$D$1, "ENGR-2200*")</f>
        <v/>
      </c>
      <c r="G44" s="43">
        <f>COUNTIF('8b'!$B$1:$L$1, "ENGR-2200*")</f>
        <v/>
      </c>
      <c r="H44" s="43">
        <f>COUNTIF('8c'!$B$1:$N$1, "ENGR-2200*")</f>
        <v/>
      </c>
      <c r="I44" s="43">
        <f>COUNTIF('8d'!$B$1:$E$1, "ENGR-2200*")</f>
        <v/>
      </c>
      <c r="J44" s="82">
        <f>COUNTIFS('8e'!$B$1:$G$1, "ENGR-2200*")</f>
        <v/>
      </c>
      <c r="K44" s="82">
        <f>COUNTIFS('8f'!$B$1:$L$1, "ENGR-2200*")</f>
        <v/>
      </c>
      <c r="L44" s="47">
        <f>SUM(F44:K44)</f>
        <v/>
      </c>
    </row>
    <row r="45" ht="17.25" customHeight="1" thickBot="1" thickTop="1">
      <c r="A45" s="2" t="inlineStr">
        <is>
          <t>CMNS-1290-6</t>
        </is>
      </c>
      <c r="B45" s="4" t="inlineStr">
        <is>
          <t>8f</t>
        </is>
      </c>
      <c r="D45" s="53">
        <f>COUNTIF(A:A, "ENGR-2300*")</f>
        <v/>
      </c>
      <c r="E45" s="53" t="inlineStr">
        <is>
          <t>ENGR 2300</t>
        </is>
      </c>
      <c r="F45" s="46">
        <f>COUNTIF('8a'!$B$1:$D$1, "ENGR-2300*")</f>
        <v/>
      </c>
      <c r="G45" s="43">
        <f>COUNTIF('8b'!$B$1:$L$1, "ENGR-2300*")</f>
        <v/>
      </c>
      <c r="H45" s="43">
        <f>COUNTIF('8c'!$B$1:$N$1, "ENGR-2300*")</f>
        <v/>
      </c>
      <c r="I45" s="43">
        <f>COUNTIF('8d'!$B$1:$E$1, "ENGR-2300*")</f>
        <v/>
      </c>
      <c r="J45" s="82">
        <f>COUNTIFS('8e'!$B$1:$G$1, "ENGR-2300*")</f>
        <v/>
      </c>
      <c r="K45" s="82">
        <f>COUNTIFS('8f'!$B$1:$L$1, "ENGR-2300*")</f>
        <v/>
      </c>
      <c r="L45" s="47">
        <f>SUM(F45:K45)</f>
        <v/>
      </c>
    </row>
    <row r="46" ht="17.25" customHeight="1" thickBot="1" thickTop="1">
      <c r="A46" s="2" t="inlineStr">
        <is>
          <t>ENGR-1200-8</t>
        </is>
      </c>
      <c r="B46" s="3" t="inlineStr">
        <is>
          <t>8f</t>
        </is>
      </c>
      <c r="D46" s="53">
        <f>COUNTIF(A:A, "ENGR-2400*")</f>
        <v/>
      </c>
      <c r="E46" s="53" t="inlineStr">
        <is>
          <t>ENGR 2400</t>
        </is>
      </c>
      <c r="F46" s="46">
        <f>COUNTIF('8a'!$B$1:$D$1, "ENGR-2400*")</f>
        <v/>
      </c>
      <c r="G46" s="43">
        <f>COUNTIF('8b'!$B$1:$L$1, "ENGR-2400*")</f>
        <v/>
      </c>
      <c r="H46" s="43">
        <f>COUNTIF('8c'!$B$1:$N$1, "ENGR-2400*")</f>
        <v/>
      </c>
      <c r="I46" s="43">
        <f>COUNTIF('8d'!$B$1:$E$1, "ENGR-2400*")</f>
        <v/>
      </c>
      <c r="J46" s="82">
        <f>COUNTIFS('8e'!$B$1:$G$1, "ENGR-2400*")</f>
        <v/>
      </c>
      <c r="K46" s="82">
        <f>COUNTIFS('8f'!$B$1:$L$1, "ENGR-2400*")</f>
        <v/>
      </c>
      <c r="L46" s="47">
        <f>SUM(F46:K46)</f>
        <v/>
      </c>
    </row>
    <row r="47" ht="17.25" customHeight="1" thickBot="1" thickTop="1">
      <c r="A47" s="2" t="inlineStr">
        <is>
          <t>ENGR-2000-8</t>
        </is>
      </c>
      <c r="B47" s="3" t="inlineStr">
        <is>
          <t>8f</t>
        </is>
      </c>
      <c r="D47" s="53">
        <f>COUNTIF(A:A, "ENGR-3300*")</f>
        <v/>
      </c>
      <c r="E47" s="53" t="inlineStr">
        <is>
          <t>ENGR 3300</t>
        </is>
      </c>
      <c r="F47" s="46">
        <f>COUNTIF('8a'!$B$1:$D$1, "ENGR-3300*")</f>
        <v/>
      </c>
      <c r="G47" s="43">
        <f>COUNTIF('8b'!$B$1:$L$1, "ENGR-3300*")</f>
        <v/>
      </c>
      <c r="H47" s="43">
        <f>COUNTIF('8c'!$B$1:$N$1, "ENGR-3300*")</f>
        <v/>
      </c>
      <c r="I47" s="43">
        <f>COUNTIF('8d'!$B$1:$E$1, "ENGR-3300*")</f>
        <v/>
      </c>
      <c r="J47" s="82">
        <f>COUNTIFS('8e'!$B$1:$G$1, "ENGR-3300*")</f>
        <v/>
      </c>
      <c r="K47" s="82">
        <f>COUNTIFS('8f'!$B$1:$L$1, "ENGR-3300*")</f>
        <v/>
      </c>
      <c r="L47" s="47">
        <f>SUM(F47:K47)</f>
        <v/>
      </c>
    </row>
    <row r="48" ht="17.25" customHeight="1" thickBot="1" thickTop="1">
      <c r="A48" s="2" t="inlineStr">
        <is>
          <t>ENGR-2300-5</t>
        </is>
      </c>
      <c r="B48" s="4" t="inlineStr">
        <is>
          <t>8f</t>
        </is>
      </c>
      <c r="D48" s="53">
        <f>COUNTIF(A:A, "EPHY-1170*")</f>
        <v/>
      </c>
      <c r="E48" s="54" t="inlineStr">
        <is>
          <t xml:space="preserve">EPHY 1170 </t>
        </is>
      </c>
      <c r="F48" s="60">
        <f>COUNTIF('8a'!$B$1:$D$1, "EPHY-1170*")</f>
        <v/>
      </c>
      <c r="G48" s="43">
        <f>COUNTIF('8b'!$B$1:$L$1, "EPHY-1170*")</f>
        <v/>
      </c>
      <c r="H48" s="43">
        <f>COUNTIF('8c'!$B$1:$N$1, "EPHY-1170*")</f>
        <v/>
      </c>
      <c r="I48" s="43">
        <f>COUNTIF('8d'!$B$1:$E$1, "EPHY-1170*")</f>
        <v/>
      </c>
      <c r="J48" s="82">
        <f>COUNTIFS('8e'!$B$1:$G$1, "EPHY-1170*")</f>
        <v/>
      </c>
      <c r="K48" s="82">
        <f>COUNTIFS('8f'!$B$1:$L$1, "EPHY-1170*")</f>
        <v/>
      </c>
      <c r="L48" s="47">
        <f>SUM(F48:K48)</f>
        <v/>
      </c>
    </row>
    <row r="49" ht="17.25" customHeight="1" thickBot="1" thickTop="1">
      <c r="A49" s="2" t="inlineStr">
        <is>
          <t>ENGR-3300-5</t>
        </is>
      </c>
      <c r="B49" s="4" t="inlineStr">
        <is>
          <t>8f</t>
        </is>
      </c>
      <c r="D49" s="53">
        <f>COUNTIF(A:A, "EPHY-1270*")</f>
        <v/>
      </c>
      <c r="E49" s="53" t="inlineStr">
        <is>
          <t>EPHY 1270</t>
        </is>
      </c>
      <c r="F49" s="79">
        <f>COUNTIF('8a'!$B$1:$D$1, "EPHY-1270*")</f>
        <v/>
      </c>
      <c r="G49" s="43">
        <f>COUNTIF('8b'!$B$1:$L$1, "EPHY-1270*")</f>
        <v/>
      </c>
      <c r="H49" s="43">
        <f>COUNTIF('8c'!$B$1:$N$1, "EPHY-1270*")</f>
        <v/>
      </c>
      <c r="I49" s="43">
        <f>COUNTIF('8d'!$B$1:$E$1, "EPHY-1270*")</f>
        <v/>
      </c>
      <c r="J49" s="82">
        <f>COUNTIFS('8e'!$B$1:$G$1, "EPHY-1270*")</f>
        <v/>
      </c>
      <c r="K49" s="82">
        <f>COUNTIFS('8f'!$B$1:$L$1, "EPHY-1270*")</f>
        <v/>
      </c>
      <c r="L49" s="47">
        <f>SUM(F49:K49)</f>
        <v/>
      </c>
    </row>
    <row r="50" ht="17.25" customHeight="1" thickBot="1" thickTop="1">
      <c r="A50" s="2" t="inlineStr">
        <is>
          <t>SENG-4100-4</t>
        </is>
      </c>
      <c r="B50" s="3" t="inlineStr">
        <is>
          <t>8f</t>
        </is>
      </c>
      <c r="D50" s="53">
        <f>COUNTIF(A:A, "EPHY-1700*")</f>
        <v/>
      </c>
      <c r="E50" s="53" t="inlineStr">
        <is>
          <t>EPHY 1700</t>
        </is>
      </c>
      <c r="F50" s="61">
        <f>COUNTIF('8a'!$B$1:$D$1, "EPHY-1700*")</f>
        <v/>
      </c>
      <c r="G50" s="43">
        <f>COUNTIF('8b'!$B$1:$L$1, "EPHY-1700*")</f>
        <v/>
      </c>
      <c r="H50" s="43">
        <f>COUNTIF('8c'!$B$1:$N$1, "EPHY-1700*")</f>
        <v/>
      </c>
      <c r="I50" s="43">
        <f>COUNTIF('8d'!$B$1:$E$1, "EPHY-1700*")</f>
        <v/>
      </c>
      <c r="J50" s="82">
        <f>COUNTIFS('8e'!$B$1:$G$1, "EPHY-1700*")</f>
        <v/>
      </c>
      <c r="K50" s="82">
        <f>COUNTIFS('8f'!$B$1:$L$1, "EPHY-1700*")</f>
        <v/>
      </c>
      <c r="L50" s="47">
        <f>SUM(F50:K50)</f>
        <v/>
      </c>
    </row>
    <row r="51" ht="17.25" customHeight="1" thickBot="1" thickTop="1">
      <c r="A51" s="2" t="inlineStr">
        <is>
          <t>SENG-4100-8</t>
        </is>
      </c>
      <c r="B51" s="3" t="inlineStr">
        <is>
          <t>8f</t>
        </is>
      </c>
      <c r="D51" s="53">
        <f>COUNTIF(A:A, "EPHY-2200*")</f>
        <v/>
      </c>
      <c r="E51" s="53" t="inlineStr">
        <is>
          <t>EPHY 2200</t>
        </is>
      </c>
      <c r="F51" s="43">
        <f>COUNTIF('8a'!$B$1:$D$1, "EPHY-2200*")</f>
        <v/>
      </c>
      <c r="G51" s="43">
        <f>COUNTIF('8b'!$B$1:$L$1, "EPHY-2200*")</f>
        <v/>
      </c>
      <c r="H51" s="43">
        <f>COUNTIF('8c'!$B$1:$N$1, "EPHY-2200*")</f>
        <v/>
      </c>
      <c r="I51" s="43">
        <f>COUNTIF('8d'!$B$1:$E$1, "EPHY-2200*")</f>
        <v/>
      </c>
      <c r="J51" s="82">
        <f>COUNTIFS('8e'!$B$1:$G$1, "EPHY-2200*")</f>
        <v/>
      </c>
      <c r="K51" s="82">
        <f>COUNTIFS('8f'!$B$1:$L$1, "EPHY-2200*")</f>
        <v/>
      </c>
      <c r="L51" s="47">
        <f>SUM(F51:K51)</f>
        <v/>
      </c>
    </row>
    <row r="52" ht="16.5" customHeight="1" thickTop="1">
      <c r="A52" s="127" t="n"/>
      <c r="B52" s="127" t="n"/>
      <c r="D52" s="53">
        <f>COUNTIF(A:A, "EPHY-2300*")</f>
        <v/>
      </c>
      <c r="E52" s="55" t="inlineStr">
        <is>
          <t>EPHY 2300</t>
        </is>
      </c>
      <c r="F52" s="46">
        <f>COUNTIF('8a'!$B$1:$D$1, "EPHY-2300*")</f>
        <v/>
      </c>
      <c r="G52" s="43">
        <f>COUNTIF('8b'!$B$1:$L$1, "EPHY-2300*")</f>
        <v/>
      </c>
      <c r="H52" s="43">
        <f>COUNTIF('8c'!$B$1:$N$1, "EPHY-2300*")</f>
        <v/>
      </c>
      <c r="I52" s="43">
        <f>COUNTIF('8d'!$B$1:$E$1, "EPHY-2300*")</f>
        <v/>
      </c>
      <c r="J52" s="82">
        <f>COUNTIFS('8e'!$B$1:$G$1, "EPHY-2300*")</f>
        <v/>
      </c>
      <c r="K52" s="82">
        <f>COUNTIFS('8f'!$B$1:$L$1, "EPHY-2300*")</f>
        <v/>
      </c>
      <c r="L52" s="47">
        <f>SUM(F52:K52)</f>
        <v/>
      </c>
    </row>
    <row r="53">
      <c r="A53" s="127" t="n"/>
      <c r="B53" s="127" t="n"/>
      <c r="D53" s="53">
        <f>COUNTIF(A:A, "MATH-1130*")</f>
        <v/>
      </c>
      <c r="E53" s="56" t="inlineStr">
        <is>
          <t xml:space="preserve">MATH 1130 </t>
        </is>
      </c>
      <c r="F53" s="43">
        <f>COUNTIF('8a'!$B$1:$D$1, "MATH-1130*")</f>
        <v/>
      </c>
      <c r="G53" s="43">
        <f>COUNTIF('8b'!$B$1:$L$1, "MATH-1130*")</f>
        <v/>
      </c>
      <c r="H53" s="43">
        <f>COUNTIF('8c'!$B$1:$N$1, "MATH-1130*")</f>
        <v/>
      </c>
      <c r="I53" s="43">
        <f>COUNTIF('8d'!$B$1:$E$1, "MATH-1130*")</f>
        <v/>
      </c>
      <c r="J53" s="82">
        <f>COUNTIFS('8e'!$B$1:$G$1, "MATH-1130*")</f>
        <v/>
      </c>
      <c r="K53" s="82">
        <f>COUNTIFS('8f'!$B$1:$L$1, "MATH-1130*")</f>
        <v/>
      </c>
      <c r="L53" s="47">
        <f>SUM(F53:K53)</f>
        <v/>
      </c>
    </row>
    <row r="54">
      <c r="A54" s="127" t="n"/>
      <c r="B54" s="127" t="n"/>
      <c r="D54" s="53">
        <f>COUNTIF(A:A, "MATH-1230*")</f>
        <v/>
      </c>
      <c r="E54" s="53" t="inlineStr">
        <is>
          <t>MATH 1230</t>
        </is>
      </c>
      <c r="F54" s="43">
        <f>COUNTIF('8a'!$B$1:$D$1, "MATH-1230*")</f>
        <v/>
      </c>
      <c r="G54" s="43">
        <f>COUNTIF('8b'!$B$1:$L$1, "MATH-1230*")</f>
        <v/>
      </c>
      <c r="H54" s="43">
        <f>COUNTIF('8c'!$B$1:$N$1, "MATH-1230*")</f>
        <v/>
      </c>
      <c r="I54" s="43">
        <f>COUNTIF('8d'!$B$1:$E$1, "MATH-1230*")</f>
        <v/>
      </c>
      <c r="J54" s="82">
        <f>COUNTIFS('8e'!$B$1:$G$1, "MATH-1230*")</f>
        <v/>
      </c>
      <c r="K54" s="82">
        <f>COUNTIFS('8f'!$B$1:$L$1, "MATH-1230*")</f>
        <v/>
      </c>
      <c r="L54" s="47">
        <f>SUM(F54:K54)</f>
        <v/>
      </c>
    </row>
    <row r="55">
      <c r="A55" s="127" t="n"/>
      <c r="B55" s="127" t="n"/>
      <c r="D55" s="53">
        <f>COUNTIF(A:A, "MATH-1300*")</f>
        <v/>
      </c>
      <c r="E55" s="55" t="inlineStr">
        <is>
          <t xml:space="preserve">MATH 1300 </t>
        </is>
      </c>
      <c r="F55" s="43">
        <f>COUNTIF('8a'!$B$1:$D$1, "MATH-1300*")</f>
        <v/>
      </c>
      <c r="G55" s="43">
        <f>COUNTIF('8b'!$B$1:$L$1, "MATH-1300*")</f>
        <v/>
      </c>
      <c r="H55" s="43">
        <f>COUNTIF('8c'!$B$1:$N$1, "MATH-1300*")</f>
        <v/>
      </c>
      <c r="I55" s="43">
        <f>COUNTIF('8d'!$B$1:$E$1, "MATH-1300*")</f>
        <v/>
      </c>
      <c r="J55" s="82">
        <f>COUNTIFS('8e'!$B$1:$G$1, "MATH-1300*")</f>
        <v/>
      </c>
      <c r="K55" s="82">
        <f>COUNTIFS('8f'!$B$1:$L$1, "MATH-1300*")</f>
        <v/>
      </c>
      <c r="L55" s="47">
        <f>SUM(F55:K55)</f>
        <v/>
      </c>
    </row>
    <row r="56">
      <c r="A56" s="127" t="n"/>
      <c r="B56" s="127" t="n"/>
      <c r="D56" s="53">
        <f>COUNTIF(A:A, "MATH-1700*")</f>
        <v/>
      </c>
      <c r="E56" s="56" t="inlineStr">
        <is>
          <t>MATH 1700</t>
        </is>
      </c>
      <c r="F56" s="43">
        <f>COUNTIF('8a'!$B$1:$D$1, "MATH-1700*")</f>
        <v/>
      </c>
      <c r="G56" s="43">
        <f>COUNTIF('8b'!$B$1:$L$1, "MATH-1700*")</f>
        <v/>
      </c>
      <c r="H56" s="43">
        <f>COUNTIF('8c'!$B$1:$N$1, "MATH-1700*")</f>
        <v/>
      </c>
      <c r="I56" s="43">
        <f>COUNTIF('8d'!$B$1:$E$1, "MATH-1700*")</f>
        <v/>
      </c>
      <c r="J56" s="82">
        <f>COUNTIFS('8e'!$B$1:$G$1, "MATH-1700*")</f>
        <v/>
      </c>
      <c r="K56" s="82">
        <f>COUNTIFS('8f'!$B$1:$L$1, "MATH-1700*")</f>
        <v/>
      </c>
      <c r="L56" s="47">
        <f>SUM(F56:K56)</f>
        <v/>
      </c>
    </row>
    <row r="57">
      <c r="A57" s="127" t="n"/>
      <c r="B57" s="127" t="n"/>
      <c r="D57" s="53">
        <f>COUNTIF(A:A, "PHYS-2150*")</f>
        <v/>
      </c>
      <c r="E57" s="56" t="inlineStr">
        <is>
          <t>PHYS 2150</t>
        </is>
      </c>
      <c r="F57" s="43">
        <f>COUNTIF('8a'!$B$1:$D$1, "PHYS-2150*")</f>
        <v/>
      </c>
      <c r="G57" s="43">
        <f>COUNTIF('8b'!$B$1:$L$1, "PHYS-2150*")</f>
        <v/>
      </c>
      <c r="H57" s="43">
        <f>COUNTIF('8c'!$B$1:$N$1, "PHYS-2150*")</f>
        <v/>
      </c>
      <c r="I57" s="43">
        <f>COUNTIF('8d'!$B$1:$E$1, "PHYS-2150*")</f>
        <v/>
      </c>
      <c r="J57" s="82">
        <f>COUNTIFS('8e'!$B$1:$G$1, "PHYS-2150*")</f>
        <v/>
      </c>
      <c r="K57" s="82">
        <f>COUNTIFS('8f'!$B$1:$L$1, "PHYS-2150*")</f>
        <v/>
      </c>
      <c r="L57" s="47">
        <f>SUM(F57:K57)</f>
        <v/>
      </c>
    </row>
    <row r="58">
      <c r="A58" s="127" t="n"/>
      <c r="B58" s="127" t="n"/>
      <c r="D58" s="53">
        <f>COUNTIF(A:A, "SENG-1110*")</f>
        <v/>
      </c>
      <c r="E58" s="56" t="inlineStr">
        <is>
          <t>SENG 1110</t>
        </is>
      </c>
      <c r="F58" s="43">
        <f>COUNTIF('8a'!$B$1:$D$1, "SENG-1110*")</f>
        <v/>
      </c>
      <c r="G58" s="43">
        <f>COUNTIF('8b'!$B$1:$L$1, "SENG-1110*")</f>
        <v/>
      </c>
      <c r="H58" s="43">
        <f>COUNTIF('8c'!$B$1:$N$1, "SENG-1110*")</f>
        <v/>
      </c>
      <c r="I58" s="43">
        <f>COUNTIF('8d'!$B$1:$E$1, "SENG-1110*")</f>
        <v/>
      </c>
      <c r="J58" s="82">
        <f>COUNTIFS('8e'!$B$1:$G$1, "SENG-1110*")</f>
        <v/>
      </c>
      <c r="K58" s="82">
        <f>COUNTIFS('8f'!$B$1:$L$1, "SENG-1110*")</f>
        <v/>
      </c>
      <c r="L58" s="47">
        <f>SUM(F58:K58)</f>
        <v/>
      </c>
    </row>
    <row r="59">
      <c r="A59" s="127" t="n"/>
      <c r="B59" s="127" t="n"/>
      <c r="D59" s="53">
        <f>COUNTIF(A:A, "SENG-1210*")</f>
        <v/>
      </c>
      <c r="E59" s="57" t="inlineStr">
        <is>
          <t>SENG 1210</t>
        </is>
      </c>
      <c r="F59" s="59">
        <f>COUNTIF('8a'!$B$1:$D$1, "SENG-1210*")</f>
        <v/>
      </c>
      <c r="G59" s="43">
        <f>COUNTIF('8b'!$B$1:$L$1, "SENG-1210*")</f>
        <v/>
      </c>
      <c r="H59" s="43">
        <f>COUNTIF('8c'!$B$1:$N$1, "SENG-1210*")</f>
        <v/>
      </c>
      <c r="I59" s="43">
        <f>COUNTIF('8d'!$B$1:$E$1, "SENG-1210*")</f>
        <v/>
      </c>
      <c r="J59" s="82">
        <f>COUNTIFS('8e'!$B$1:$G$1, "SENG-1210*")</f>
        <v/>
      </c>
      <c r="K59" s="82">
        <f>COUNTIFS('8f'!$B$1:$L$1, "SENG-1210*")</f>
        <v/>
      </c>
      <c r="L59" s="47">
        <f>SUM(F59:K59)</f>
        <v/>
      </c>
    </row>
    <row r="60">
      <c r="A60" s="127" t="n"/>
      <c r="B60" s="127" t="n"/>
      <c r="D60" s="53">
        <f>COUNTIF(A:A, "SENG-3110*")</f>
        <v/>
      </c>
      <c r="E60" s="53" t="inlineStr">
        <is>
          <t>SENG 3110</t>
        </is>
      </c>
      <c r="F60" s="43">
        <f>COUNTIF('8a'!$B$1:$D$1, "SENG-3110*")</f>
        <v/>
      </c>
      <c r="G60" s="43">
        <f>COUNTIF('8b'!$B$1:$L$1, "SENG-3110*")</f>
        <v/>
      </c>
      <c r="H60" s="43">
        <f>COUNTIF('8c'!$B$1:$N$1, "SENG-3110*")</f>
        <v/>
      </c>
      <c r="I60" s="43">
        <f>COUNTIF('8d'!$B$1:$E$1, "SENG-3110*")</f>
        <v/>
      </c>
      <c r="J60" s="82">
        <f>COUNTIFS('8e'!$B$1:$G$1, "SENG-3110*")</f>
        <v/>
      </c>
      <c r="K60" s="82">
        <f>COUNTIFS('8f'!$B$1:$L$1, "SENG-3110*")</f>
        <v/>
      </c>
      <c r="L60" s="47">
        <f>SUM(F60:K60)</f>
        <v/>
      </c>
    </row>
    <row r="61">
      <c r="A61" s="127" t="n"/>
      <c r="B61" s="127" t="n"/>
      <c r="D61" s="53">
        <f>COUNTIF(A:A, "SENG-3120*")</f>
        <v/>
      </c>
      <c r="E61" s="53" t="inlineStr">
        <is>
          <t>SENG 3120</t>
        </is>
      </c>
      <c r="F61" s="43">
        <f>COUNTIF('8a'!$B$1:$D$1, "SENG-3120*")</f>
        <v/>
      </c>
      <c r="G61" s="43">
        <f>COUNTIF('8b'!$B$1:$L$1, "SENG-3120*")</f>
        <v/>
      </c>
      <c r="H61" s="43">
        <f>COUNTIF('8c'!$B$1:$N$1, "SENG-3120*")</f>
        <v/>
      </c>
      <c r="I61" s="43">
        <f>COUNTIF('8d'!$B$1:$E$1, "SENG-3120*")</f>
        <v/>
      </c>
      <c r="J61" s="82">
        <f>COUNTIFS('8e'!$B$1:$G$1, "SENG-3120*")</f>
        <v/>
      </c>
      <c r="K61" s="82">
        <f>COUNTIFS('8f'!$B$1:$L$1, "SENG-3120*")</f>
        <v/>
      </c>
      <c r="L61" s="47">
        <f>SUM(F61:K61)</f>
        <v/>
      </c>
    </row>
    <row r="62">
      <c r="A62" s="127" t="n"/>
      <c r="B62" s="127" t="n"/>
      <c r="C62" s="64" t="n"/>
      <c r="D62" s="53">
        <f>COUNTIF(A:A, "SENG-3130*")</f>
        <v/>
      </c>
      <c r="E62" s="53" t="inlineStr">
        <is>
          <t>SENG 3130</t>
        </is>
      </c>
      <c r="F62" s="43">
        <f>COUNTIF('8a'!$B$1:$D$1, "SENG-3130*")</f>
        <v/>
      </c>
      <c r="G62" s="43">
        <f>COUNTIF('8b'!$B$1:$L$1, "SENG-3130*")</f>
        <v/>
      </c>
      <c r="H62" s="43">
        <f>COUNTIF('8c'!$B$1:$N$1, "SENG-3130*")</f>
        <v/>
      </c>
      <c r="I62" s="43">
        <f>COUNTIF('8d'!$B$1:$E$1, "SENG-3130*")</f>
        <v/>
      </c>
      <c r="J62" s="82">
        <f>COUNTIFS('8e'!$B$1:$G$1, "SENG-3130*")</f>
        <v/>
      </c>
      <c r="K62" s="82">
        <f>COUNTIFS('8f'!$B$1:$L$1, "SENG-3130*")</f>
        <v/>
      </c>
      <c r="L62" s="47">
        <f>SUM(F62:K62)</f>
        <v/>
      </c>
      <c r="M62" s="136" t="n"/>
    </row>
    <row r="63">
      <c r="A63" s="127" t="n"/>
      <c r="B63" s="127" t="n"/>
      <c r="C63" s="64" t="n"/>
      <c r="D63" s="53">
        <f>COUNTIF(A:A, "SENG-3210*")</f>
        <v/>
      </c>
      <c r="E63" s="53" t="inlineStr">
        <is>
          <t>SENG 3210</t>
        </is>
      </c>
      <c r="F63" s="43">
        <f>COUNTIF('8a'!$B$1:$D$1, "SENG-3210*")</f>
        <v/>
      </c>
      <c r="G63" s="43">
        <f>COUNTIF('8b'!$B$1:$L$1, "SENG-3210*")</f>
        <v/>
      </c>
      <c r="H63" s="43">
        <f>COUNTIF('8c'!$B$1:$N$1, "SENG-3210*")</f>
        <v/>
      </c>
      <c r="I63" s="43">
        <f>COUNTIF('8d'!$B$1:$E$1, "SENG-3210*")</f>
        <v/>
      </c>
      <c r="J63" s="82">
        <f>COUNTIFS('8e'!$B$1:$G$1, "SENG-3210*")</f>
        <v/>
      </c>
      <c r="K63" s="82">
        <f>COUNTIFS('8f'!$B$1:$L$1, "SENG-3210*")</f>
        <v/>
      </c>
      <c r="L63" s="47">
        <f>SUM(F63:K63)</f>
        <v/>
      </c>
      <c r="M63" s="136" t="n"/>
    </row>
    <row r="64">
      <c r="A64" s="127" t="n"/>
      <c r="B64" s="127" t="n"/>
      <c r="C64" s="64" t="n"/>
      <c r="D64" s="53">
        <f>COUNTIF(A:A, "SENG-4100*")</f>
        <v/>
      </c>
      <c r="E64" s="53" t="inlineStr">
        <is>
          <t>SENG 4100</t>
        </is>
      </c>
      <c r="F64" s="43">
        <f>COUNTIF('8a'!$B$1:$D$1, "SENG-4100*")</f>
        <v/>
      </c>
      <c r="G64" s="43">
        <f>COUNTIF('8b'!$B$1:$L$1, "SENG-4100*")</f>
        <v/>
      </c>
      <c r="H64" s="43">
        <f>COUNTIF('8c'!$B$1:$N$1, "SENG-4100*")</f>
        <v/>
      </c>
      <c r="I64" s="43">
        <f>COUNTIF('8d'!$B$1:$E$1, "SENG-4100*")</f>
        <v/>
      </c>
      <c r="J64" s="82">
        <f>COUNTIFS('8e'!$B$1:$G$1, "SENG-4100*")</f>
        <v/>
      </c>
      <c r="K64" s="82">
        <f>COUNTIFS('8f'!$B$1:$L$1, "SENG-4100*")</f>
        <v/>
      </c>
      <c r="L64" s="47">
        <f>SUM(F64:K64)</f>
        <v/>
      </c>
      <c r="M64" s="136" t="n"/>
    </row>
    <row r="65" customFormat="1" s="127">
      <c r="C65" s="64" t="n"/>
      <c r="D65" s="53">
        <f>COUNTIF(A:A, "SENG-4110*")</f>
        <v/>
      </c>
      <c r="E65" s="58" t="inlineStr">
        <is>
          <t>SENG 4110</t>
        </is>
      </c>
      <c r="F65" s="62">
        <f>COUNTIF('8a'!$B$1:$D$1, "SENG-4110*")</f>
        <v/>
      </c>
      <c r="G65" s="43">
        <f>COUNTIF('8b'!$B$1:$L$1, "SENG-4110*")</f>
        <v/>
      </c>
      <c r="H65" s="43">
        <f>COUNTIF('8c'!$B$1:$N$1, "SENG-4110*")</f>
        <v/>
      </c>
      <c r="I65" s="43">
        <f>COUNTIF('8d'!$B$1:$E$1, "SENG-4110*")</f>
        <v/>
      </c>
      <c r="J65" s="82">
        <f>COUNTIFS('8e'!$B$1:$G$1, "SENG-4110*")</f>
        <v/>
      </c>
      <c r="K65" s="82">
        <f>COUNTIFS('8f'!$B$1:$L$1, "SENG-4110*")</f>
        <v/>
      </c>
      <c r="L65" s="47">
        <f>SUM(F65:K65)</f>
        <v/>
      </c>
      <c r="M65" s="136" t="n"/>
    </row>
    <row r="66" customFormat="1" s="127">
      <c r="C66" s="64" t="n"/>
      <c r="D66" s="53">
        <f>COUNTIF(A:A, "SENG-4120*")</f>
        <v/>
      </c>
      <c r="E66" s="58" t="inlineStr">
        <is>
          <t>SENG 4120</t>
        </is>
      </c>
      <c r="F66" s="62">
        <f>COUNTIF('8a'!$B$1:$D$1, "SENG-4120*")</f>
        <v/>
      </c>
      <c r="G66" s="43">
        <f>COUNTIF('8b'!$B$1:$L$1, "SENG-4120*")</f>
        <v/>
      </c>
      <c r="H66" s="43">
        <f>COUNTIF('8c'!$B$1:$N$1, "SENG-4120*")</f>
        <v/>
      </c>
      <c r="I66" s="43">
        <f>COUNTIF('8d'!$B$1:$E$1, "SENG-4120*")</f>
        <v/>
      </c>
      <c r="J66" s="82">
        <f>COUNTIFS('8e'!$B$1:$G$1, "SENG-4120*")</f>
        <v/>
      </c>
      <c r="K66" s="82">
        <f>COUNTIFS('8f'!$B$1:$L$1, "SENG-4120*")</f>
        <v/>
      </c>
      <c r="L66" s="47">
        <f>SUM(F66:K66)</f>
        <v/>
      </c>
      <c r="M66" s="136" t="n"/>
    </row>
    <row r="67" customFormat="1" s="127">
      <c r="C67" s="64" t="n"/>
      <c r="D67" s="53">
        <f>COUNTIF(A:A, "SENG-4130*")</f>
        <v/>
      </c>
      <c r="E67" s="53" t="inlineStr">
        <is>
          <t>SENG 4130</t>
        </is>
      </c>
      <c r="F67" s="63">
        <f>COUNTIF('8a'!$B$1:$D$1, "SENG-4130*")</f>
        <v/>
      </c>
      <c r="G67" s="43">
        <f>COUNTIF('8b'!$B$1:$L$1, "SENG-4130*")</f>
        <v/>
      </c>
      <c r="H67" s="43">
        <f>COUNTIF('8c'!$B$1:$N$1, "SENG-4130*")</f>
        <v/>
      </c>
      <c r="I67" s="43">
        <f>COUNTIF('8d'!$B$1:$E$1, "SENG-4130*")</f>
        <v/>
      </c>
      <c r="J67" s="82">
        <f>COUNTIFS('8e'!$B$1:$G$1, "SENG-4130*")</f>
        <v/>
      </c>
      <c r="K67" s="82">
        <f>COUNTIFS('8f'!$B$1:$L$1, "SENG-4130*")</f>
        <v/>
      </c>
      <c r="L67" s="47">
        <f>SUM(F67:K67)</f>
        <v/>
      </c>
      <c r="M67" s="136" t="n"/>
    </row>
    <row r="68" customFormat="1" s="127">
      <c r="C68" s="64" t="n"/>
      <c r="D68" s="53">
        <f>COUNTIF(A:A, "SENG-4140*")</f>
        <v/>
      </c>
      <c r="E68" s="53" t="inlineStr">
        <is>
          <t>SENG 4140</t>
        </is>
      </c>
      <c r="F68" s="63">
        <f>COUNTIF('8a'!$B$1:$D$1, "SENG-4140*")</f>
        <v/>
      </c>
      <c r="G68" s="43">
        <f>COUNTIF('8b'!$B$1:$L$1, "SENG-4140*")</f>
        <v/>
      </c>
      <c r="H68" s="43">
        <f>COUNTIF('8c'!$B$1:$N$1, "SENG-4140*")</f>
        <v/>
      </c>
      <c r="I68" s="43">
        <f>COUNTIF('8d'!$B$1:$E$1, "SENG-4140*")</f>
        <v/>
      </c>
      <c r="J68" s="82">
        <f>COUNTIFS('8e'!$B$1:$G$1, "SENG-4140*")</f>
        <v/>
      </c>
      <c r="K68" s="82">
        <f>COUNTIFS('8f'!$B$1:$L$1, "SENG-4140*")</f>
        <v/>
      </c>
      <c r="L68" s="47">
        <f>SUM(F68:K68)</f>
        <v/>
      </c>
      <c r="M68" s="136" t="n"/>
    </row>
    <row r="69" customFormat="1" s="127">
      <c r="C69" s="64" t="n"/>
      <c r="D69" s="53">
        <f>COUNTIF(A:A, "SENG-4220*")</f>
        <v/>
      </c>
      <c r="E69" s="53" t="inlineStr">
        <is>
          <t>SENG 4220</t>
        </is>
      </c>
      <c r="F69" s="63">
        <f>COUNTIF('8a'!$B$1:$D$1, "SENG-4220*")</f>
        <v/>
      </c>
      <c r="G69" s="43">
        <f>COUNTIF('8b'!$B$1:$L$1, "SENG-4220*")</f>
        <v/>
      </c>
      <c r="H69" s="43">
        <f>COUNTIF('8c'!$B$1:$N$1, "SENG-4220*")</f>
        <v/>
      </c>
      <c r="I69" s="43">
        <f>COUNTIF('8d'!$B$1:$E$1, "SENG-4220*")</f>
        <v/>
      </c>
      <c r="J69" s="82">
        <f>COUNTIFS('8e'!$B$1:$G$1, "SENG-4220*")</f>
        <v/>
      </c>
      <c r="K69" s="82">
        <f>COUNTIFS('8f'!$B$1:$L$1, "SENG-4220*")</f>
        <v/>
      </c>
      <c r="L69" s="47">
        <f>SUM(F69:K69)</f>
        <v/>
      </c>
      <c r="M69" s="136" t="n"/>
    </row>
    <row r="70" customFormat="1" s="127">
      <c r="C70" s="64" t="n"/>
      <c r="D70" s="53">
        <f>COUNTIF(A:A, "SENG-4230*")</f>
        <v/>
      </c>
      <c r="E70" s="53" t="inlineStr">
        <is>
          <t>SENG 4230</t>
        </is>
      </c>
      <c r="F70" s="63">
        <f>COUNTIF('8a'!$B$1:$D$1, "SENG-4230*")</f>
        <v/>
      </c>
      <c r="G70" s="43">
        <f>COUNTIF('8b'!$B$1:$L$1, "SENG-4230*")</f>
        <v/>
      </c>
      <c r="H70" s="43">
        <f>COUNTIF('8c'!$B$1:$N$1, "SENG-4230*")</f>
        <v/>
      </c>
      <c r="I70" s="43">
        <f>COUNTIF('8d'!$B$1:$E$1, "SENG-4230*")</f>
        <v/>
      </c>
      <c r="J70" s="82">
        <f>COUNTIFS('8e'!$B$1:$G$1, "SENG-4230*")</f>
        <v/>
      </c>
      <c r="K70" s="82">
        <f>COUNTIFS('8f'!$B$1:$L$1, "SENG-4230*")</f>
        <v/>
      </c>
      <c r="L70" s="47">
        <f>SUM(F70:K70)</f>
        <v/>
      </c>
      <c r="M70" s="136" t="n"/>
    </row>
    <row r="71" customFormat="1" s="127">
      <c r="C71" s="64" t="n"/>
      <c r="D71" s="53">
        <f>COUNTIF(A:A, "SENG-4610*")</f>
        <v/>
      </c>
      <c r="E71" s="53" t="inlineStr">
        <is>
          <t>SENG 4610</t>
        </is>
      </c>
      <c r="F71" s="63">
        <f>COUNTIF('8a'!$B$1:$D$1, "SENG-4610*")</f>
        <v/>
      </c>
      <c r="G71" s="43">
        <f>COUNTIF('8b'!$B$1:$L$1, "SENG-4610*")</f>
        <v/>
      </c>
      <c r="H71" s="43">
        <f>COUNTIF('8c'!$B$1:$N$1, "SENG-4610*")</f>
        <v/>
      </c>
      <c r="I71" s="43">
        <f>COUNTIF('8d'!$B$1:$E$1, "SENG-4610*")</f>
        <v/>
      </c>
      <c r="J71" s="82">
        <f>COUNTIFS('8e'!$B$1:$G$1, "SENG-4610*")</f>
        <v/>
      </c>
      <c r="K71" s="82">
        <f>COUNTIFS('8f'!$B$1:$L$1, "SENG-4610*")</f>
        <v/>
      </c>
      <c r="L71" s="47">
        <f>SUM(F71:K71)</f>
        <v/>
      </c>
      <c r="M71" s="136" t="n"/>
    </row>
    <row r="72" customFormat="1" s="127">
      <c r="C72" s="64" t="n"/>
      <c r="D72" s="53">
        <f>COUNTIF(A:A, "SENG-4620*")</f>
        <v/>
      </c>
      <c r="E72" s="53" t="inlineStr">
        <is>
          <t>SENG 4620</t>
        </is>
      </c>
      <c r="F72" s="63">
        <f>COUNTIF('8a'!$B$1:$D$1, "SENG-4620*")</f>
        <v/>
      </c>
      <c r="G72" s="43">
        <f>COUNTIF('8b'!$B$1:$L$1, "SENG-4620*")</f>
        <v/>
      </c>
      <c r="H72" s="43">
        <f>COUNTIF('8c'!$B$1:$N$1, "SENG-4620*")</f>
        <v/>
      </c>
      <c r="I72" s="43">
        <f>COUNTIF('8d'!$B$1:$E$1, "SENG-4620*")</f>
        <v/>
      </c>
      <c r="J72" s="82">
        <f>COUNTIFS('8e'!$B$1:$G$1, "SENG-4620*")</f>
        <v/>
      </c>
      <c r="K72" s="82">
        <f>COUNTIFS('8f'!$B$1:$L$1, "SENG-4620*")</f>
        <v/>
      </c>
      <c r="L72" s="47">
        <f>SUM(F72:K72)</f>
        <v/>
      </c>
      <c r="M72" s="136" t="n"/>
    </row>
    <row r="73" customFormat="1" s="127">
      <c r="C73" s="64" t="n"/>
      <c r="D73" s="53">
        <f>COUNTIF(A:A, "SENG-4630*")</f>
        <v/>
      </c>
      <c r="E73" s="53" t="inlineStr">
        <is>
          <t>SENG 4630</t>
        </is>
      </c>
      <c r="F73" s="63">
        <f>COUNTIF('8a'!$B$1:$D$1, "SENG-4630*")</f>
        <v/>
      </c>
      <c r="G73" s="43">
        <f>COUNTIF('8b'!$B$1:$L$1, "SENG-4630*")</f>
        <v/>
      </c>
      <c r="H73" s="43">
        <f>COUNTIF('8c'!$B$1:$N$1, "SENG-4630*")</f>
        <v/>
      </c>
      <c r="I73" s="43">
        <f>COUNTIF('8d'!$B$1:$E$1, "SENG-4630*")</f>
        <v/>
      </c>
      <c r="J73" s="82">
        <f>COUNTIFS('8e'!$B$1:$G$1, "SENG-4630*")</f>
        <v/>
      </c>
      <c r="K73" s="82">
        <f>COUNTIFS('8f'!$B$1:$L$1, "SENG-4630*")</f>
        <v/>
      </c>
      <c r="L73" s="47">
        <f>SUM(F73:K73)</f>
        <v/>
      </c>
      <c r="M73" s="136" t="n"/>
    </row>
    <row r="74" customFormat="1" s="127">
      <c r="C74" s="64" t="n"/>
      <c r="D74" s="53">
        <f>COUNTIF(A:A, "SENG-4640*")</f>
        <v/>
      </c>
      <c r="E74" s="53" t="inlineStr">
        <is>
          <t>SENG 4640</t>
        </is>
      </c>
      <c r="F74" s="63">
        <f>COUNTIF('8a'!$B$1:$D$1, "SENG-4640*")</f>
        <v/>
      </c>
      <c r="G74" s="43">
        <f>COUNTIF('8b'!$B$1:$L$1, "SENG-4640*")</f>
        <v/>
      </c>
      <c r="H74" s="43">
        <f>COUNTIF('8c'!$B$1:$N$1, "SENG-4640*")</f>
        <v/>
      </c>
      <c r="I74" s="43">
        <f>COUNTIF('8d'!$B$1:$E$1, "SENG-4640*")</f>
        <v/>
      </c>
      <c r="J74" s="82">
        <f>COUNTIFS('8e'!$B$1:$G$1, "SENG-4640*")</f>
        <v/>
      </c>
      <c r="K74" s="82">
        <f>COUNTIFS('8f'!$B$1:$L$1, "SENG-4640*")</f>
        <v/>
      </c>
      <c r="L74" s="47">
        <f>SUM(F74:K74)</f>
        <v/>
      </c>
      <c r="M74" s="136" t="n"/>
    </row>
    <row r="75" customFormat="1" s="127">
      <c r="C75" s="64" t="n"/>
      <c r="D75" s="53">
        <f>COUNTIF(A:A, "SENG-4650*")</f>
        <v/>
      </c>
      <c r="E75" s="53" t="inlineStr">
        <is>
          <t>SENG 4650</t>
        </is>
      </c>
      <c r="F75" s="63">
        <f>COUNTIF('8a'!$B$1:$D$1, "SENG-4650*")</f>
        <v/>
      </c>
      <c r="G75" s="43">
        <f>COUNTIF('8b'!$B$1:$L$1, "SENG-4650*")</f>
        <v/>
      </c>
      <c r="H75" s="43">
        <f>COUNTIF('8c'!$B$1:$N$1, "SENG-4650*")</f>
        <v/>
      </c>
      <c r="I75" s="43">
        <f>COUNTIF('8d'!$B$1:$E$1, "SENG-4650*")</f>
        <v/>
      </c>
      <c r="J75" s="82">
        <f>COUNTIFS('8e'!$B$1:$G$1, "SENG-4650*")</f>
        <v/>
      </c>
      <c r="K75" s="82">
        <f>COUNTIFS('8f'!$B$1:$L$1, "SENG-4650*")</f>
        <v/>
      </c>
      <c r="L75" s="47">
        <f>SUM(F75:K75)</f>
        <v/>
      </c>
      <c r="M75" s="136" t="n"/>
    </row>
    <row r="76" customFormat="1" s="127">
      <c r="C76" s="64" t="n"/>
      <c r="D76" s="53">
        <f>COUNTIF(A:A, "SENG-4660*")</f>
        <v/>
      </c>
      <c r="E76" s="53" t="inlineStr">
        <is>
          <t>SENG 4660</t>
        </is>
      </c>
      <c r="F76" s="63">
        <f>COUNTIF('8a'!$B$1:$D$1, "SENG-4660*")</f>
        <v/>
      </c>
      <c r="G76" s="43">
        <f>COUNTIF('8b'!$B$1:$L$1, "SENG-4660*")</f>
        <v/>
      </c>
      <c r="H76" s="43">
        <f>COUNTIF('8c'!$B$1:$N$1, "SENG-4660*")</f>
        <v/>
      </c>
      <c r="I76" s="43">
        <f>COUNTIF('8d'!$B$1:$E$1, "SENG-4660*")</f>
        <v/>
      </c>
      <c r="J76" s="82">
        <f>COUNTIFS('8e'!$B$1:$G$1, "SENG-4660*")</f>
        <v/>
      </c>
      <c r="K76" s="82">
        <f>COUNTIFS('8f'!$B$1:$L$1, "SENG-4660*")</f>
        <v/>
      </c>
      <c r="L76" s="47">
        <f>SUM(F76:K76)</f>
        <v/>
      </c>
      <c r="M76" s="136" t="n"/>
    </row>
    <row r="77" customFormat="1" s="127">
      <c r="C77" s="64" t="n"/>
      <c r="D77" s="53">
        <f>COUNTIF(A:A, "STAT-2230*")</f>
        <v/>
      </c>
      <c r="E77" s="53" t="inlineStr">
        <is>
          <t xml:space="preserve">STAT 2230 </t>
        </is>
      </c>
      <c r="F77" s="43">
        <f>COUNTIF('8a'!$B$1:$D$1, "STAT-2230*")</f>
        <v/>
      </c>
      <c r="G77" s="43">
        <f>COUNTIF('8b'!$B$1:$L$1, "STAT-2230*")</f>
        <v/>
      </c>
      <c r="H77" s="43">
        <f>COUNTIF('8c'!$B$1:$N$1, "STAT-2230*")</f>
        <v/>
      </c>
      <c r="I77" s="43">
        <f>COUNTIF('8d'!$B$1:$E$1, "STAT-2230*")</f>
        <v/>
      </c>
      <c r="J77" s="82">
        <f>COUNTIFS('8e'!$B$1:$G$1, "STAT-2230*")</f>
        <v/>
      </c>
      <c r="K77" s="82">
        <f>COUNTIFS('8f'!$B$1:$L$1, "STAT-2230*")</f>
        <v/>
      </c>
      <c r="L77" s="47">
        <f>SUM(F77:K77)</f>
        <v/>
      </c>
      <c r="M77" s="136" t="n"/>
    </row>
    <row r="78" customFormat="1" s="127">
      <c r="C78" s="64" t="n"/>
      <c r="D78" s="129">
        <f>SUM(D29:D77)</f>
        <v/>
      </c>
      <c r="E78" s="53" t="inlineStr">
        <is>
          <t>TOTAL</t>
        </is>
      </c>
      <c r="F78" s="94">
        <f>SUM(F29:F77)</f>
        <v/>
      </c>
      <c r="G78" s="94">
        <f>SUM(G29:G77)</f>
        <v/>
      </c>
      <c r="H78" s="94">
        <f>SUM(H29:H77)</f>
        <v/>
      </c>
      <c r="I78" s="94">
        <f>SUM(I29:I77)</f>
        <v/>
      </c>
      <c r="J78" s="94">
        <f>SUM(J29:J77)</f>
        <v/>
      </c>
      <c r="K78" s="94">
        <f>SUM(K29:K77)</f>
        <v/>
      </c>
      <c r="L78" s="65">
        <f>SUM(L29:L77)</f>
        <v/>
      </c>
      <c r="M78" s="136" t="n"/>
    </row>
    <row r="79" customFormat="1" s="127">
      <c r="C79" s="64" t="n"/>
      <c r="M79" s="136" t="n"/>
    </row>
    <row r="80" customFormat="1" s="127">
      <c r="C80" s="64" t="n"/>
      <c r="M80" s="136" t="n"/>
    </row>
    <row r="81" customFormat="1" s="127">
      <c r="C81" s="64" t="n"/>
      <c r="E81" s="136" t="n"/>
      <c r="F81" s="136" t="n"/>
      <c r="G81" s="136" t="n"/>
      <c r="H81" s="136" t="n"/>
      <c r="I81" s="136" t="n"/>
      <c r="J81" s="136" t="n"/>
      <c r="K81" s="136" t="n"/>
      <c r="L81" s="136" t="n"/>
      <c r="M81" s="136" t="n"/>
    </row>
    <row r="82" customFormat="1" s="127">
      <c r="C82" s="64" t="n"/>
      <c r="E82" s="136" t="n"/>
      <c r="F82" s="136" t="n"/>
      <c r="G82" s="136" t="n"/>
      <c r="H82" s="136" t="n"/>
      <c r="I82" s="136" t="n"/>
      <c r="J82" s="136" t="n"/>
      <c r="K82" s="136" t="n"/>
      <c r="L82" s="136" t="n"/>
      <c r="M82" s="136" t="n"/>
    </row>
  </sheetData>
  <mergeCells count="4">
    <mergeCell ref="E3:L3"/>
    <mergeCell ref="O3:U3"/>
    <mergeCell ref="O6:U6"/>
    <mergeCell ref="E1:N1"/>
  </mergeCells>
  <conditionalFormatting sqref="F66:K77 F29:K62 L29:L77">
    <cfRule type="containsBlanks" priority="64" dxfId="198">
      <formula>LEN(TRIM(F29))=0</formula>
    </cfRule>
  </conditionalFormatting>
  <conditionalFormatting sqref="F29:K31 F33:K35 F37:K39 F48:K60 F66:K69 F71:K73 F75:K77">
    <cfRule type="cellIs" priority="62" operator="greaterThan" dxfId="193">
      <formula>0</formula>
    </cfRule>
    <cfRule type="cellIs" priority="63" operator="equal" dxfId="192">
      <formula>0</formula>
    </cfRule>
  </conditionalFormatting>
  <conditionalFormatting sqref="F63:K63">
    <cfRule type="containsBlanks" priority="60" dxfId="198">
      <formula>LEN(TRIM(F63))=0</formula>
    </cfRule>
    <cfRule type="cellIs" priority="58" operator="greaterThan" dxfId="193">
      <formula>0</formula>
    </cfRule>
    <cfRule type="cellIs" priority="59" operator="equal" dxfId="192">
      <formula>0</formula>
    </cfRule>
  </conditionalFormatting>
  <conditionalFormatting sqref="F65:K65">
    <cfRule type="containsBlanks" priority="57" dxfId="198">
      <formula>LEN(TRIM(F65))=0</formula>
    </cfRule>
    <cfRule type="cellIs" priority="55" operator="greaterThan" dxfId="193">
      <formula>0</formula>
    </cfRule>
    <cfRule type="cellIs" priority="56" operator="equal" dxfId="192">
      <formula>0</formula>
    </cfRule>
  </conditionalFormatting>
  <conditionalFormatting sqref="F32:K32">
    <cfRule type="cellIs" priority="52" operator="greaterThan" dxfId="193">
      <formula>0</formula>
    </cfRule>
    <cfRule type="cellIs" priority="53" operator="equal" dxfId="192">
      <formula>0</formula>
    </cfRule>
  </conditionalFormatting>
  <conditionalFormatting sqref="F36:K36">
    <cfRule type="cellIs" priority="49" operator="greaterThan" dxfId="193">
      <formula>0</formula>
    </cfRule>
    <cfRule type="cellIs" priority="50" operator="equal" dxfId="192">
      <formula>0</formula>
    </cfRule>
  </conditionalFormatting>
  <conditionalFormatting sqref="F40:K40">
    <cfRule type="cellIs" priority="46" operator="greaterThan" dxfId="193">
      <formula>0</formula>
    </cfRule>
    <cfRule type="cellIs" priority="47" operator="equal" dxfId="192">
      <formula>0</formula>
    </cfRule>
  </conditionalFormatting>
  <conditionalFormatting sqref="F41:K41">
    <cfRule type="cellIs" priority="43" operator="greaterThan" dxfId="193">
      <formula>0</formula>
    </cfRule>
    <cfRule type="cellIs" priority="44" operator="equal" dxfId="192">
      <formula>0</formula>
    </cfRule>
  </conditionalFormatting>
  <conditionalFormatting sqref="F42:K42">
    <cfRule type="cellIs" priority="40" operator="greaterThan" dxfId="193">
      <formula>0</formula>
    </cfRule>
    <cfRule type="cellIs" priority="41" operator="equal" dxfId="192">
      <formula>0</formula>
    </cfRule>
  </conditionalFormatting>
  <conditionalFormatting sqref="F43:K43">
    <cfRule type="cellIs" priority="37" operator="greaterThan" dxfId="193">
      <formula>0</formula>
    </cfRule>
    <cfRule type="cellIs" priority="38" operator="equal" dxfId="192">
      <formula>0</formula>
    </cfRule>
  </conditionalFormatting>
  <conditionalFormatting sqref="F44:K44">
    <cfRule type="cellIs" priority="34" operator="greaterThan" dxfId="193">
      <formula>0</formula>
    </cfRule>
    <cfRule type="cellIs" priority="35" operator="equal" dxfId="192">
      <formula>0</formula>
    </cfRule>
  </conditionalFormatting>
  <conditionalFormatting sqref="F45:K45">
    <cfRule type="cellIs" priority="31" operator="greaterThan" dxfId="193">
      <formula>0</formula>
    </cfRule>
    <cfRule type="cellIs" priority="32" operator="equal" dxfId="192">
      <formula>0</formula>
    </cfRule>
  </conditionalFormatting>
  <conditionalFormatting sqref="F46:K46">
    <cfRule type="cellIs" priority="28" operator="greaterThan" dxfId="193">
      <formula>0</formula>
    </cfRule>
    <cfRule type="cellIs" priority="29" operator="equal" dxfId="192">
      <formula>0</formula>
    </cfRule>
  </conditionalFormatting>
  <conditionalFormatting sqref="F47:K47">
    <cfRule type="cellIs" priority="25" operator="greaterThan" dxfId="193">
      <formula>0</formula>
    </cfRule>
    <cfRule type="cellIs" priority="26" operator="equal" dxfId="192">
      <formula>0</formula>
    </cfRule>
  </conditionalFormatting>
  <conditionalFormatting sqref="F61:K61">
    <cfRule type="cellIs" priority="22" operator="greaterThan" dxfId="193">
      <formula>0</formula>
    </cfRule>
    <cfRule type="cellIs" priority="23" operator="equal" dxfId="192">
      <formula>0</formula>
    </cfRule>
  </conditionalFormatting>
  <conditionalFormatting sqref="F62:K62">
    <cfRule type="cellIs" priority="19" operator="greaterThan" dxfId="193">
      <formula>0</formula>
    </cfRule>
    <cfRule type="cellIs" priority="20" operator="equal" dxfId="192">
      <formula>0</formula>
    </cfRule>
  </conditionalFormatting>
  <conditionalFormatting sqref="F64:K64">
    <cfRule type="containsBlanks" priority="15" dxfId="198">
      <formula>LEN(TRIM(F64))=0</formula>
    </cfRule>
    <cfRule type="cellIs" priority="13" operator="greaterThan" dxfId="193">
      <formula>0</formula>
    </cfRule>
    <cfRule type="cellIs" priority="14" operator="equal" dxfId="192">
      <formula>0</formula>
    </cfRule>
  </conditionalFormatting>
  <conditionalFormatting sqref="F70:K70">
    <cfRule type="cellIs" priority="10" operator="greaterThan" dxfId="193">
      <formula>0</formula>
    </cfRule>
    <cfRule type="cellIs" priority="11" operator="equal" dxfId="192">
      <formula>0</formula>
    </cfRule>
  </conditionalFormatting>
  <conditionalFormatting sqref="F74:K74">
    <cfRule type="cellIs" priority="7" operator="greaterThan" dxfId="193">
      <formula>0</formula>
    </cfRule>
    <cfRule type="cellIs" priority="8" operator="equal" dxfId="192">
      <formula>0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6"/>
  <sheetViews>
    <sheetView tabSelected="1" topLeftCell="A24" zoomScale="70" zoomScaleNormal="70" workbookViewId="0">
      <selection activeCell="B55" sqref="B55:D58"/>
    </sheetView>
  </sheetViews>
  <sheetFormatPr baseColWidth="8" defaultColWidth="17.42578125" defaultRowHeight="15" outlineLevelCol="0"/>
  <cols>
    <col width="44.85546875" bestFit="1" customWidth="1" min="1" max="1"/>
    <col width="18.85546875" bestFit="1" customWidth="1" min="2" max="2"/>
    <col width="14.85546875" bestFit="1" customWidth="1" min="3" max="3"/>
    <col width="15.85546875" bestFit="1" customWidth="1" min="4" max="4"/>
    <col width="17.7109375" bestFit="1" customWidth="1" min="5" max="5"/>
    <col width="13.85546875" bestFit="1" customWidth="1" min="6" max="6"/>
    <col width="9.7109375" bestFit="1" customWidth="1" min="7" max="7"/>
    <col width="17.7109375" bestFit="1" customWidth="1" min="8" max="8"/>
    <col width="7.42578125" bestFit="1" customWidth="1" min="9" max="9"/>
  </cols>
  <sheetData>
    <row r="1">
      <c r="A1" s="8" t="inlineStr">
        <is>
          <t>Student Number</t>
        </is>
      </c>
      <c r="B1" s="150" t="inlineStr">
        <is>
          <t>ENGR-1100-1</t>
        </is>
      </c>
      <c r="C1" s="150" t="inlineStr">
        <is>
          <t>ENGR-2200-1</t>
        </is>
      </c>
      <c r="D1" s="28" t="inlineStr">
        <is>
          <t>ENGR-3300-4</t>
        </is>
      </c>
      <c r="E1" s="10">
        <f>COUNTA(B1:D1)</f>
        <v/>
      </c>
    </row>
    <row r="2" ht="30" customHeight="1">
      <c r="A2" s="11" t="inlineStr">
        <is>
          <t>Assessment
Tool</t>
        </is>
      </c>
      <c r="B2" s="9" t="inlineStr">
        <is>
          <t>Assignment</t>
        </is>
      </c>
      <c r="C2" s="9" t="inlineStr">
        <is>
          <t>Assignment</t>
        </is>
      </c>
      <c r="D2" s="9" t="inlineStr">
        <is>
          <t>Other</t>
        </is>
      </c>
      <c r="E2" s="10">
        <f>COUNTIF(B2:D2, "&lt;&gt;")</f>
        <v/>
      </c>
    </row>
    <row r="3">
      <c r="A3" s="12" t="n">
        <v>1</v>
      </c>
      <c r="B3" s="165" t="n">
        <v>1</v>
      </c>
      <c r="C3" s="165" t="n">
        <v>0.9272727272727272</v>
      </c>
      <c r="D3" s="165" t="n">
        <v>1</v>
      </c>
      <c r="E3" s="192" t="n"/>
      <c r="I3" s="104" t="inlineStr">
        <is>
          <t>A</t>
        </is>
      </c>
    </row>
    <row r="4">
      <c r="A4" s="12" t="n">
        <v>2</v>
      </c>
      <c r="B4" s="165" t="n">
        <v>1</v>
      </c>
      <c r="C4" s="165" t="n">
        <v>0.9272727272727272</v>
      </c>
      <c r="D4" s="165" t="n">
        <v>0</v>
      </c>
      <c r="E4" s="193" t="n"/>
      <c r="I4" s="104" t="inlineStr">
        <is>
          <t>Q</t>
        </is>
      </c>
    </row>
    <row r="5">
      <c r="A5" s="12" t="n">
        <v>3</v>
      </c>
      <c r="B5" s="165" t="n">
        <v>0</v>
      </c>
      <c r="C5" s="165" t="n">
        <v>0.8818181818181818</v>
      </c>
      <c r="D5" s="165" t="n">
        <v>1</v>
      </c>
      <c r="E5" s="193" t="n"/>
      <c r="I5" s="104" t="inlineStr">
        <is>
          <t>M</t>
        </is>
      </c>
    </row>
    <row r="6">
      <c r="A6" s="12" t="n">
        <v>4</v>
      </c>
      <c r="B6" s="165" t="n">
        <v>1</v>
      </c>
      <c r="C6" s="165" t="n">
        <v>0.7090909090909091</v>
      </c>
      <c r="D6" s="165" t="n">
        <v>0</v>
      </c>
      <c r="E6" s="193" t="n"/>
      <c r="I6" s="104" t="inlineStr">
        <is>
          <t>F</t>
        </is>
      </c>
    </row>
    <row r="7">
      <c r="A7" s="12" t="n">
        <v>5</v>
      </c>
      <c r="B7" s="165" t="n">
        <v>1</v>
      </c>
      <c r="C7" s="165" t="n">
        <v>0.8545454545454545</v>
      </c>
      <c r="D7" s="165" t="n">
        <v>1</v>
      </c>
      <c r="E7" s="193" t="n"/>
      <c r="I7" s="104" t="inlineStr">
        <is>
          <t>P</t>
        </is>
      </c>
    </row>
    <row r="8">
      <c r="A8" s="12" t="n">
        <v>6</v>
      </c>
      <c r="B8" s="165" t="n">
        <v>1</v>
      </c>
      <c r="C8" s="165" t="n">
        <v>0.9090909090909091</v>
      </c>
      <c r="D8" s="165" t="n">
        <v>0</v>
      </c>
      <c r="E8" s="193" t="n"/>
      <c r="I8" s="104" t="inlineStr">
        <is>
          <t>L</t>
        </is>
      </c>
    </row>
    <row r="9">
      <c r="A9" s="12" t="n">
        <v>7</v>
      </c>
      <c r="B9" s="165" t="n">
        <v>1</v>
      </c>
      <c r="C9" s="165" t="n">
        <v>0.8545454545454545</v>
      </c>
      <c r="D9" s="165" t="n">
        <v>0</v>
      </c>
      <c r="E9" s="193" t="n"/>
      <c r="I9" s="104" t="inlineStr">
        <is>
          <t>OT</t>
        </is>
      </c>
    </row>
    <row r="10">
      <c r="A10" s="12" t="n">
        <v>8</v>
      </c>
      <c r="B10" s="165" t="n">
        <v>1</v>
      </c>
      <c r="C10" s="165" t="n">
        <v>0.9454545454545454</v>
      </c>
      <c r="D10" s="165" t="n">
        <v>1</v>
      </c>
      <c r="E10" s="193" t="n"/>
    </row>
    <row r="11">
      <c r="A11" s="12" t="n">
        <v>9</v>
      </c>
      <c r="B11" s="165" t="n">
        <v>1</v>
      </c>
      <c r="C11" s="165" t="n">
        <v>0.8818181818181818</v>
      </c>
      <c r="D11" s="165" t="n">
        <v>1</v>
      </c>
      <c r="E11" s="193" t="n"/>
    </row>
    <row r="12">
      <c r="A12" s="12" t="n">
        <v>10</v>
      </c>
      <c r="B12" s="165" t="n">
        <v>1</v>
      </c>
      <c r="C12" s="165" t="n">
        <v>0.8545454545454545</v>
      </c>
      <c r="D12" s="165" t="n">
        <v>0</v>
      </c>
      <c r="E12" s="193" t="n"/>
    </row>
    <row r="13">
      <c r="A13" s="12" t="n">
        <v>11</v>
      </c>
      <c r="B13" s="165" t="n">
        <v>1</v>
      </c>
      <c r="C13" s="165" t="n">
        <v>0.7454545454545455</v>
      </c>
      <c r="D13" s="165" t="n"/>
      <c r="E13" s="193" t="n"/>
    </row>
    <row r="14">
      <c r="A14" s="12" t="n">
        <v>12</v>
      </c>
      <c r="B14" s="165" t="n">
        <v>0</v>
      </c>
      <c r="C14" s="165" t="n">
        <v>0.7272727272727273</v>
      </c>
      <c r="D14" s="165" t="n"/>
      <c r="E14" s="193" t="n"/>
    </row>
    <row r="15">
      <c r="A15" s="12" t="n">
        <v>13</v>
      </c>
      <c r="B15" s="165" t="n">
        <v>1</v>
      </c>
      <c r="C15" s="165" t="n">
        <v>0.8545454545454545</v>
      </c>
      <c r="D15" s="165" t="n"/>
      <c r="E15" s="193" t="n"/>
    </row>
    <row r="16">
      <c r="A16" s="12" t="n">
        <v>14</v>
      </c>
      <c r="B16" s="165" t="n">
        <v>1</v>
      </c>
      <c r="C16" s="165" t="n">
        <v>0.9454545454545454</v>
      </c>
      <c r="D16" s="165" t="n"/>
      <c r="E16" s="193" t="n"/>
    </row>
    <row r="17">
      <c r="A17" s="12" t="n">
        <v>15</v>
      </c>
      <c r="B17" s="165" t="n">
        <v>1</v>
      </c>
      <c r="C17" s="165" t="n">
        <v>0.9454545454545454</v>
      </c>
      <c r="D17" s="165" t="n"/>
      <c r="E17" s="193" t="n"/>
    </row>
    <row r="18">
      <c r="A18" s="12" t="n">
        <v>16</v>
      </c>
      <c r="B18" s="165" t="n">
        <v>1</v>
      </c>
      <c r="C18" s="165" t="n">
        <v>0.8818181818181818</v>
      </c>
      <c r="D18" s="165" t="n"/>
      <c r="E18" s="193" t="n"/>
    </row>
    <row r="19">
      <c r="A19" s="12" t="n">
        <v>17</v>
      </c>
      <c r="B19" s="165" t="n"/>
      <c r="C19" s="165" t="n">
        <v>0.9454545454545454</v>
      </c>
      <c r="D19" s="165" t="n"/>
      <c r="E19" s="193" t="n"/>
    </row>
    <row r="20">
      <c r="A20" s="12" t="n">
        <v>18</v>
      </c>
      <c r="B20" s="165" t="n"/>
      <c r="C20" s="165" t="n">
        <v>0.9454545454545454</v>
      </c>
      <c r="D20" s="165" t="n"/>
      <c r="E20" s="193" t="n"/>
    </row>
    <row r="21">
      <c r="A21" s="12" t="n">
        <v>19</v>
      </c>
      <c r="B21" s="165" t="n"/>
      <c r="C21" s="165" t="n">
        <v>0.9272727272727272</v>
      </c>
      <c r="D21" s="165" t="n"/>
      <c r="E21" s="193" t="n"/>
    </row>
    <row r="22">
      <c r="A22" s="14" t="n">
        <v>20</v>
      </c>
      <c r="B22" s="166" t="n"/>
      <c r="C22" s="166" t="n"/>
      <c r="D22" s="166" t="n"/>
      <c r="E22" s="193" t="n"/>
    </row>
    <row r="23">
      <c r="A23" s="14" t="n">
        <v>21</v>
      </c>
      <c r="B23" s="166" t="n"/>
      <c r="C23" s="166" t="n"/>
      <c r="D23" s="166" t="n"/>
      <c r="E23" s="193" t="n"/>
    </row>
    <row r="24">
      <c r="A24" s="12" t="n">
        <v>22</v>
      </c>
      <c r="B24" s="165" t="n"/>
      <c r="C24" s="165" t="n"/>
      <c r="D24" s="165" t="n"/>
      <c r="E24" s="193" t="n"/>
    </row>
    <row r="25">
      <c r="A25" s="12" t="n">
        <v>23</v>
      </c>
      <c r="B25" s="165" t="n"/>
      <c r="C25" s="165" t="n"/>
      <c r="D25" s="165" t="n"/>
      <c r="E25" s="193" t="n"/>
    </row>
    <row r="26">
      <c r="A26" s="12" t="n">
        <v>24</v>
      </c>
      <c r="B26" s="165" t="n"/>
      <c r="C26" s="165" t="n"/>
      <c r="D26" s="165" t="n"/>
      <c r="E26" s="193" t="n"/>
    </row>
    <row r="27">
      <c r="A27" s="12" t="n">
        <v>25</v>
      </c>
      <c r="B27" s="165" t="n"/>
      <c r="C27" s="165" t="n"/>
      <c r="D27" s="165" t="n"/>
      <c r="E27" s="193" t="n"/>
    </row>
    <row r="28">
      <c r="A28" s="14" t="n">
        <v>26</v>
      </c>
      <c r="B28" s="166" t="n"/>
      <c r="C28" s="166" t="n"/>
      <c r="D28" s="166" t="n"/>
      <c r="E28" s="193" t="n"/>
    </row>
    <row r="29">
      <c r="A29" s="14" t="n">
        <v>27</v>
      </c>
      <c r="B29" s="166" t="n"/>
      <c r="C29" s="166" t="n"/>
      <c r="D29" s="166" t="n"/>
      <c r="E29" s="193" t="n"/>
    </row>
    <row r="30">
      <c r="A30" s="12" t="n">
        <v>28</v>
      </c>
      <c r="B30" s="165" t="n"/>
      <c r="C30" s="165" t="n"/>
      <c r="D30" s="165" t="n"/>
      <c r="E30" s="193" t="n"/>
    </row>
    <row r="31">
      <c r="A31" s="12" t="n">
        <v>29</v>
      </c>
      <c r="B31" s="165" t="n"/>
      <c r="C31" s="165" t="n"/>
      <c r="D31" s="165" t="n"/>
      <c r="E31" s="193" t="n"/>
    </row>
    <row r="32">
      <c r="A32" s="12" t="n">
        <v>30</v>
      </c>
      <c r="B32" s="165" t="n"/>
      <c r="C32" s="165" t="n"/>
      <c r="D32" s="165" t="n"/>
      <c r="E32" s="193" t="n"/>
    </row>
    <row r="33">
      <c r="A33" s="12" t="n">
        <v>31</v>
      </c>
      <c r="B33" s="165" t="n"/>
      <c r="C33" s="165" t="n"/>
      <c r="D33" s="165" t="n"/>
      <c r="E33" s="193" t="n"/>
    </row>
    <row r="34">
      <c r="A34" s="12" t="n">
        <v>32</v>
      </c>
      <c r="B34" s="165" t="n"/>
      <c r="C34" s="165" t="n"/>
      <c r="D34" s="165" t="n"/>
      <c r="E34" s="193" t="n"/>
    </row>
    <row r="35">
      <c r="A35" s="14" t="n">
        <v>33</v>
      </c>
      <c r="B35" s="166" t="n"/>
      <c r="C35" s="166" t="n"/>
      <c r="D35" s="166" t="n"/>
      <c r="E35" s="193" t="n"/>
    </row>
    <row r="36">
      <c r="A36" s="14" t="n">
        <v>34</v>
      </c>
      <c r="B36" s="166" t="n"/>
      <c r="C36" s="166" t="n"/>
      <c r="D36" s="166" t="n"/>
      <c r="E36" s="193" t="n"/>
    </row>
    <row r="37">
      <c r="A37" s="12" t="n">
        <v>35</v>
      </c>
      <c r="B37" s="165" t="n"/>
      <c r="C37" s="165" t="n"/>
      <c r="D37" s="165" t="n"/>
      <c r="E37" s="193" t="n"/>
    </row>
    <row r="38">
      <c r="A38" s="12" t="n">
        <v>36</v>
      </c>
      <c r="B38" s="165" t="n"/>
      <c r="C38" s="165" t="n"/>
      <c r="D38" s="165" t="n"/>
      <c r="E38" s="193" t="n"/>
    </row>
    <row r="39">
      <c r="A39" s="12" t="n">
        <v>37</v>
      </c>
      <c r="B39" s="165" t="n"/>
      <c r="C39" s="165" t="n"/>
      <c r="D39" s="165" t="n"/>
      <c r="E39" s="193" t="n"/>
    </row>
    <row r="40">
      <c r="A40" s="12" t="n">
        <v>38</v>
      </c>
      <c r="B40" s="165" t="n"/>
      <c r="C40" s="165" t="n"/>
      <c r="D40" s="165" t="n"/>
      <c r="E40" s="193" t="n"/>
    </row>
    <row r="41">
      <c r="A41" s="14" t="n">
        <v>39</v>
      </c>
      <c r="B41" s="166" t="n"/>
      <c r="C41" s="166" t="n"/>
      <c r="D41" s="166" t="n"/>
      <c r="E41" s="193" t="n"/>
    </row>
    <row r="42" ht="15.75" customHeight="1" thickBot="1">
      <c r="A42" s="14" t="n">
        <v>40</v>
      </c>
      <c r="B42" s="166" t="n"/>
      <c r="C42" s="166" t="n"/>
      <c r="D42" s="166" t="n"/>
      <c r="E42" s="194" t="n"/>
    </row>
    <row r="43" ht="15.75" customHeight="1" thickTop="1">
      <c r="A43" s="15" t="inlineStr">
        <is>
          <t>Average</t>
        </is>
      </c>
      <c r="B43" s="167">
        <f>AVERAGE(B3:B42)</f>
        <v/>
      </c>
      <c r="C43" s="167">
        <f>AVERAGE(C3:C42)</f>
        <v/>
      </c>
      <c r="D43" s="167">
        <f>AVERAGE(D3:D42)</f>
        <v/>
      </c>
      <c r="E43" s="16" t="n"/>
    </row>
    <row r="44">
      <c r="A44" s="17" t="inlineStr">
        <is>
          <t>Overall Average</t>
        </is>
      </c>
      <c r="B44" s="165">
        <f>AVERAGEIF(B43:D43, "&lt;&gt;#DIV/0!")</f>
        <v/>
      </c>
      <c r="C44" s="165" t="n"/>
      <c r="D44" s="165" t="n"/>
      <c r="E44" s="13" t="n"/>
    </row>
    <row r="45">
      <c r="A45" s="17" t="inlineStr">
        <is>
          <t>Total Students</t>
        </is>
      </c>
      <c r="B45" s="13">
        <f>COUNTIF(B3:B42, "&lt;&gt;")</f>
        <v/>
      </c>
      <c r="C45" s="13">
        <f>COUNTIF(C3:C42, "&lt;&gt;")</f>
        <v/>
      </c>
      <c r="D45" s="13">
        <f>COUNTIF(D3:D42, "&lt;&gt;")</f>
        <v/>
      </c>
      <c r="E45" s="90" t="n"/>
    </row>
    <row r="47">
      <c r="B47" s="8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48">
        <f>COUNTIF($B$2:$C$2, "A")</f>
        <v/>
      </c>
      <c r="C48" s="148">
        <f>COUNTIF($B$2:$C$2, "Q")</f>
        <v/>
      </c>
      <c r="D48" s="148">
        <f>COUNTIF($B$2:$C$2, "M")</f>
        <v/>
      </c>
      <c r="E48" s="148">
        <f>COUNTIF($B$2:$C$2, "F")</f>
        <v/>
      </c>
      <c r="F48" s="148">
        <f>COUNTIF($B$2:$C$2, "P")</f>
        <v/>
      </c>
      <c r="G48" s="148">
        <f>COUNTIF($B$2:$C$2, "L")</f>
        <v/>
      </c>
      <c r="H48" s="148">
        <f>COUNTIF($B$2:$C$2, "OT")</f>
        <v/>
      </c>
      <c r="I48" s="149">
        <f>SUM(B48:H48)</f>
        <v/>
      </c>
    </row>
    <row r="49">
      <c r="A49" s="98" t="inlineStr">
        <is>
          <t>D (2nd &amp; 3rd yr)</t>
        </is>
      </c>
      <c r="B49" s="148" t="n">
        <v>0</v>
      </c>
      <c r="C49" s="148" t="n">
        <v>0</v>
      </c>
      <c r="D49" s="148" t="n">
        <v>0</v>
      </c>
      <c r="E49" s="148" t="n">
        <v>0</v>
      </c>
      <c r="F49" s="148" t="n">
        <v>0</v>
      </c>
      <c r="G49" s="148" t="n">
        <v>0</v>
      </c>
      <c r="H49" s="148" t="n">
        <v>0</v>
      </c>
      <c r="I49" s="149">
        <f>SUM(B49:H49)</f>
        <v/>
      </c>
    </row>
    <row r="50">
      <c r="A50" s="99" t="inlineStr">
        <is>
          <t>A (3rd, 4yr)</t>
        </is>
      </c>
      <c r="B50" s="148">
        <f>COUNTIF($D$2, "A")</f>
        <v/>
      </c>
      <c r="C50" s="148">
        <f>COUNTIF($D$2, "Q")</f>
        <v/>
      </c>
      <c r="D50" s="148">
        <f>COUNTIF($D$2, "M")</f>
        <v/>
      </c>
      <c r="E50" s="148">
        <f>COUNTIF($D$2, "F")</f>
        <v/>
      </c>
      <c r="F50" s="148">
        <f>COUNTIF($D$2, "P")</f>
        <v/>
      </c>
      <c r="G50" s="148">
        <f>COUNTIF($D$2, "L")</f>
        <v/>
      </c>
      <c r="H50" s="148">
        <f>COUNTIF($D$2, "OT")</f>
        <v/>
      </c>
      <c r="I50" s="149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SUM(B51:H51)</f>
        <v/>
      </c>
    </row>
    <row r="53" ht="18.75" customHeight="1" thickBot="1">
      <c r="A53" s="22" t="inlineStr">
        <is>
          <t>Frequency Distribution Analysis</t>
        </is>
      </c>
      <c r="B53" s="115" t="n"/>
      <c r="C53" s="115" t="n"/>
      <c r="D53" s="115" t="n"/>
    </row>
    <row r="54" ht="16.5" customHeight="1" thickBot="1">
      <c r="A54" s="20" t="inlineStr">
        <is>
          <t>Scale</t>
        </is>
      </c>
      <c r="B54" s="150" t="inlineStr">
        <is>
          <t>ENGR-1100-1</t>
        </is>
      </c>
      <c r="C54" s="150" t="inlineStr">
        <is>
          <t>ENGR-2200-1</t>
        </is>
      </c>
      <c r="D54" s="28" t="inlineStr">
        <is>
          <t>ENGR-3300-4</t>
        </is>
      </c>
      <c r="E54" s="114" t="inlineStr">
        <is>
          <t>Average</t>
        </is>
      </c>
    </row>
    <row r="55" ht="16.5" customHeight="1" thickBot="1">
      <c r="A55" s="100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85">
        <f>AVERAGEIF(B55:D55, "&lt;&gt;#DIV/0!")</f>
        <v/>
      </c>
    </row>
    <row r="56" ht="16.5" customHeight="1" thickBot="1">
      <c r="A56" s="101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85">
        <f>AVERAGEIF(B56:D56, "&lt;&gt;#DIV/0!")</f>
        <v/>
      </c>
    </row>
    <row r="57" ht="16.5" customHeight="1" thickBot="1">
      <c r="A57" s="96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85">
        <f>AVERAGEIF(B57:D57, "&lt;&gt;#DIV/0!")</f>
        <v/>
      </c>
    </row>
    <row r="58" ht="16.5" customHeight="1" thickBot="1">
      <c r="A58" s="102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85">
        <f>AVERAGEIF(B58:D58, "&lt;&gt;#DIV/0!")</f>
        <v/>
      </c>
    </row>
    <row r="59" ht="15.75" customHeight="1" thickBot="1">
      <c r="A59" s="21" t="n"/>
      <c r="B59" s="117">
        <f>SUMIF(B55:B58, "&lt;&gt;#DIV/0!")</f>
        <v/>
      </c>
      <c r="C59" s="95">
        <f>SUMIF(C55:C58, "&lt;&gt;#DIV/0!")</f>
        <v/>
      </c>
      <c r="D59" s="95">
        <f>SUMIF(D55:D58, "&lt;&gt;#DIV/0!")</f>
        <v/>
      </c>
      <c r="E59" s="85">
        <f>AVERAGEIF(B59:D59, "&lt;&gt;#DIV/0!")</f>
        <v/>
      </c>
    </row>
    <row r="61" ht="15.75" customHeight="1" thickBot="1"/>
    <row r="62" ht="15.75" customHeight="1" thickBot="1">
      <c r="A62" s="23" t="n"/>
      <c r="B62" s="25" t="inlineStr">
        <is>
          <t>Class Limit</t>
        </is>
      </c>
      <c r="C62" s="25" t="inlineStr">
        <is>
          <t>Bin</t>
        </is>
      </c>
    </row>
    <row r="63" ht="16.5" customHeight="1" thickBot="1">
      <c r="A63" s="24" t="inlineStr">
        <is>
          <t>Exceeds Expectation (A+, A, A-) (%)</t>
        </is>
      </c>
      <c r="B63" s="27" t="inlineStr">
        <is>
          <t>80-100</t>
        </is>
      </c>
      <c r="C63" s="26" t="n">
        <v>100</v>
      </c>
    </row>
    <row r="64" ht="16.5" customHeight="1" thickBot="1">
      <c r="A64" s="24" t="inlineStr">
        <is>
          <t>Meets Expectation (B+, B, B-) (%)</t>
        </is>
      </c>
      <c r="B64" s="27" t="inlineStr">
        <is>
          <t>70-79</t>
        </is>
      </c>
      <c r="C64" s="26" t="n">
        <v>79</v>
      </c>
    </row>
    <row r="65" ht="16.5" customHeight="1" thickBot="1">
      <c r="A65" s="24" t="inlineStr">
        <is>
          <t>Marginal (C+, C)  (%)</t>
        </is>
      </c>
      <c r="B65" s="27" t="inlineStr">
        <is>
          <t>60-69</t>
        </is>
      </c>
      <c r="C65" s="26" t="n">
        <v>69</v>
      </c>
    </row>
    <row r="66" ht="16.5" customHeight="1" thickBot="1">
      <c r="A66" s="24" t="inlineStr">
        <is>
          <t>Below Expectation (C- and below)  (%)</t>
        </is>
      </c>
      <c r="B66" s="27" t="inlineStr">
        <is>
          <t>0-59</t>
        </is>
      </c>
      <c r="C66" s="26" t="n">
        <v>59</v>
      </c>
    </row>
  </sheetData>
  <mergeCells count="1">
    <mergeCell ref="E3:E42"/>
  </mergeCells>
  <conditionalFormatting sqref="B3:D2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14" operator="greaterThanOrEqual" dxfId="3">
      <formula>80</formula>
    </cfRule>
    <cfRule type="containsBlanks" priority="1515" dxfId="4" stopIfTrue="1">
      <formula>LEN(TRIM(B3))=0</formula>
    </cfRule>
    <cfRule type="cellIs" priority="1516" operator="greaterThanOrEqual" dxfId="3">
      <formula>80</formula>
    </cfRule>
    <cfRule type="cellIs" priority="1517" operator="between" dxfId="2">
      <formula>70</formula>
      <formula>79</formula>
    </cfRule>
    <cfRule type="cellIs" priority="1518" operator="between" dxfId="1">
      <formula>60</formula>
      <formula>69</formula>
    </cfRule>
    <cfRule type="cellIs" priority="1519" operator="between" dxfId="0">
      <formula>0</formula>
      <formula>59</formula>
    </cfRule>
  </conditionalFormatting>
  <conditionalFormatting sqref="B23:D23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21" operator="greaterThanOrEqual" dxfId="3">
      <formula>80</formula>
    </cfRule>
    <cfRule type="containsBlanks" priority="1522" dxfId="4" stopIfTrue="1">
      <formula>LEN(TRIM(B23))=0</formula>
    </cfRule>
    <cfRule type="cellIs" priority="1523" operator="greaterThanOrEqual" dxfId="3">
      <formula>80</formula>
    </cfRule>
    <cfRule type="cellIs" priority="1524" operator="between" dxfId="2">
      <formula>70</formula>
      <formula>79</formula>
    </cfRule>
    <cfRule type="cellIs" priority="1525" operator="between" dxfId="1">
      <formula>60</formula>
      <formula>69</formula>
    </cfRule>
    <cfRule type="cellIs" priority="1526" operator="between" dxfId="0">
      <formula>0</formula>
      <formula>59</formula>
    </cfRule>
  </conditionalFormatting>
  <conditionalFormatting sqref="B24:D28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28" operator="greaterThanOrEqual" dxfId="3">
      <formula>80</formula>
    </cfRule>
    <cfRule type="containsBlanks" priority="1529" dxfId="4" stopIfTrue="1">
      <formula>LEN(TRIM(B24))=0</formula>
    </cfRule>
    <cfRule type="cellIs" priority="1530" operator="greaterThanOrEqual" dxfId="3">
      <formula>80</formula>
    </cfRule>
    <cfRule type="cellIs" priority="1531" operator="between" dxfId="2">
      <formula>70</formula>
      <formula>79</formula>
    </cfRule>
    <cfRule type="cellIs" priority="1532" operator="between" dxfId="1">
      <formula>60</formula>
      <formula>69</formula>
    </cfRule>
    <cfRule type="cellIs" priority="1533" operator="between" dxfId="0">
      <formula>0</formula>
      <formula>59</formula>
    </cfRule>
  </conditionalFormatting>
  <conditionalFormatting sqref="B29:D29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35" operator="greaterThanOrEqual" dxfId="3">
      <formula>80</formula>
    </cfRule>
    <cfRule type="containsBlanks" priority="1536" dxfId="4" stopIfTrue="1">
      <formula>LEN(TRIM(B29))=0</formula>
    </cfRule>
    <cfRule type="cellIs" priority="1537" operator="greaterThanOrEqual" dxfId="3">
      <formula>80</formula>
    </cfRule>
    <cfRule type="cellIs" priority="1538" operator="between" dxfId="2">
      <formula>70</formula>
      <formula>79</formula>
    </cfRule>
    <cfRule type="cellIs" priority="1539" operator="between" dxfId="1">
      <formula>60</formula>
      <formula>69</formula>
    </cfRule>
    <cfRule type="cellIs" priority="1540" operator="between" dxfId="0">
      <formula>0</formula>
      <formula>59</formula>
    </cfRule>
  </conditionalFormatting>
  <conditionalFormatting sqref="B30:D3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42" operator="greaterThanOrEqual" dxfId="3">
      <formula>80</formula>
    </cfRule>
    <cfRule type="containsBlanks" priority="1543" dxfId="4" stopIfTrue="1">
      <formula>LEN(TRIM(B30))=0</formula>
    </cfRule>
    <cfRule type="cellIs" priority="1544" operator="greaterThanOrEqual" dxfId="3">
      <formula>80</formula>
    </cfRule>
    <cfRule type="cellIs" priority="1545" operator="between" dxfId="2">
      <formula>70</formula>
      <formula>79</formula>
    </cfRule>
    <cfRule type="cellIs" priority="1546" operator="between" dxfId="1">
      <formula>60</formula>
      <formula>69</formula>
    </cfRule>
    <cfRule type="cellIs" priority="1547" operator="between" dxfId="0">
      <formula>0</formula>
      <formula>59</formula>
    </cfRule>
  </conditionalFormatting>
  <conditionalFormatting sqref="B36:D3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49" operator="greaterThanOrEqual" dxfId="3">
      <formula>80</formula>
    </cfRule>
    <cfRule type="containsBlanks" priority="1550" dxfId="4" stopIfTrue="1">
      <formula>LEN(TRIM(B36))=0</formula>
    </cfRule>
    <cfRule type="cellIs" priority="1551" operator="greaterThanOrEqual" dxfId="3">
      <formula>80</formula>
    </cfRule>
    <cfRule type="cellIs" priority="1552" operator="between" dxfId="2">
      <formula>70</formula>
      <formula>79</formula>
    </cfRule>
    <cfRule type="cellIs" priority="1553" operator="between" dxfId="1">
      <formula>60</formula>
      <formula>69</formula>
    </cfRule>
    <cfRule type="cellIs" priority="1554" operator="between" dxfId="0">
      <formula>0</formula>
      <formula>59</formula>
    </cfRule>
  </conditionalFormatting>
  <conditionalFormatting sqref="B37:D41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56" operator="greaterThanOrEqual" dxfId="3">
      <formula>80</formula>
    </cfRule>
    <cfRule type="containsBlanks" priority="1557" dxfId="4" stopIfTrue="1">
      <formula>LEN(TRIM(B37))=0</formula>
    </cfRule>
    <cfRule type="cellIs" priority="1558" operator="greaterThanOrEqual" dxfId="3">
      <formula>80</formula>
    </cfRule>
    <cfRule type="cellIs" priority="1559" operator="between" dxfId="2">
      <formula>70</formula>
      <formula>79</formula>
    </cfRule>
    <cfRule type="cellIs" priority="1560" operator="between" dxfId="1">
      <formula>60</formula>
      <formula>69</formula>
    </cfRule>
    <cfRule type="cellIs" priority="1561" operator="between" dxfId="0">
      <formula>0</formula>
      <formula>59</formula>
    </cfRule>
  </conditionalFormatting>
  <conditionalFormatting sqref="B42:D42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63" operator="greaterThanOrEqual" dxfId="3">
      <formula>80</formula>
    </cfRule>
    <cfRule type="containsBlanks" priority="1564" dxfId="4" stopIfTrue="1">
      <formula>LEN(TRIM(B42))=0</formula>
    </cfRule>
    <cfRule type="cellIs" priority="1565" operator="greaterThanOrEqual" dxfId="3">
      <formula>80</formula>
    </cfRule>
    <cfRule type="cellIs" priority="1566" operator="between" dxfId="2">
      <formula>70</formula>
      <formula>79</formula>
    </cfRule>
    <cfRule type="cellIs" priority="1567" operator="between" dxfId="1">
      <formula>60</formula>
      <formula>69</formula>
    </cfRule>
    <cfRule type="cellIs" priority="1568" operator="between" dxfId="0">
      <formula>0</formula>
      <formula>59</formula>
    </cfRule>
  </conditionalFormatting>
  <dataValidations count="1">
    <dataValidation sqref="B2:D2" showErrorMessage="1" showInputMessage="1" allowBlank="1" type="list">
      <formula1>$I$3:$I$10</formula1>
    </dataValidation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5"/>
  <sheetViews>
    <sheetView topLeftCell="A33" zoomScale="70" zoomScaleNormal="70" workbookViewId="0">
      <selection activeCell="B55" sqref="B55:B58"/>
    </sheetView>
  </sheetViews>
  <sheetFormatPr baseColWidth="8" defaultColWidth="16.5703125" defaultRowHeight="15" outlineLevelCol="0"/>
  <cols>
    <col width="44.85546875" bestFit="1" customWidth="1" min="1" max="1"/>
    <col width="18.85546875" bestFit="1" customWidth="1" min="2" max="2"/>
    <col width="18.85546875" customWidth="1" min="3" max="12"/>
    <col width="11" bestFit="1" customWidth="1" min="13" max="13"/>
    <col width="15.85546875" bestFit="1" customWidth="1" min="14" max="14"/>
    <col width="17.7109375" bestFit="1" customWidth="1" style="104" min="15" max="15"/>
    <col width="13.85546875" bestFit="1" customWidth="1" style="163" min="16" max="16"/>
    <col width="9.7109375" bestFit="1" customWidth="1" style="163" min="17" max="17"/>
    <col width="17.7109375" bestFit="1" customWidth="1" style="163" min="18" max="18"/>
    <col width="7.42578125" bestFit="1" customWidth="1" style="163" min="19" max="19"/>
    <col width="16.5703125" customWidth="1" style="163" min="20" max="20"/>
  </cols>
  <sheetData>
    <row r="1" ht="15" customHeight="1">
      <c r="A1" s="8" t="inlineStr">
        <is>
          <t>Student Number</t>
        </is>
      </c>
      <c r="B1" s="28" t="inlineStr">
        <is>
          <t>CENG-3020-1</t>
        </is>
      </c>
      <c r="C1" s="159" t="inlineStr">
        <is>
          <t>ENGR-2000-2</t>
        </is>
      </c>
      <c r="D1" s="28" t="inlineStr">
        <is>
          <t>ENGR-3300-3</t>
        </is>
      </c>
      <c r="E1" s="150" t="inlineStr">
        <is>
          <t>ENGL-1100-2</t>
        </is>
      </c>
      <c r="F1" s="153" t="inlineStr">
        <is>
          <t>ENGR-1200-3
(EPHY 1990)</t>
        </is>
      </c>
      <c r="G1" s="154" t="inlineStr">
        <is>
          <t>ENGR-2300-1</t>
        </is>
      </c>
      <c r="H1" s="154" t="inlineStr">
        <is>
          <t>SENG-3130-3</t>
        </is>
      </c>
      <c r="I1" s="28" t="inlineStr">
        <is>
          <t>SENG-4100-2</t>
        </is>
      </c>
      <c r="J1" s="28" t="inlineStr">
        <is>
          <t>SENG-4110-4</t>
        </is>
      </c>
      <c r="K1" s="28" t="inlineStr">
        <is>
          <t>SENG-4120-2</t>
        </is>
      </c>
      <c r="L1" s="28" t="inlineStr">
        <is>
          <t>SENG-4220-2</t>
        </is>
      </c>
      <c r="M1" s="28">
        <f>COUNTA(B1:L1)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28">
        <f>COUNTIF(B2:L2, "&lt;&gt;")</f>
        <v/>
      </c>
    </row>
    <row r="3">
      <c r="A3" s="29" t="n">
        <v>1</v>
      </c>
      <c r="B3" s="165" t="n"/>
      <c r="C3" s="166" t="n"/>
      <c r="D3" s="166" t="n"/>
      <c r="E3" s="166" t="n"/>
      <c r="F3" s="166" t="n"/>
      <c r="G3" s="166" t="n"/>
      <c r="H3" s="166" t="n"/>
      <c r="I3" s="166" t="n"/>
      <c r="J3" s="166" t="n"/>
      <c r="K3" s="166" t="n"/>
      <c r="L3" s="166" t="n"/>
      <c r="M3" s="195" t="n"/>
    </row>
    <row r="4">
      <c r="A4" s="29" t="n">
        <v>2</v>
      </c>
      <c r="B4" s="165" t="n"/>
      <c r="C4" s="168" t="n"/>
      <c r="D4" s="168" t="n"/>
      <c r="E4" s="168" t="n"/>
      <c r="F4" s="168" t="n"/>
      <c r="G4" s="168" t="n"/>
      <c r="H4" s="168" t="n"/>
      <c r="I4" s="168" t="n"/>
      <c r="J4" s="168" t="n"/>
      <c r="K4" s="168" t="n"/>
      <c r="L4" s="168" t="n"/>
      <c r="M4" s="193" t="n"/>
    </row>
    <row r="5">
      <c r="A5" s="29" t="n">
        <v>3</v>
      </c>
      <c r="B5" s="165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93" t="n"/>
      <c r="O5" s="104" t="inlineStr">
        <is>
          <t>A</t>
        </is>
      </c>
    </row>
    <row r="6">
      <c r="A6" s="29" t="n">
        <v>4</v>
      </c>
      <c r="B6" s="165" t="n"/>
      <c r="C6" s="168" t="n"/>
      <c r="D6" s="168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93" t="n"/>
      <c r="O6" s="104" t="inlineStr">
        <is>
          <t>Q</t>
        </is>
      </c>
    </row>
    <row r="7">
      <c r="A7" s="29" t="n">
        <v>5</v>
      </c>
      <c r="B7" s="165" t="n"/>
      <c r="C7" s="168" t="n"/>
      <c r="D7" s="168" t="n"/>
      <c r="E7" s="168" t="n"/>
      <c r="F7" s="168" t="n"/>
      <c r="G7" s="168" t="n"/>
      <c r="H7" s="168" t="n"/>
      <c r="I7" s="168" t="n"/>
      <c r="J7" s="168" t="n"/>
      <c r="K7" s="168" t="n"/>
      <c r="L7" s="168" t="n"/>
      <c r="M7" s="193" t="n"/>
      <c r="O7" s="104" t="inlineStr">
        <is>
          <t>M</t>
        </is>
      </c>
    </row>
    <row r="8">
      <c r="A8" s="29" t="n">
        <v>6</v>
      </c>
      <c r="B8" s="165" t="n"/>
      <c r="C8" s="168" t="n"/>
      <c r="D8" s="168" t="n"/>
      <c r="E8" s="168" t="n"/>
      <c r="F8" s="168" t="n"/>
      <c r="G8" s="168" t="n"/>
      <c r="H8" s="168" t="n"/>
      <c r="I8" s="168" t="n"/>
      <c r="J8" s="168" t="n"/>
      <c r="K8" s="168" t="n"/>
      <c r="L8" s="168" t="n"/>
      <c r="M8" s="193" t="n"/>
      <c r="O8" s="104" t="inlineStr">
        <is>
          <t>F</t>
        </is>
      </c>
    </row>
    <row r="9">
      <c r="A9" s="29" t="n">
        <v>7</v>
      </c>
      <c r="B9" s="165" t="n"/>
      <c r="C9" s="168" t="n"/>
      <c r="D9" s="168" t="n"/>
      <c r="E9" s="168" t="n"/>
      <c r="F9" s="168" t="n"/>
      <c r="G9" s="168" t="n"/>
      <c r="H9" s="168" t="n"/>
      <c r="I9" s="168" t="n"/>
      <c r="J9" s="168" t="n"/>
      <c r="K9" s="168" t="n"/>
      <c r="L9" s="168" t="n"/>
      <c r="M9" s="193" t="n"/>
      <c r="O9" s="104" t="inlineStr">
        <is>
          <t>P</t>
        </is>
      </c>
    </row>
    <row r="10">
      <c r="A10" s="29" t="n">
        <v>8</v>
      </c>
      <c r="B10" s="165" t="n"/>
      <c r="C10" s="168" t="n"/>
      <c r="D10" s="168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93" t="n"/>
      <c r="O10" s="104" t="inlineStr">
        <is>
          <t>L</t>
        </is>
      </c>
    </row>
    <row r="11">
      <c r="A11" s="29" t="n">
        <v>9</v>
      </c>
      <c r="B11" s="165" t="n"/>
      <c r="C11" s="168" t="n"/>
      <c r="D11" s="168" t="n"/>
      <c r="E11" s="168" t="n"/>
      <c r="F11" s="168" t="n"/>
      <c r="G11" s="168" t="n"/>
      <c r="H11" s="168" t="n"/>
      <c r="I11" s="168" t="n"/>
      <c r="J11" s="168" t="n"/>
      <c r="K11" s="168" t="n"/>
      <c r="L11" s="168" t="n"/>
      <c r="M11" s="193" t="n"/>
      <c r="O11" s="104" t="inlineStr">
        <is>
          <t>OT</t>
        </is>
      </c>
    </row>
    <row r="12">
      <c r="A12" s="29" t="n">
        <v>10</v>
      </c>
      <c r="B12" s="165" t="n"/>
      <c r="C12" s="168" t="n"/>
      <c r="D12" s="168" t="n"/>
      <c r="E12" s="168" t="n"/>
      <c r="F12" s="168" t="n"/>
      <c r="G12" s="168" t="n"/>
      <c r="H12" s="168" t="n"/>
      <c r="I12" s="168" t="n"/>
      <c r="J12" s="168" t="n"/>
      <c r="K12" s="168" t="n"/>
      <c r="L12" s="168" t="n"/>
      <c r="M12" s="193" t="n"/>
    </row>
    <row r="13">
      <c r="A13" s="29" t="n">
        <v>11</v>
      </c>
      <c r="B13" s="165" t="n"/>
      <c r="C13" s="168" t="n"/>
      <c r="D13" s="168" t="n"/>
      <c r="E13" s="168" t="n"/>
      <c r="F13" s="168" t="n"/>
      <c r="G13" s="168" t="n"/>
      <c r="H13" s="168" t="n"/>
      <c r="I13" s="168" t="n"/>
      <c r="J13" s="168" t="n"/>
      <c r="K13" s="168" t="n"/>
      <c r="L13" s="168" t="n"/>
      <c r="M13" s="193" t="n"/>
    </row>
    <row r="14">
      <c r="A14" s="29" t="n">
        <v>12</v>
      </c>
      <c r="B14" s="165" t="n"/>
      <c r="C14" s="168" t="n"/>
      <c r="D14" s="168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93" t="n"/>
    </row>
    <row r="15">
      <c r="A15" s="29" t="n">
        <v>13</v>
      </c>
      <c r="B15" s="165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93" t="n"/>
    </row>
    <row r="16">
      <c r="A16" s="29" t="n">
        <v>14</v>
      </c>
      <c r="B16" s="165" t="n"/>
      <c r="C16" s="168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93" t="n"/>
    </row>
    <row r="17">
      <c r="A17" s="29" t="n">
        <v>15</v>
      </c>
      <c r="B17" s="165" t="n"/>
      <c r="C17" s="168" t="n"/>
      <c r="D17" s="168" t="n"/>
      <c r="E17" s="168" t="n"/>
      <c r="F17" s="168" t="n"/>
      <c r="G17" s="168" t="n"/>
      <c r="H17" s="168" t="n"/>
      <c r="I17" s="168" t="n"/>
      <c r="J17" s="168" t="n"/>
      <c r="K17" s="168" t="n"/>
      <c r="L17" s="168" t="n"/>
      <c r="M17" s="193" t="n"/>
    </row>
    <row r="18">
      <c r="A18" s="29" t="n">
        <v>16</v>
      </c>
      <c r="B18" s="165" t="n"/>
      <c r="C18" s="168" t="n"/>
      <c r="D18" s="168" t="n"/>
      <c r="E18" s="168" t="n"/>
      <c r="F18" s="168" t="n"/>
      <c r="G18" s="168" t="n"/>
      <c r="H18" s="168" t="n"/>
      <c r="I18" s="168" t="n"/>
      <c r="J18" s="168" t="n"/>
      <c r="K18" s="168" t="n"/>
      <c r="L18" s="168" t="n"/>
      <c r="M18" s="193" t="n"/>
    </row>
    <row r="19">
      <c r="A19" s="29" t="n">
        <v>17</v>
      </c>
      <c r="B19" s="165" t="n"/>
      <c r="C19" s="168" t="n"/>
      <c r="D19" s="168" t="n"/>
      <c r="E19" s="168" t="n"/>
      <c r="F19" s="168" t="n"/>
      <c r="G19" s="168" t="n"/>
      <c r="H19" s="168" t="n"/>
      <c r="I19" s="168" t="n"/>
      <c r="J19" s="168" t="n"/>
      <c r="K19" s="168" t="n"/>
      <c r="L19" s="168" t="n"/>
      <c r="M19" s="193" t="n"/>
    </row>
    <row r="20">
      <c r="A20" s="29" t="n">
        <v>18</v>
      </c>
      <c r="B20" s="165" t="n"/>
      <c r="C20" s="168" t="n"/>
      <c r="D20" s="168" t="n"/>
      <c r="E20" s="168" t="n"/>
      <c r="F20" s="168" t="n"/>
      <c r="G20" s="168" t="n"/>
      <c r="H20" s="168" t="n"/>
      <c r="I20" s="168" t="n"/>
      <c r="J20" s="168" t="n"/>
      <c r="K20" s="168" t="n"/>
      <c r="L20" s="168" t="n"/>
      <c r="M20" s="193" t="n"/>
    </row>
    <row r="21">
      <c r="A21" s="29" t="n">
        <v>19</v>
      </c>
      <c r="B21" s="165" t="n"/>
      <c r="C21" s="168" t="n"/>
      <c r="D21" s="168" t="n"/>
      <c r="E21" s="168" t="n"/>
      <c r="F21" s="168" t="n"/>
      <c r="G21" s="168" t="n"/>
      <c r="H21" s="168" t="n"/>
      <c r="I21" s="168" t="n"/>
      <c r="J21" s="168" t="n"/>
      <c r="K21" s="168" t="n"/>
      <c r="L21" s="168" t="n"/>
      <c r="M21" s="193" t="n"/>
    </row>
    <row r="22">
      <c r="A22" s="29" t="n">
        <v>20</v>
      </c>
      <c r="B22" s="165" t="n"/>
      <c r="C22" s="168" t="n"/>
      <c r="D22" s="168" t="n"/>
      <c r="E22" s="168" t="n"/>
      <c r="F22" s="168" t="n"/>
      <c r="G22" s="168" t="n"/>
      <c r="H22" s="168" t="n"/>
      <c r="I22" s="168" t="n"/>
      <c r="J22" s="168" t="n"/>
      <c r="K22" s="168" t="n"/>
      <c r="L22" s="168" t="n"/>
      <c r="M22" s="193" t="n"/>
    </row>
    <row r="23">
      <c r="A23" s="31" t="n">
        <v>21</v>
      </c>
      <c r="B23" s="165" t="n"/>
      <c r="C23" s="168" t="n"/>
      <c r="D23" s="168" t="n"/>
      <c r="E23" s="168" t="n"/>
      <c r="F23" s="168" t="n"/>
      <c r="G23" s="168" t="n"/>
      <c r="H23" s="168" t="n"/>
      <c r="I23" s="168" t="n"/>
      <c r="J23" s="168" t="n"/>
      <c r="K23" s="168" t="n"/>
      <c r="L23" s="168" t="n"/>
      <c r="M23" s="193" t="n"/>
    </row>
    <row r="24">
      <c r="A24" s="31" t="n">
        <v>22</v>
      </c>
      <c r="B24" s="165" t="n"/>
      <c r="C24" s="168" t="n"/>
      <c r="D24" s="168" t="n"/>
      <c r="E24" s="168" t="n"/>
      <c r="F24" s="168" t="n"/>
      <c r="G24" s="168" t="n"/>
      <c r="H24" s="168" t="n"/>
      <c r="I24" s="168" t="n"/>
      <c r="J24" s="168" t="n"/>
      <c r="K24" s="168" t="n"/>
      <c r="L24" s="168" t="n"/>
      <c r="M24" s="193" t="n"/>
    </row>
    <row r="25">
      <c r="A25" s="31" t="n">
        <v>23</v>
      </c>
      <c r="B25" s="165" t="n"/>
      <c r="C25" s="168" t="n"/>
      <c r="D25" s="168" t="n"/>
      <c r="E25" s="168" t="n"/>
      <c r="F25" s="168" t="n"/>
      <c r="G25" s="168" t="n"/>
      <c r="H25" s="168" t="n"/>
      <c r="I25" s="168" t="n"/>
      <c r="J25" s="168" t="n"/>
      <c r="K25" s="168" t="n"/>
      <c r="L25" s="168" t="n"/>
      <c r="M25" s="193" t="n"/>
    </row>
    <row r="26">
      <c r="A26" s="31" t="n">
        <v>24</v>
      </c>
      <c r="B26" s="165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93" t="n"/>
    </row>
    <row r="27">
      <c r="A27" s="31" t="n">
        <v>25</v>
      </c>
      <c r="B27" s="165" t="n"/>
      <c r="C27" s="168" t="n"/>
      <c r="D27" s="168" t="n"/>
      <c r="E27" s="168" t="n"/>
      <c r="F27" s="168" t="n"/>
      <c r="G27" s="168" t="n"/>
      <c r="H27" s="168" t="n"/>
      <c r="I27" s="168" t="n"/>
      <c r="J27" s="168" t="n"/>
      <c r="K27" s="168" t="n"/>
      <c r="L27" s="168" t="n"/>
      <c r="M27" s="193" t="n"/>
    </row>
    <row r="28">
      <c r="A28" s="31" t="n">
        <v>26</v>
      </c>
      <c r="B28" s="165" t="n"/>
      <c r="C28" s="168" t="n"/>
      <c r="D28" s="168" t="n"/>
      <c r="E28" s="168" t="n"/>
      <c r="F28" s="168" t="n"/>
      <c r="G28" s="168" t="n"/>
      <c r="H28" s="168" t="n"/>
      <c r="I28" s="168" t="n"/>
      <c r="J28" s="168" t="n"/>
      <c r="K28" s="168" t="n"/>
      <c r="L28" s="168" t="n"/>
      <c r="M28" s="193" t="n"/>
    </row>
    <row r="29">
      <c r="A29" s="31" t="n">
        <v>27</v>
      </c>
      <c r="B29" s="165" t="n"/>
      <c r="C29" s="168" t="n"/>
      <c r="D29" s="168" t="n"/>
      <c r="E29" s="168" t="n"/>
      <c r="F29" s="168" t="n"/>
      <c r="G29" s="168" t="n"/>
      <c r="H29" s="168" t="n"/>
      <c r="I29" s="168" t="n"/>
      <c r="J29" s="168" t="n"/>
      <c r="K29" s="168" t="n"/>
      <c r="L29" s="168" t="n"/>
      <c r="M29" s="193" t="n"/>
    </row>
    <row r="30">
      <c r="A30" s="31" t="n">
        <v>28</v>
      </c>
      <c r="B30" s="165" t="n"/>
      <c r="C30" s="168" t="n"/>
      <c r="D30" s="168" t="n"/>
      <c r="E30" s="168" t="n"/>
      <c r="F30" s="168" t="n"/>
      <c r="G30" s="168" t="n"/>
      <c r="H30" s="168" t="n"/>
      <c r="I30" s="168" t="n"/>
      <c r="J30" s="168" t="n"/>
      <c r="K30" s="168" t="n"/>
      <c r="L30" s="168" t="n"/>
      <c r="M30" s="193" t="n"/>
    </row>
    <row r="31">
      <c r="A31" s="31" t="n">
        <v>29</v>
      </c>
      <c r="B31" s="165" t="n"/>
      <c r="C31" s="168" t="n"/>
      <c r="D31" s="168" t="n"/>
      <c r="E31" s="168" t="n"/>
      <c r="F31" s="168" t="n"/>
      <c r="G31" s="168" t="n"/>
      <c r="H31" s="168" t="n"/>
      <c r="I31" s="168" t="n"/>
      <c r="J31" s="168" t="n"/>
      <c r="K31" s="168" t="n"/>
      <c r="L31" s="168" t="n"/>
      <c r="M31" s="193" t="n"/>
    </row>
    <row r="32">
      <c r="A32" s="31" t="n">
        <v>30</v>
      </c>
      <c r="B32" s="165" t="n"/>
      <c r="C32" s="168" t="n"/>
      <c r="D32" s="168" t="n"/>
      <c r="E32" s="168" t="n"/>
      <c r="F32" s="168" t="n"/>
      <c r="G32" s="168" t="n"/>
      <c r="H32" s="168" t="n"/>
      <c r="I32" s="168" t="n"/>
      <c r="J32" s="168" t="n"/>
      <c r="K32" s="168" t="n"/>
      <c r="L32" s="168" t="n"/>
      <c r="M32" s="193" t="n"/>
    </row>
    <row r="33">
      <c r="A33" s="31" t="n">
        <v>31</v>
      </c>
      <c r="B33" s="165" t="n"/>
      <c r="C33" s="168" t="n"/>
      <c r="D33" s="168" t="n"/>
      <c r="E33" s="168" t="n"/>
      <c r="F33" s="168" t="n"/>
      <c r="G33" s="168" t="n"/>
      <c r="H33" s="168" t="n"/>
      <c r="I33" s="168" t="n"/>
      <c r="J33" s="168" t="n"/>
      <c r="K33" s="168" t="n"/>
      <c r="L33" s="168" t="n"/>
      <c r="M33" s="193" t="n"/>
    </row>
    <row r="34">
      <c r="A34" s="31" t="n">
        <v>32</v>
      </c>
      <c r="B34" s="165" t="n"/>
      <c r="C34" s="168" t="n"/>
      <c r="D34" s="168" t="n"/>
      <c r="E34" s="168" t="n"/>
      <c r="F34" s="168" t="n"/>
      <c r="G34" s="168" t="n"/>
      <c r="H34" s="168" t="n"/>
      <c r="I34" s="168" t="n"/>
      <c r="J34" s="168" t="n"/>
      <c r="K34" s="168" t="n"/>
      <c r="L34" s="168" t="n"/>
      <c r="M34" s="193" t="n"/>
    </row>
    <row r="35">
      <c r="A35" s="31" t="n">
        <v>33</v>
      </c>
      <c r="B35" s="165" t="n"/>
      <c r="C35" s="168" t="n"/>
      <c r="D35" s="168" t="n"/>
      <c r="E35" s="168" t="n"/>
      <c r="F35" s="168" t="n"/>
      <c r="G35" s="168" t="n"/>
      <c r="H35" s="168" t="n"/>
      <c r="I35" s="168" t="n"/>
      <c r="J35" s="168" t="n"/>
      <c r="K35" s="168" t="n"/>
      <c r="L35" s="168" t="n"/>
      <c r="M35" s="193" t="n"/>
    </row>
    <row r="36">
      <c r="A36" s="31" t="n">
        <v>34</v>
      </c>
      <c r="B36" s="165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93" t="n"/>
    </row>
    <row r="37">
      <c r="A37" s="31" t="n">
        <v>35</v>
      </c>
      <c r="B37" s="165" t="n"/>
      <c r="C37" s="168" t="n"/>
      <c r="D37" s="168" t="n"/>
      <c r="E37" s="168" t="n"/>
      <c r="F37" s="168" t="n"/>
      <c r="G37" s="168" t="n"/>
      <c r="H37" s="168" t="n"/>
      <c r="I37" s="168" t="n"/>
      <c r="J37" s="168" t="n"/>
      <c r="K37" s="168" t="n"/>
      <c r="L37" s="168" t="n"/>
      <c r="M37" s="193" t="n"/>
    </row>
    <row r="38">
      <c r="A38" s="31" t="n">
        <v>36</v>
      </c>
      <c r="B38" s="165" t="n"/>
      <c r="C38" s="168" t="n"/>
      <c r="D38" s="168" t="n"/>
      <c r="E38" s="168" t="n"/>
      <c r="F38" s="168" t="n"/>
      <c r="G38" s="168" t="n"/>
      <c r="H38" s="168" t="n"/>
      <c r="I38" s="168" t="n"/>
      <c r="J38" s="168" t="n"/>
      <c r="K38" s="168" t="n"/>
      <c r="L38" s="168" t="n"/>
      <c r="M38" s="193" t="n"/>
    </row>
    <row r="39">
      <c r="A39" s="31" t="n">
        <v>37</v>
      </c>
      <c r="B39" s="165" t="n"/>
      <c r="C39" s="168" t="n"/>
      <c r="D39" s="168" t="n"/>
      <c r="E39" s="168" t="n"/>
      <c r="F39" s="168" t="n"/>
      <c r="G39" s="168" t="n"/>
      <c r="H39" s="168" t="n"/>
      <c r="I39" s="168" t="n"/>
      <c r="J39" s="168" t="n"/>
      <c r="K39" s="168" t="n"/>
      <c r="L39" s="168" t="n"/>
      <c r="M39" s="193" t="n"/>
    </row>
    <row r="40">
      <c r="A40" s="31" t="n">
        <v>38</v>
      </c>
      <c r="B40" s="165" t="n"/>
      <c r="C40" s="168" t="n"/>
      <c r="D40" s="168" t="n"/>
      <c r="E40" s="168" t="n"/>
      <c r="F40" s="168" t="n"/>
      <c r="G40" s="168" t="n"/>
      <c r="H40" s="168" t="n"/>
      <c r="I40" s="168" t="n"/>
      <c r="J40" s="168" t="n"/>
      <c r="K40" s="168" t="n"/>
      <c r="L40" s="168" t="n"/>
      <c r="M40" s="193" t="n"/>
    </row>
    <row r="41">
      <c r="A41" s="31" t="n">
        <v>39</v>
      </c>
      <c r="B41" s="165" t="n"/>
      <c r="C41" s="168" t="n"/>
      <c r="D41" s="168" t="n"/>
      <c r="E41" s="168" t="n"/>
      <c r="F41" s="168" t="n"/>
      <c r="G41" s="168" t="n"/>
      <c r="H41" s="168" t="n"/>
      <c r="I41" s="168" t="n"/>
      <c r="J41" s="168" t="n"/>
      <c r="K41" s="168" t="n"/>
      <c r="L41" s="168" t="n"/>
      <c r="M41" s="193" t="n"/>
    </row>
    <row r="42" ht="15.75" customHeight="1" thickBot="1">
      <c r="A42" s="31" t="n">
        <v>40</v>
      </c>
      <c r="B42" s="165" t="n"/>
      <c r="C42" s="168" t="n"/>
      <c r="D42" s="168" t="n"/>
      <c r="E42" s="168" t="n"/>
      <c r="F42" s="168" t="n"/>
      <c r="G42" s="168" t="n"/>
      <c r="H42" s="168" t="n"/>
      <c r="I42" s="168" t="n"/>
      <c r="J42" s="168" t="n"/>
      <c r="K42" s="168" t="n"/>
      <c r="L42" s="168" t="n"/>
      <c r="M42" s="194" t="n"/>
    </row>
    <row r="43" ht="15.75" customHeight="1" thickTop="1">
      <c r="A43" s="32" t="inlineStr">
        <is>
          <t>Average</t>
        </is>
      </c>
      <c r="B43" s="169">
        <f>AVERAGE(B3:B42)</f>
        <v/>
      </c>
      <c r="C43" s="169">
        <f>AVERAGE(C3:C42)</f>
        <v/>
      </c>
      <c r="D43" s="169">
        <f>AVERAGE(D3:D42)</f>
        <v/>
      </c>
      <c r="E43" s="169">
        <f>AVERAGE(E3:E42)</f>
        <v/>
      </c>
      <c r="F43" s="169">
        <f>AVERAGE(F3:F42)</f>
        <v/>
      </c>
      <c r="G43" s="169">
        <f>AVERAGE(G3:G42)</f>
        <v/>
      </c>
      <c r="H43" s="169">
        <f>AVERAGE(H3:H42)</f>
        <v/>
      </c>
      <c r="I43" s="169">
        <f>AVERAGE(I3:I42)</f>
        <v/>
      </c>
      <c r="J43" s="169">
        <f>AVERAGE(J3:J42)</f>
        <v/>
      </c>
      <c r="K43" s="169">
        <f>AVERAGE(K3:K42)</f>
        <v/>
      </c>
      <c r="L43" s="169">
        <f>AVERAGE(L3:L42)</f>
        <v/>
      </c>
      <c r="M43" s="33" t="n"/>
    </row>
    <row r="44">
      <c r="A44" s="34" t="inlineStr">
        <is>
          <t>Overall Average</t>
        </is>
      </c>
      <c r="B44" s="170">
        <f>AVERAGEIF(B43:L43, "&lt;&gt;#DIV/0!")</f>
        <v/>
      </c>
      <c r="C44" s="170" t="n"/>
      <c r="D44" s="170" t="n"/>
      <c r="E44" s="170" t="n"/>
      <c r="F44" s="170" t="n"/>
      <c r="G44" s="170" t="n"/>
      <c r="H44" s="170" t="n"/>
      <c r="I44" s="170" t="n"/>
      <c r="J44" s="170" t="n"/>
      <c r="K44" s="170" t="n"/>
      <c r="L44" s="170" t="n"/>
      <c r="M44" s="29" t="n"/>
    </row>
    <row r="45">
      <c r="A45" s="34" t="inlineStr">
        <is>
          <t>Total Students</t>
        </is>
      </c>
      <c r="B45" s="30">
        <f>COUNTIF(B3:B42, "&lt;&gt;")</f>
        <v/>
      </c>
      <c r="C45" s="30">
        <f>COUNTIF(C3:C42, "&lt;&gt;")</f>
        <v/>
      </c>
      <c r="D45" s="30">
        <f>COUNTIF(D3:D42, "&lt;&gt;")</f>
        <v/>
      </c>
      <c r="E45" s="30">
        <f>COUNTIF(E3:E42, "&lt;&gt;")</f>
        <v/>
      </c>
      <c r="F45" s="30">
        <f>COUNTIF(F3:F42, "&lt;&gt;")</f>
        <v/>
      </c>
      <c r="G45" s="30">
        <f>COUNTIF(G3:G42, "&lt;&gt;")</f>
        <v/>
      </c>
      <c r="H45" s="30">
        <f>COUNTIF(H3:H42, "&lt;&gt;")</f>
        <v/>
      </c>
      <c r="I45" s="30">
        <f>COUNTIF(I3:I42, "&lt;&gt;")</f>
        <v/>
      </c>
      <c r="J45" s="30">
        <f>COUNTIF(J3:J42, "&lt;&gt;")</f>
        <v/>
      </c>
      <c r="K45" s="30">
        <f>COUNTIF(K3:K42, "&lt;&gt;")</f>
        <v/>
      </c>
      <c r="L45" s="30">
        <f>COUNTIF(L3:L42, "&lt;&gt;")</f>
        <v/>
      </c>
      <c r="M45" s="29" t="n"/>
    </row>
    <row r="47">
      <c r="B47" s="8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2">
        <f>COUNTIF($E$2:$F$2, "A")</f>
        <v/>
      </c>
      <c r="C48" s="12">
        <f>COUNTIF($E$2:$F$2, "Q")</f>
        <v/>
      </c>
      <c r="D48" s="12">
        <f>COUNTIF($E$2:$F$2, "M")</f>
        <v/>
      </c>
      <c r="E48" s="12">
        <f>COUNTIF($E$2:$F$2, "F")</f>
        <v/>
      </c>
      <c r="F48" s="12">
        <f>COUNTIF($E$2:$F$2, "P")</f>
        <v/>
      </c>
      <c r="G48" s="12">
        <f>COUNTIF($E$2:$F$2, "L")</f>
        <v/>
      </c>
      <c r="H48" s="12">
        <f>COUNTIF($E$2:$F$2, "OT")</f>
        <v/>
      </c>
      <c r="I48" s="8">
        <f>SUM(B48:H48)</f>
        <v/>
      </c>
    </row>
    <row r="49">
      <c r="A49" s="98" t="inlineStr">
        <is>
          <t>D (2nd &amp; 3rd yr)</t>
        </is>
      </c>
      <c r="B49" s="12">
        <f>COUNTIF($C$2, "A") + COUNTIF($G$2:$H$2, "A")</f>
        <v/>
      </c>
      <c r="C49" s="12">
        <f>COUNTIF($C$2, "Q") + COUNTIF($G$2:$H$2, "Q")</f>
        <v/>
      </c>
      <c r="D49" s="12">
        <f>COUNTIF($C$2, "M") + COUNTIF($G$2:$H$2, "M")</f>
        <v/>
      </c>
      <c r="E49" s="12">
        <f>COUNTIF($C$2, "F") + COUNTIF($G$2:$H$2, "F")</f>
        <v/>
      </c>
      <c r="F49" s="12">
        <f>COUNTIF($C$2, "P") + COUNTIF($G$2:$H$2, "P")</f>
        <v/>
      </c>
      <c r="G49" s="12">
        <f>COUNTIF($C$2, "L") + COUNTIF($G$2:$H$2, "L")</f>
        <v/>
      </c>
      <c r="H49" s="12">
        <f>COUNTIF($C$2, "OT") + COUNTIF($G$2:$H$2, "OT")</f>
        <v/>
      </c>
      <c r="I49" s="8">
        <f>SUM(B49:H49)</f>
        <v/>
      </c>
    </row>
    <row r="50">
      <c r="A50" s="99" t="inlineStr">
        <is>
          <t>A (3rd, 4yr)</t>
        </is>
      </c>
      <c r="B50" s="12">
        <f>COUNTIF($B$2, "A") + COUNTIF($D$2, "A") + COUNTIF($I$2:$L$2, "A")</f>
        <v/>
      </c>
      <c r="C50" s="12">
        <f>COUNTIF($B$2, "Q") + COUNTIF($D$2, "Q") + COUNTIF($I$2:$L$2, "Q")</f>
        <v/>
      </c>
      <c r="D50" s="12">
        <f>COUNTIF($B$2, "M") + COUNTIF($D$2, "M") + COUNTIF($I$2:$L$2, "M")</f>
        <v/>
      </c>
      <c r="E50" s="12">
        <f>COUNTIF($B$2, "F") + COUNTIF($D$2, "F") + COUNTIF($I$2:$L$2, "F")</f>
        <v/>
      </c>
      <c r="F50" s="12">
        <f>COUNTIF($B$2, "P") + COUNTIF($D$2, "P") + COUNTIF($I$2:$L$2, "P")</f>
        <v/>
      </c>
      <c r="G50" s="12">
        <f>COUNTIF($B$2, "L") + COUNTIF($D$2, "L") + COUNTIF($I$2:$L$2, "L")</f>
        <v/>
      </c>
      <c r="H50" s="12">
        <f>COUNTIF($B$2, "OT") + COUNTIF($D$2, "OT") + COUNTIF($I$2:$L$2, "OT")</f>
        <v/>
      </c>
      <c r="I50" s="8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SUM(B51:H51)</f>
        <v/>
      </c>
    </row>
    <row r="52">
      <c r="T52" s="164" t="n"/>
      <c r="U52" s="23" t="n"/>
      <c r="V52" s="23" t="n"/>
    </row>
    <row r="53" ht="18.75" customHeight="1" thickBot="1">
      <c r="A53" s="22" t="inlineStr">
        <is>
          <t>Frequency Distribution Analysis</t>
        </is>
      </c>
    </row>
    <row r="54" ht="16.5" customHeight="1" thickBot="1">
      <c r="A54" s="107" t="inlineStr">
        <is>
          <t>Scale</t>
        </is>
      </c>
      <c r="B54" s="28" t="inlineStr">
        <is>
          <t>CENG-3020-1</t>
        </is>
      </c>
      <c r="C54" s="159" t="inlineStr">
        <is>
          <t>ENGR-2000-2</t>
        </is>
      </c>
      <c r="D54" s="28" t="inlineStr">
        <is>
          <t>ENGR-3300-3</t>
        </is>
      </c>
      <c r="E54" s="150" t="inlineStr">
        <is>
          <t>ENGL-1100-2</t>
        </is>
      </c>
      <c r="F54" s="153" t="inlineStr">
        <is>
          <t>ENGR-1200-3
(EPHY 1990)</t>
        </is>
      </c>
      <c r="G54" s="154" t="inlineStr">
        <is>
          <t>ENGR-2300-1</t>
        </is>
      </c>
      <c r="H54" s="154" t="inlineStr">
        <is>
          <t>SENG-3130-3</t>
        </is>
      </c>
      <c r="I54" s="28" t="inlineStr">
        <is>
          <t>SENG-4100-2</t>
        </is>
      </c>
      <c r="J54" s="28" t="inlineStr">
        <is>
          <t>SENG-4110-4</t>
        </is>
      </c>
      <c r="K54" s="28" t="inlineStr">
        <is>
          <t>SENG-4120-2</t>
        </is>
      </c>
      <c r="L54" s="28" t="inlineStr">
        <is>
          <t>SENG-4220-2</t>
        </is>
      </c>
      <c r="M54" s="38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113">
        <f>(COUNTIF(H3:H42, "&lt;=59%"))/H45</f>
        <v/>
      </c>
      <c r="I55" s="113">
        <f>(COUNTIF(I3:I42, "&lt;=59%"))/I45</f>
        <v/>
      </c>
      <c r="J55" s="113">
        <f>(COUNTIF(J3:J42, "&lt;=59%"))/J45</f>
        <v/>
      </c>
      <c r="K55" s="113">
        <f>(COUNTIF(K3:K42, "&lt;=59%"))/K45</f>
        <v/>
      </c>
      <c r="L55" s="113">
        <f>(COUNTIF(L3:L42, "&lt;=59%"))/L45</f>
        <v/>
      </c>
      <c r="M55" s="39">
        <f>AVERAGEIF(B55:L55,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116">
        <f>(COUNTIFS(H3:H42, "&gt;= 60%", H3:H42, "&lt;=69%" ))/H45</f>
        <v/>
      </c>
      <c r="I56" s="116">
        <f>(COUNTIFS(I3:I42, "&gt;= 60%", I3:I42, "&lt;=69%" ))/I45</f>
        <v/>
      </c>
      <c r="J56" s="116">
        <f>(COUNTIFS(J3:J42, "&gt;= 60%", J3:J42, "&lt;=69%" ))/J45</f>
        <v/>
      </c>
      <c r="K56" s="116">
        <f>(COUNTIFS(K3:K42, "&gt;= 60%", K3:K42, "&lt;=69%" ))/K45</f>
        <v/>
      </c>
      <c r="L56" s="116">
        <f>(COUNTIFS(L3:L42, "&gt;= 60%", L3:L42, "&lt;=69%" ))/L45</f>
        <v/>
      </c>
      <c r="M56" s="39">
        <f>AVERAGEIF(B56:L56,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116">
        <f>(COUNTIFS(H3:H42, "&gt;= 70%", H3:H42, "&lt;=79%" ))/H45</f>
        <v/>
      </c>
      <c r="I57" s="116">
        <f>(COUNTIFS(I3:I42, "&gt;= 70%", I3:I42, "&lt;=79%" ))/I45</f>
        <v/>
      </c>
      <c r="J57" s="116">
        <f>(COUNTIFS(J3:J42, "&gt;= 70%", J3:J42, "&lt;=79%" ))/J45</f>
        <v/>
      </c>
      <c r="K57" s="116">
        <f>(COUNTIFS(K3:K42, "&gt;= 70%", K3:K42, "&lt;=79%" ))/K45</f>
        <v/>
      </c>
      <c r="L57" s="116">
        <f>(COUNTIFS(L3:L42, "&gt;= 70%", L3:L42, "&lt;=79%" ))/L45</f>
        <v/>
      </c>
      <c r="M57" s="39">
        <f>AVERAGEIF(B57:L57,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116">
        <f>(COUNTIF(H3:H42,"&gt;= 80%")/H45)</f>
        <v/>
      </c>
      <c r="I58" s="116">
        <f>(COUNTIF(I3:I42,"&gt;= 80%")/I45)</f>
        <v/>
      </c>
      <c r="J58" s="116">
        <f>(COUNTIF(J3:J42,"&gt;= 80%")/J45)</f>
        <v/>
      </c>
      <c r="K58" s="116">
        <f>(COUNTIF(K3:K42,"&gt;= 80%")/K45)</f>
        <v/>
      </c>
      <c r="L58" s="116">
        <f>(COUNTIF(L3:L42,"&gt;= 80%")/L45)</f>
        <v/>
      </c>
      <c r="M58" s="39">
        <f>AVERAGEIF(B58:L58, "&lt;&gt;#DIV/0!")</f>
        <v/>
      </c>
    </row>
    <row r="59" ht="16.5" customHeight="1" thickBot="1" thickTop="1">
      <c r="A59" s="112" t="n"/>
      <c r="B59" s="86">
        <f>SUMIF(B55:B58, "&lt;&gt;#DIV/0!")</f>
        <v/>
      </c>
      <c r="C59" s="86">
        <f>SUMIF(C55:C58, "&lt;&gt;#DIV/0!")</f>
        <v/>
      </c>
      <c r="D59" s="86">
        <f>SUMIF(D55:D58, "&lt;&gt;#DIV/0!")</f>
        <v/>
      </c>
      <c r="E59" s="86">
        <f>SUMIF(E55:E58, "&lt;&gt;#DIV/0!")</f>
        <v/>
      </c>
      <c r="F59" s="86">
        <f>SUMIF(F55:F58, "&lt;&gt;#DIV/0!")</f>
        <v/>
      </c>
      <c r="G59" s="86">
        <f>SUMIF(G55:G58, "&lt;&gt;#DIV/0!")</f>
        <v/>
      </c>
      <c r="H59" s="86">
        <f>SUMIF(H55:H58, "&lt;&gt;#DIV/0!")</f>
        <v/>
      </c>
      <c r="I59" s="86">
        <f>SUMIF(I55:I58, "&lt;&gt;#DIV/0!")</f>
        <v/>
      </c>
      <c r="J59" s="86">
        <f>SUMIF(J55:J58, "&lt;&gt;#DIV/0!")</f>
        <v/>
      </c>
      <c r="K59" s="86">
        <f>SUMIF(K55:K58, "&lt;&gt;#DIV/0!")</f>
        <v/>
      </c>
      <c r="L59" s="86">
        <f>SUMIF(L55:L58, "&lt;&gt;#DIV/0!")</f>
        <v/>
      </c>
      <c r="M59" s="37">
        <f>SUMIF(M55:M58, "&lt;&gt;#DIV/0!")</f>
        <v/>
      </c>
    </row>
    <row r="60" ht="15.75" customHeight="1" thickBot="1"/>
    <row r="61" ht="15.75" customHeight="1" thickBot="1">
      <c r="A61" s="23" t="n"/>
      <c r="B61" s="40" t="inlineStr">
        <is>
          <t>Class Limit</t>
        </is>
      </c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inlineStr">
        <is>
          <t>Bin</t>
        </is>
      </c>
    </row>
    <row r="62" ht="16.5" customHeight="1" thickBot="1">
      <c r="A62" s="36" t="inlineStr">
        <is>
          <t>Exceeds Expectation (A+, A, A-) (%)</t>
        </is>
      </c>
      <c r="B62" s="42" t="inlineStr">
        <is>
          <t>80-100</t>
        </is>
      </c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1" t="n">
        <v>100</v>
      </c>
    </row>
    <row r="63" ht="16.5" customHeight="1" thickBot="1">
      <c r="A63" s="36" t="inlineStr">
        <is>
          <t>Meets Expectation (B+, B, B-) (%)</t>
        </is>
      </c>
      <c r="B63" s="42" t="inlineStr">
        <is>
          <t>70-79</t>
        </is>
      </c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1" t="n">
        <v>79</v>
      </c>
    </row>
    <row r="64" ht="16.5" customHeight="1" thickBot="1">
      <c r="A64" s="36" t="inlineStr">
        <is>
          <t>Marginal (C+, C)  (%)</t>
        </is>
      </c>
      <c r="B64" s="42" t="inlineStr">
        <is>
          <t>60-69</t>
        </is>
      </c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1" t="n">
        <v>69</v>
      </c>
    </row>
    <row r="65" ht="16.5" customHeight="1" thickBot="1">
      <c r="A65" s="36" t="inlineStr">
        <is>
          <t>Below Expectation (C- and below)  (%)</t>
        </is>
      </c>
      <c r="B65" s="42" t="inlineStr">
        <is>
          <t>0-59</t>
        </is>
      </c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1" t="n">
        <v>59</v>
      </c>
    </row>
  </sheetData>
  <mergeCells count="1">
    <mergeCell ref="M3:M42"/>
  </mergeCells>
  <conditionalFormatting sqref="B3:L2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60" operator="greaterThanOrEqual" dxfId="3">
      <formula>80</formula>
    </cfRule>
    <cfRule type="containsBlanks" priority="1361" dxfId="4" stopIfTrue="1">
      <formula>LEN(TRIM(B3))=0</formula>
    </cfRule>
    <cfRule type="cellIs" priority="1362" operator="greaterThanOrEqual" dxfId="3">
      <formula>80</formula>
    </cfRule>
    <cfRule type="cellIs" priority="1363" operator="between" dxfId="2">
      <formula>70</formula>
      <formula>79</formula>
    </cfRule>
    <cfRule type="cellIs" priority="1364" operator="between" dxfId="1">
      <formula>60</formula>
      <formula>69</formula>
    </cfRule>
    <cfRule type="cellIs" priority="1365" operator="between" dxfId="0">
      <formula>0</formula>
      <formula>59</formula>
    </cfRule>
  </conditionalFormatting>
  <conditionalFormatting sqref="B24:L24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67" operator="greaterThanOrEqual" dxfId="3">
      <formula>80</formula>
    </cfRule>
    <cfRule type="containsBlanks" priority="1368" dxfId="4" stopIfTrue="1">
      <formula>LEN(TRIM(B24))=0</formula>
    </cfRule>
    <cfRule type="cellIs" priority="1369" operator="greaterThanOrEqual" dxfId="3">
      <formula>80</formula>
    </cfRule>
    <cfRule type="cellIs" priority="1370" operator="between" dxfId="2">
      <formula>70</formula>
      <formula>79</formula>
    </cfRule>
    <cfRule type="cellIs" priority="1371" operator="between" dxfId="1">
      <formula>60</formula>
      <formula>69</formula>
    </cfRule>
    <cfRule type="cellIs" priority="1372" operator="between" dxfId="0">
      <formula>0</formula>
      <formula>59</formula>
    </cfRule>
  </conditionalFormatting>
  <conditionalFormatting sqref="B25:L25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74" operator="greaterThanOrEqual" dxfId="3">
      <formula>80</formula>
    </cfRule>
    <cfRule type="containsBlanks" priority="1375" dxfId="4" stopIfTrue="1">
      <formula>LEN(TRIM(B25))=0</formula>
    </cfRule>
    <cfRule type="cellIs" priority="1376" operator="greaterThanOrEqual" dxfId="3">
      <formula>80</formula>
    </cfRule>
    <cfRule type="cellIs" priority="1377" operator="between" dxfId="2">
      <formula>70</formula>
      <formula>79</formula>
    </cfRule>
    <cfRule type="cellIs" priority="1378" operator="between" dxfId="1">
      <formula>60</formula>
      <formula>69</formula>
    </cfRule>
    <cfRule type="cellIs" priority="1379" operator="between" dxfId="0">
      <formula>0</formula>
      <formula>59</formula>
    </cfRule>
  </conditionalFormatting>
  <conditionalFormatting sqref="B26:L2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81" operator="greaterThanOrEqual" dxfId="3">
      <formula>80</formula>
    </cfRule>
    <cfRule type="containsBlanks" priority="1382" dxfId="4" stopIfTrue="1">
      <formula>LEN(TRIM(B26))=0</formula>
    </cfRule>
    <cfRule type="cellIs" priority="1383" operator="greaterThanOrEqual" dxfId="3">
      <formula>80</formula>
    </cfRule>
    <cfRule type="cellIs" priority="1384" operator="between" dxfId="2">
      <formula>70</formula>
      <formula>79</formula>
    </cfRule>
    <cfRule type="cellIs" priority="1385" operator="between" dxfId="1">
      <formula>60</formula>
      <formula>69</formula>
    </cfRule>
    <cfRule type="cellIs" priority="1386" operator="between" dxfId="0">
      <formula>0</formula>
      <formula>59</formula>
    </cfRule>
  </conditionalFormatting>
  <conditionalFormatting sqref="B27:L27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88" operator="greaterThanOrEqual" dxfId="3">
      <formula>80</formula>
    </cfRule>
    <cfRule type="containsBlanks" priority="1389" dxfId="4" stopIfTrue="1">
      <formula>LEN(TRIM(B27))=0</formula>
    </cfRule>
    <cfRule type="cellIs" priority="1390" operator="greaterThanOrEqual" dxfId="3">
      <formula>80</formula>
    </cfRule>
    <cfRule type="cellIs" priority="1391" operator="between" dxfId="2">
      <formula>70</formula>
      <formula>79</formula>
    </cfRule>
    <cfRule type="cellIs" priority="1392" operator="between" dxfId="1">
      <formula>60</formula>
      <formula>69</formula>
    </cfRule>
    <cfRule type="cellIs" priority="1393" operator="between" dxfId="0">
      <formula>0</formula>
      <formula>59</formula>
    </cfRule>
  </conditionalFormatting>
  <conditionalFormatting sqref="B28:L28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395" operator="greaterThanOrEqual" dxfId="3">
      <formula>80</formula>
    </cfRule>
    <cfRule type="containsBlanks" priority="1396" dxfId="4" stopIfTrue="1">
      <formula>LEN(TRIM(B28))=0</formula>
    </cfRule>
    <cfRule type="cellIs" priority="1397" operator="greaterThanOrEqual" dxfId="3">
      <formula>80</formula>
    </cfRule>
    <cfRule type="cellIs" priority="1398" operator="between" dxfId="2">
      <formula>70</formula>
      <formula>79</formula>
    </cfRule>
    <cfRule type="cellIs" priority="1399" operator="between" dxfId="1">
      <formula>60</formula>
      <formula>69</formula>
    </cfRule>
    <cfRule type="cellIs" priority="1400" operator="between" dxfId="0">
      <formula>0</formula>
      <formula>59</formula>
    </cfRule>
  </conditionalFormatting>
  <conditionalFormatting sqref="B29:L29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02" operator="greaterThanOrEqual" dxfId="3">
      <formula>80</formula>
    </cfRule>
    <cfRule type="containsBlanks" priority="1403" dxfId="4" stopIfTrue="1">
      <formula>LEN(TRIM(B29))=0</formula>
    </cfRule>
    <cfRule type="cellIs" priority="1404" operator="greaterThanOrEqual" dxfId="3">
      <formula>80</formula>
    </cfRule>
    <cfRule type="cellIs" priority="1405" operator="between" dxfId="2">
      <formula>70</formula>
      <formula>79</formula>
    </cfRule>
    <cfRule type="cellIs" priority="1406" operator="between" dxfId="1">
      <formula>60</formula>
      <formula>69</formula>
    </cfRule>
    <cfRule type="cellIs" priority="1407" operator="between" dxfId="0">
      <formula>0</formula>
      <formula>59</formula>
    </cfRule>
  </conditionalFormatting>
  <conditionalFormatting sqref="B30:L30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09" operator="greaterThanOrEqual" dxfId="3">
      <formula>80</formula>
    </cfRule>
    <cfRule type="containsBlanks" priority="1410" dxfId="4" stopIfTrue="1">
      <formula>LEN(TRIM(B30))=0</formula>
    </cfRule>
    <cfRule type="cellIs" priority="1411" operator="greaterThanOrEqual" dxfId="3">
      <formula>80</formula>
    </cfRule>
    <cfRule type="cellIs" priority="1412" operator="between" dxfId="2">
      <formula>70</formula>
      <formula>79</formula>
    </cfRule>
    <cfRule type="cellIs" priority="1413" operator="between" dxfId="1">
      <formula>60</formula>
      <formula>69</formula>
    </cfRule>
    <cfRule type="cellIs" priority="1414" operator="between" dxfId="0">
      <formula>0</formula>
      <formula>59</formula>
    </cfRule>
  </conditionalFormatting>
  <conditionalFormatting sqref="B31:L3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16" operator="greaterThanOrEqual" dxfId="3">
      <formula>80</formula>
    </cfRule>
    <cfRule type="containsBlanks" priority="1417" dxfId="4" stopIfTrue="1">
      <formula>LEN(TRIM(B31))=0</formula>
    </cfRule>
    <cfRule type="cellIs" priority="1418" operator="greaterThanOrEqual" dxfId="3">
      <formula>80</formula>
    </cfRule>
    <cfRule type="cellIs" priority="1419" operator="between" dxfId="2">
      <formula>70</formula>
      <formula>79</formula>
    </cfRule>
    <cfRule type="cellIs" priority="1420" operator="between" dxfId="1">
      <formula>60</formula>
      <formula>69</formula>
    </cfRule>
    <cfRule type="cellIs" priority="1421" operator="between" dxfId="0">
      <formula>0</formula>
      <formula>59</formula>
    </cfRule>
  </conditionalFormatting>
  <conditionalFormatting sqref="B32:L32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23" operator="greaterThanOrEqual" dxfId="3">
      <formula>80</formula>
    </cfRule>
    <cfRule type="containsBlanks" priority="1424" dxfId="4" stopIfTrue="1">
      <formula>LEN(TRIM(B32))=0</formula>
    </cfRule>
    <cfRule type="cellIs" priority="1425" operator="greaterThanOrEqual" dxfId="3">
      <formula>80</formula>
    </cfRule>
    <cfRule type="cellIs" priority="1426" operator="between" dxfId="2">
      <formula>70</formula>
      <formula>79</formula>
    </cfRule>
    <cfRule type="cellIs" priority="1427" operator="between" dxfId="1">
      <formula>60</formula>
      <formula>69</formula>
    </cfRule>
    <cfRule type="cellIs" priority="1428" operator="between" dxfId="0">
      <formula>0</formula>
      <formula>59</formula>
    </cfRule>
  </conditionalFormatting>
  <conditionalFormatting sqref="B33:L33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30" operator="greaterThanOrEqual" dxfId="3">
      <formula>80</formula>
    </cfRule>
    <cfRule type="containsBlanks" priority="1431" dxfId="4" stopIfTrue="1">
      <formula>LEN(TRIM(B33))=0</formula>
    </cfRule>
    <cfRule type="cellIs" priority="1432" operator="greaterThanOrEqual" dxfId="3">
      <formula>80</formula>
    </cfRule>
    <cfRule type="cellIs" priority="1433" operator="between" dxfId="2">
      <formula>70</formula>
      <formula>79</formula>
    </cfRule>
    <cfRule type="cellIs" priority="1434" operator="between" dxfId="1">
      <formula>60</formula>
      <formula>69</formula>
    </cfRule>
    <cfRule type="cellIs" priority="1435" operator="between" dxfId="0">
      <formula>0</formula>
      <formula>59</formula>
    </cfRule>
  </conditionalFormatting>
  <conditionalFormatting sqref="B34:L34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37" operator="greaterThanOrEqual" dxfId="3">
      <formula>80</formula>
    </cfRule>
    <cfRule type="containsBlanks" priority="1438" dxfId="4" stopIfTrue="1">
      <formula>LEN(TRIM(B34))=0</formula>
    </cfRule>
    <cfRule type="cellIs" priority="1439" operator="greaterThanOrEqual" dxfId="3">
      <formula>80</formula>
    </cfRule>
    <cfRule type="cellIs" priority="1440" operator="between" dxfId="2">
      <formula>70</formula>
      <formula>79</formula>
    </cfRule>
    <cfRule type="cellIs" priority="1441" operator="between" dxfId="1">
      <formula>60</formula>
      <formula>69</formula>
    </cfRule>
    <cfRule type="cellIs" priority="1442" operator="between" dxfId="0">
      <formula>0</formula>
      <formula>59</formula>
    </cfRule>
  </conditionalFormatting>
  <conditionalFormatting sqref="B35:L35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44" operator="greaterThanOrEqual" dxfId="3">
      <formula>80</formula>
    </cfRule>
    <cfRule type="containsBlanks" priority="1445" dxfId="4" stopIfTrue="1">
      <formula>LEN(TRIM(B35))=0</formula>
    </cfRule>
    <cfRule type="cellIs" priority="1446" operator="greaterThanOrEqual" dxfId="3">
      <formula>80</formula>
    </cfRule>
    <cfRule type="cellIs" priority="1447" operator="between" dxfId="2">
      <formula>70</formula>
      <formula>79</formula>
    </cfRule>
    <cfRule type="cellIs" priority="1448" operator="between" dxfId="1">
      <formula>60</formula>
      <formula>69</formula>
    </cfRule>
    <cfRule type="cellIs" priority="1449" operator="between" dxfId="0">
      <formula>0</formula>
      <formula>59</formula>
    </cfRule>
  </conditionalFormatting>
  <conditionalFormatting sqref="B36:L3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51" operator="greaterThanOrEqual" dxfId="3">
      <formula>80</formula>
    </cfRule>
    <cfRule type="containsBlanks" priority="1452" dxfId="4" stopIfTrue="1">
      <formula>LEN(TRIM(B36))=0</formula>
    </cfRule>
    <cfRule type="cellIs" priority="1453" operator="greaterThanOrEqual" dxfId="3">
      <formula>80</formula>
    </cfRule>
    <cfRule type="cellIs" priority="1454" operator="between" dxfId="2">
      <formula>70</formula>
      <formula>79</formula>
    </cfRule>
    <cfRule type="cellIs" priority="1455" operator="between" dxfId="1">
      <formula>60</formula>
      <formula>69</formula>
    </cfRule>
    <cfRule type="cellIs" priority="1456" operator="between" dxfId="0">
      <formula>0</formula>
      <formula>59</formula>
    </cfRule>
  </conditionalFormatting>
  <conditionalFormatting sqref="B37:L37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58" operator="greaterThanOrEqual" dxfId="3">
      <formula>80</formula>
    </cfRule>
    <cfRule type="containsBlanks" priority="1459" dxfId="4" stopIfTrue="1">
      <formula>LEN(TRIM(B37))=0</formula>
    </cfRule>
    <cfRule type="cellIs" priority="1460" operator="greaterThanOrEqual" dxfId="3">
      <formula>80</formula>
    </cfRule>
    <cfRule type="cellIs" priority="1461" operator="between" dxfId="2">
      <formula>70</formula>
      <formula>79</formula>
    </cfRule>
    <cfRule type="cellIs" priority="1462" operator="between" dxfId="1">
      <formula>60</formula>
      <formula>69</formula>
    </cfRule>
    <cfRule type="cellIs" priority="1463" operator="between" dxfId="0">
      <formula>0</formula>
      <formula>59</formula>
    </cfRule>
  </conditionalFormatting>
  <conditionalFormatting sqref="B38:L38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65" operator="greaterThanOrEqual" dxfId="3">
      <formula>80</formula>
    </cfRule>
    <cfRule type="containsBlanks" priority="1466" dxfId="4" stopIfTrue="1">
      <formula>LEN(TRIM(B38))=0</formula>
    </cfRule>
    <cfRule type="cellIs" priority="1467" operator="greaterThanOrEqual" dxfId="3">
      <formula>80</formula>
    </cfRule>
    <cfRule type="cellIs" priority="1468" operator="between" dxfId="2">
      <formula>70</formula>
      <formula>79</formula>
    </cfRule>
    <cfRule type="cellIs" priority="1469" operator="between" dxfId="1">
      <formula>60</formula>
      <formula>69</formula>
    </cfRule>
    <cfRule type="cellIs" priority="1470" operator="between" dxfId="0">
      <formula>0</formula>
      <formula>59</formula>
    </cfRule>
  </conditionalFormatting>
  <conditionalFormatting sqref="B39:L3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72" operator="greaterThanOrEqual" dxfId="3">
      <formula>80</formula>
    </cfRule>
    <cfRule type="containsBlanks" priority="1473" dxfId="4" stopIfTrue="1">
      <formula>LEN(TRIM(B39))=0</formula>
    </cfRule>
    <cfRule type="cellIs" priority="1474" operator="greaterThanOrEqual" dxfId="3">
      <formula>80</formula>
    </cfRule>
    <cfRule type="cellIs" priority="1475" operator="between" dxfId="2">
      <formula>70</formula>
      <formula>79</formula>
    </cfRule>
    <cfRule type="cellIs" priority="1476" operator="between" dxfId="1">
      <formula>60</formula>
      <formula>69</formula>
    </cfRule>
    <cfRule type="cellIs" priority="1477" operator="between" dxfId="0">
      <formula>0</formula>
      <formula>59</formula>
    </cfRule>
  </conditionalFormatting>
  <conditionalFormatting sqref="B40:L40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79" operator="greaterThanOrEqual" dxfId="3">
      <formula>80</formula>
    </cfRule>
    <cfRule type="containsBlanks" priority="1480" dxfId="4" stopIfTrue="1">
      <formula>LEN(TRIM(B40))=0</formula>
    </cfRule>
    <cfRule type="cellIs" priority="1481" operator="greaterThanOrEqual" dxfId="3">
      <formula>80</formula>
    </cfRule>
    <cfRule type="cellIs" priority="1482" operator="between" dxfId="2">
      <formula>70</formula>
      <formula>79</formula>
    </cfRule>
    <cfRule type="cellIs" priority="1483" operator="between" dxfId="1">
      <formula>60</formula>
      <formula>69</formula>
    </cfRule>
    <cfRule type="cellIs" priority="1484" operator="between" dxfId="0">
      <formula>0</formula>
      <formula>59</formula>
    </cfRule>
  </conditionalFormatting>
  <conditionalFormatting sqref="B41:L4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86" operator="greaterThanOrEqual" dxfId="3">
      <formula>80</formula>
    </cfRule>
    <cfRule type="containsBlanks" priority="1487" dxfId="4" stopIfTrue="1">
      <formula>LEN(TRIM(B41))=0</formula>
    </cfRule>
    <cfRule type="cellIs" priority="1488" operator="greaterThanOrEqual" dxfId="3">
      <formula>80</formula>
    </cfRule>
    <cfRule type="cellIs" priority="1489" operator="between" dxfId="2">
      <formula>70</formula>
      <formula>79</formula>
    </cfRule>
    <cfRule type="cellIs" priority="1490" operator="between" dxfId="1">
      <formula>60</formula>
      <formula>69</formula>
    </cfRule>
    <cfRule type="cellIs" priority="1491" operator="between" dxfId="0">
      <formula>0</formula>
      <formula>59</formula>
    </cfRule>
  </conditionalFormatting>
  <conditionalFormatting sqref="B42:L42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493" operator="greaterThanOrEqual" dxfId="3">
      <formula>80</formula>
    </cfRule>
    <cfRule type="containsBlanks" priority="1494" dxfId="4" stopIfTrue="1">
      <formula>LEN(TRIM(B42))=0</formula>
    </cfRule>
    <cfRule type="cellIs" priority="1495" operator="greaterThanOrEqual" dxfId="3">
      <formula>80</formula>
    </cfRule>
    <cfRule type="cellIs" priority="1496" operator="between" dxfId="2">
      <formula>70</formula>
      <formula>79</formula>
    </cfRule>
    <cfRule type="cellIs" priority="1497" operator="between" dxfId="1">
      <formula>60</formula>
      <formula>69</formula>
    </cfRule>
    <cfRule type="cellIs" priority="1498" operator="between" dxfId="0">
      <formula>0</formula>
      <formula>59</formula>
    </cfRule>
  </conditionalFormatting>
  <dataValidations count="1">
    <dataValidation sqref="B2:L2" showErrorMessage="1" showInputMessage="1" allowBlank="1" type="list">
      <formula1>$O$5:$O$11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5"/>
  <sheetViews>
    <sheetView topLeftCell="A32" zoomScale="70" zoomScaleNormal="70" workbookViewId="0">
      <selection activeCell="B55" sqref="B55:B58"/>
    </sheetView>
  </sheetViews>
  <sheetFormatPr baseColWidth="8" defaultColWidth="9.28515625" defaultRowHeight="15" outlineLevelCol="0"/>
  <cols>
    <col width="44.85546875" bestFit="1" customWidth="1" min="1" max="1"/>
    <col width="18.85546875" bestFit="1" customWidth="1" min="2" max="2"/>
    <col width="14.85546875" bestFit="1" customWidth="1" min="3" max="3"/>
    <col width="15.85546875" bestFit="1" customWidth="1" min="4" max="4"/>
    <col width="17.7109375" bestFit="1" customWidth="1" min="5" max="5"/>
    <col width="15.28515625" bestFit="1" customWidth="1" min="6" max="6"/>
    <col width="14.85546875" bestFit="1" customWidth="1" min="7" max="7"/>
    <col width="17.7109375" bestFit="1" customWidth="1" min="8" max="8"/>
    <col width="14.85546875" bestFit="1" customWidth="1" min="9" max="11"/>
    <col width="14.42578125" bestFit="1" customWidth="1" min="12" max="12"/>
    <col width="14.85546875" bestFit="1" customWidth="1" min="13" max="13"/>
    <col width="15.28515625" bestFit="1" customWidth="1" min="14" max="14"/>
    <col width="9.28515625" bestFit="1" customWidth="1" min="15" max="15"/>
    <col width="13.85546875" bestFit="1" customWidth="1" min="16" max="16"/>
    <col width="9.7109375" bestFit="1" customWidth="1" min="17" max="17"/>
    <col width="4.28515625" bestFit="1" customWidth="1" min="18" max="18"/>
    <col width="7.42578125" bestFit="1" customWidth="1" min="19" max="19"/>
    <col width="9.28515625" customWidth="1" min="21" max="21"/>
  </cols>
  <sheetData>
    <row r="1">
      <c r="A1" s="8" t="inlineStr">
        <is>
          <t>Student Number</t>
        </is>
      </c>
      <c r="B1" s="153" t="inlineStr">
        <is>
          <t>ENGR-1200-4</t>
        </is>
      </c>
      <c r="C1" s="159" t="inlineStr">
        <is>
          <t>ENGR-2000-1</t>
        </is>
      </c>
      <c r="D1" s="159" t="inlineStr">
        <is>
          <t>ENGR-2000-7</t>
        </is>
      </c>
      <c r="E1" s="153" t="inlineStr">
        <is>
          <t>ENGR-2200-2</t>
        </is>
      </c>
      <c r="F1" s="153" t="inlineStr">
        <is>
          <t>ENGR-2200-4</t>
        </is>
      </c>
      <c r="G1" s="154" t="inlineStr">
        <is>
          <t>ENGR-2400-1</t>
        </is>
      </c>
      <c r="H1" s="154" t="inlineStr">
        <is>
          <t>ENGR-2400-4</t>
        </is>
      </c>
      <c r="I1" s="28" t="inlineStr">
        <is>
          <t>ENGR-3300-1</t>
        </is>
      </c>
      <c r="J1" s="154" t="inlineStr">
        <is>
          <t>SENG-3130-4</t>
        </is>
      </c>
      <c r="K1" s="154" t="inlineStr">
        <is>
          <t>SENG-3130-5</t>
        </is>
      </c>
      <c r="L1" s="28" t="inlineStr">
        <is>
          <t>SENG-4110-7</t>
        </is>
      </c>
      <c r="M1" s="28" t="inlineStr">
        <is>
          <t>SENG-4220-1</t>
        </is>
      </c>
      <c r="N1" s="28" t="inlineStr">
        <is>
          <t>SENG-4220-5</t>
        </is>
      </c>
      <c r="O1" s="28">
        <f>COUNTA(B1:N1)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28">
        <f>COUNTIF(B2:N2, "&lt;&gt;")</f>
        <v/>
      </c>
    </row>
    <row r="3">
      <c r="A3" s="29" t="n">
        <v>1</v>
      </c>
      <c r="B3" s="165" t="n"/>
      <c r="C3" s="165" t="n"/>
      <c r="D3" s="165" t="n"/>
      <c r="E3" s="165" t="n"/>
      <c r="F3" s="165" t="n"/>
      <c r="G3" s="165" t="n"/>
      <c r="H3" s="165" t="n"/>
      <c r="I3" s="165" t="n"/>
      <c r="J3" s="165" t="n"/>
      <c r="K3" s="165" t="n"/>
      <c r="L3" s="165" t="n"/>
      <c r="M3" s="165" t="n"/>
      <c r="N3" s="165" t="n"/>
      <c r="O3" s="195" t="n"/>
    </row>
    <row r="4">
      <c r="A4" s="29" t="n">
        <v>2</v>
      </c>
      <c r="B4" s="165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93" t="n"/>
      <c r="R4" s="104" t="inlineStr">
        <is>
          <t>A</t>
        </is>
      </c>
    </row>
    <row r="5">
      <c r="A5" s="29" t="n">
        <v>3</v>
      </c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  <c r="L5" s="165" t="n"/>
      <c r="M5" s="165" t="n"/>
      <c r="N5" s="165" t="n"/>
      <c r="O5" s="193" t="n"/>
      <c r="R5" s="104" t="inlineStr">
        <is>
          <t>Q</t>
        </is>
      </c>
    </row>
    <row r="6">
      <c r="A6" s="29" t="n">
        <v>4</v>
      </c>
      <c r="B6" s="165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93" t="n"/>
      <c r="R6" s="104" t="inlineStr">
        <is>
          <t>M</t>
        </is>
      </c>
    </row>
    <row r="7">
      <c r="A7" s="29" t="n">
        <v>5</v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93" t="n"/>
      <c r="R7" s="104" t="inlineStr">
        <is>
          <t>F</t>
        </is>
      </c>
    </row>
    <row r="8">
      <c r="A8" s="29" t="n">
        <v>6</v>
      </c>
      <c r="B8" s="165" t="n"/>
      <c r="C8" s="165" t="n"/>
      <c r="D8" s="165" t="n"/>
      <c r="E8" s="165" t="n"/>
      <c r="F8" s="165" t="n"/>
      <c r="G8" s="165" t="n"/>
      <c r="H8" s="165" t="n"/>
      <c r="I8" s="165" t="n"/>
      <c r="J8" s="165" t="n"/>
      <c r="K8" s="165" t="n"/>
      <c r="L8" s="165" t="n"/>
      <c r="M8" s="165" t="n"/>
      <c r="N8" s="165" t="n"/>
      <c r="O8" s="193" t="n"/>
      <c r="R8" s="104" t="inlineStr">
        <is>
          <t>P</t>
        </is>
      </c>
    </row>
    <row r="9">
      <c r="A9" s="29" t="n">
        <v>7</v>
      </c>
      <c r="B9" s="165" t="n"/>
      <c r="C9" s="165" t="n"/>
      <c r="D9" s="165" t="n"/>
      <c r="E9" s="165" t="n"/>
      <c r="F9" s="165" t="n"/>
      <c r="G9" s="165" t="n"/>
      <c r="H9" s="165" t="n"/>
      <c r="I9" s="165" t="n"/>
      <c r="J9" s="165" t="n"/>
      <c r="K9" s="165" t="n"/>
      <c r="L9" s="165" t="n"/>
      <c r="M9" s="165" t="n"/>
      <c r="N9" s="165" t="n"/>
      <c r="O9" s="193" t="n"/>
      <c r="R9" s="104" t="inlineStr">
        <is>
          <t>L</t>
        </is>
      </c>
    </row>
    <row r="10">
      <c r="A10" s="29" t="n">
        <v>8</v>
      </c>
      <c r="B10" s="165" t="n"/>
      <c r="C10" s="165" t="n"/>
      <c r="D10" s="165" t="n"/>
      <c r="E10" s="165" t="n"/>
      <c r="F10" s="165" t="n"/>
      <c r="G10" s="165" t="n"/>
      <c r="H10" s="165" t="n"/>
      <c r="I10" s="165" t="n"/>
      <c r="J10" s="165" t="n"/>
      <c r="K10" s="165" t="n"/>
      <c r="L10" s="165" t="n"/>
      <c r="M10" s="165" t="n"/>
      <c r="N10" s="165" t="n"/>
      <c r="O10" s="193" t="n"/>
      <c r="R10" s="104" t="inlineStr">
        <is>
          <t>OT</t>
        </is>
      </c>
    </row>
    <row r="11">
      <c r="A11" s="29" t="n">
        <v>9</v>
      </c>
      <c r="B11" s="165" t="n"/>
      <c r="C11" s="165" t="n"/>
      <c r="D11" s="165" t="n"/>
      <c r="E11" s="165" t="n"/>
      <c r="F11" s="165" t="n"/>
      <c r="G11" s="165" t="n"/>
      <c r="H11" s="165" t="n"/>
      <c r="I11" s="165" t="n"/>
      <c r="J11" s="165" t="n"/>
      <c r="K11" s="165" t="n"/>
      <c r="L11" s="165" t="n"/>
      <c r="M11" s="165" t="n"/>
      <c r="N11" s="165" t="n"/>
      <c r="O11" s="193" t="n"/>
    </row>
    <row r="12">
      <c r="A12" s="29" t="n">
        <v>10</v>
      </c>
      <c r="B12" s="165" t="n"/>
      <c r="C12" s="165" t="n"/>
      <c r="D12" s="165" t="n"/>
      <c r="E12" s="165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93" t="n"/>
    </row>
    <row r="13">
      <c r="A13" s="29" t="n">
        <v>11</v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93" t="n"/>
    </row>
    <row r="14">
      <c r="A14" s="29" t="n">
        <v>12</v>
      </c>
      <c r="B14" s="165" t="n"/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5" t="n"/>
      <c r="L14" s="165" t="n"/>
      <c r="M14" s="165" t="n"/>
      <c r="N14" s="165" t="n"/>
      <c r="O14" s="193" t="n"/>
    </row>
    <row r="15">
      <c r="A15" s="29" t="n">
        <v>13</v>
      </c>
      <c r="B15" s="165" t="n"/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93" t="n"/>
    </row>
    <row r="16">
      <c r="A16" s="29" t="n">
        <v>14</v>
      </c>
      <c r="B16" s="165" t="n"/>
      <c r="C16" s="165" t="n"/>
      <c r="D16" s="165" t="n"/>
      <c r="E16" s="165" t="n"/>
      <c r="F16" s="165" t="n"/>
      <c r="G16" s="165" t="n"/>
      <c r="H16" s="165" t="n"/>
      <c r="I16" s="165" t="n"/>
      <c r="J16" s="165" t="n"/>
      <c r="K16" s="165" t="n"/>
      <c r="L16" s="165" t="n"/>
      <c r="M16" s="165" t="n"/>
      <c r="N16" s="165" t="n"/>
      <c r="O16" s="193" t="n"/>
    </row>
    <row r="17">
      <c r="A17" s="29" t="n">
        <v>15</v>
      </c>
      <c r="B17" s="165" t="n"/>
      <c r="C17" s="165" t="n"/>
      <c r="D17" s="165" t="n"/>
      <c r="E17" s="165" t="n"/>
      <c r="F17" s="165" t="n"/>
      <c r="G17" s="165" t="n"/>
      <c r="H17" s="165" t="n"/>
      <c r="I17" s="165" t="n"/>
      <c r="J17" s="165" t="n"/>
      <c r="K17" s="165" t="n"/>
      <c r="L17" s="165" t="n"/>
      <c r="M17" s="165" t="n"/>
      <c r="N17" s="165" t="n"/>
      <c r="O17" s="193" t="n"/>
    </row>
    <row r="18">
      <c r="A18" s="29" t="n">
        <v>16</v>
      </c>
      <c r="B18" s="165" t="n"/>
      <c r="C18" s="165" t="n"/>
      <c r="D18" s="165" t="n"/>
      <c r="E18" s="165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93" t="n"/>
    </row>
    <row r="19">
      <c r="A19" s="29" t="n">
        <v>17</v>
      </c>
      <c r="B19" s="171" t="n"/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171" t="n"/>
      <c r="N19" s="171" t="n"/>
      <c r="O19" s="193" t="n"/>
    </row>
    <row r="20">
      <c r="A20" s="29" t="n">
        <v>18</v>
      </c>
      <c r="B20" s="171" t="n"/>
      <c r="C20" s="171" t="n"/>
      <c r="D20" s="171" t="n"/>
      <c r="E20" s="171" t="n"/>
      <c r="F20" s="171" t="n"/>
      <c r="G20" s="171" t="n"/>
      <c r="H20" s="171" t="n"/>
      <c r="I20" s="171" t="n"/>
      <c r="J20" s="171" t="n"/>
      <c r="K20" s="171" t="n"/>
      <c r="L20" s="171" t="n"/>
      <c r="M20" s="171" t="n"/>
      <c r="N20" s="171" t="n"/>
      <c r="O20" s="193" t="n"/>
    </row>
    <row r="21">
      <c r="A21" s="29" t="n">
        <v>19</v>
      </c>
      <c r="B21" s="171" t="n"/>
      <c r="C21" s="171" t="n"/>
      <c r="D21" s="171" t="n"/>
      <c r="E21" s="171" t="n"/>
      <c r="F21" s="171" t="n"/>
      <c r="G21" s="171" t="n"/>
      <c r="H21" s="171" t="n"/>
      <c r="I21" s="171" t="n"/>
      <c r="J21" s="171" t="n"/>
      <c r="K21" s="171" t="n"/>
      <c r="L21" s="171" t="n"/>
      <c r="M21" s="171" t="n"/>
      <c r="N21" s="171" t="n"/>
      <c r="O21" s="193" t="n"/>
    </row>
    <row r="22">
      <c r="A22" s="29" t="n">
        <v>20</v>
      </c>
      <c r="B22" s="171" t="n"/>
      <c r="C22" s="171" t="n"/>
      <c r="D22" s="171" t="n"/>
      <c r="E22" s="171" t="n"/>
      <c r="F22" s="171" t="n"/>
      <c r="G22" s="171" t="n"/>
      <c r="H22" s="171" t="n"/>
      <c r="I22" s="171" t="n"/>
      <c r="J22" s="171" t="n"/>
      <c r="K22" s="171" t="n"/>
      <c r="L22" s="171" t="n"/>
      <c r="M22" s="171" t="n"/>
      <c r="N22" s="171" t="n"/>
      <c r="O22" s="193" t="n"/>
    </row>
    <row r="23">
      <c r="A23" s="29" t="n">
        <v>21</v>
      </c>
      <c r="B23" s="171" t="n"/>
      <c r="C23" s="171" t="n"/>
      <c r="D23" s="171" t="n"/>
      <c r="E23" s="171" t="n"/>
      <c r="F23" s="171" t="n"/>
      <c r="G23" s="171" t="n"/>
      <c r="H23" s="171" t="n"/>
      <c r="I23" s="171" t="n"/>
      <c r="J23" s="171" t="n"/>
      <c r="K23" s="171" t="n"/>
      <c r="L23" s="171" t="n"/>
      <c r="M23" s="171" t="n"/>
      <c r="N23" s="171" t="n"/>
      <c r="O23" s="193" t="n"/>
    </row>
    <row r="24">
      <c r="A24" s="29" t="n">
        <v>22</v>
      </c>
      <c r="B24" s="171" t="n"/>
      <c r="C24" s="171" t="n"/>
      <c r="D24" s="171" t="n"/>
      <c r="E24" s="171" t="n"/>
      <c r="F24" s="171" t="n"/>
      <c r="G24" s="171" t="n"/>
      <c r="H24" s="171" t="n"/>
      <c r="I24" s="171" t="n"/>
      <c r="J24" s="171" t="n"/>
      <c r="K24" s="171" t="n"/>
      <c r="L24" s="171" t="n"/>
      <c r="M24" s="171" t="n"/>
      <c r="N24" s="171" t="n"/>
      <c r="O24" s="193" t="n"/>
    </row>
    <row r="25">
      <c r="A25" s="29" t="n">
        <v>23</v>
      </c>
      <c r="B25" s="171" t="n"/>
      <c r="C25" s="171" t="n"/>
      <c r="D25" s="171" t="n"/>
      <c r="E25" s="171" t="n"/>
      <c r="F25" s="171" t="n"/>
      <c r="G25" s="171" t="n"/>
      <c r="H25" s="171" t="n"/>
      <c r="I25" s="171" t="n"/>
      <c r="J25" s="171" t="n"/>
      <c r="K25" s="171" t="n"/>
      <c r="L25" s="171" t="n"/>
      <c r="M25" s="171" t="n"/>
      <c r="N25" s="171" t="n"/>
      <c r="O25" s="193" t="n"/>
    </row>
    <row r="26">
      <c r="A26" s="29" t="n">
        <v>24</v>
      </c>
      <c r="B26" s="171" t="n"/>
      <c r="C26" s="171" t="n"/>
      <c r="D26" s="171" t="n"/>
      <c r="E26" s="171" t="n"/>
      <c r="F26" s="171" t="n"/>
      <c r="G26" s="171" t="n"/>
      <c r="H26" s="171" t="n"/>
      <c r="I26" s="171" t="n"/>
      <c r="J26" s="171" t="n"/>
      <c r="K26" s="171" t="n"/>
      <c r="L26" s="171" t="n"/>
      <c r="M26" s="171" t="n"/>
      <c r="N26" s="171" t="n"/>
      <c r="O26" s="193" t="n"/>
    </row>
    <row r="27">
      <c r="A27" s="29" t="n">
        <v>25</v>
      </c>
      <c r="B27" s="171" t="n"/>
      <c r="C27" s="171" t="n"/>
      <c r="D27" s="171" t="n"/>
      <c r="E27" s="171" t="n"/>
      <c r="F27" s="171" t="n"/>
      <c r="G27" s="171" t="n"/>
      <c r="H27" s="171" t="n"/>
      <c r="I27" s="171" t="n"/>
      <c r="J27" s="171" t="n"/>
      <c r="K27" s="171" t="n"/>
      <c r="L27" s="171" t="n"/>
      <c r="M27" s="171" t="n"/>
      <c r="N27" s="171" t="n"/>
      <c r="O27" s="193" t="n"/>
    </row>
    <row r="28">
      <c r="A28" s="29" t="n">
        <v>26</v>
      </c>
      <c r="B28" s="171" t="n"/>
      <c r="C28" s="171" t="n"/>
      <c r="D28" s="171" t="n"/>
      <c r="E28" s="171" t="n"/>
      <c r="F28" s="171" t="n"/>
      <c r="G28" s="171" t="n"/>
      <c r="H28" s="171" t="n"/>
      <c r="I28" s="171" t="n"/>
      <c r="J28" s="171" t="n"/>
      <c r="K28" s="171" t="n"/>
      <c r="L28" s="171" t="n"/>
      <c r="M28" s="171" t="n"/>
      <c r="N28" s="171" t="n"/>
      <c r="O28" s="193" t="n"/>
    </row>
    <row r="29">
      <c r="A29" s="29" t="n">
        <v>27</v>
      </c>
      <c r="B29" s="171" t="n"/>
      <c r="C29" s="171" t="n"/>
      <c r="D29" s="171" t="n"/>
      <c r="E29" s="171" t="n"/>
      <c r="F29" s="171" t="n"/>
      <c r="G29" s="171" t="n"/>
      <c r="H29" s="171" t="n"/>
      <c r="I29" s="171" t="n"/>
      <c r="J29" s="171" t="n"/>
      <c r="K29" s="171" t="n"/>
      <c r="L29" s="171" t="n"/>
      <c r="M29" s="171" t="n"/>
      <c r="N29" s="171" t="n"/>
      <c r="O29" s="193" t="n"/>
    </row>
    <row r="30">
      <c r="A30" s="29" t="n">
        <v>28</v>
      </c>
      <c r="B30" s="171" t="n"/>
      <c r="C30" s="171" t="n"/>
      <c r="D30" s="171" t="n"/>
      <c r="E30" s="171" t="n"/>
      <c r="F30" s="171" t="n"/>
      <c r="G30" s="171" t="n"/>
      <c r="H30" s="171" t="n"/>
      <c r="I30" s="171" t="n"/>
      <c r="J30" s="171" t="n"/>
      <c r="K30" s="171" t="n"/>
      <c r="L30" s="171" t="n"/>
      <c r="M30" s="171" t="n"/>
      <c r="N30" s="171" t="n"/>
      <c r="O30" s="193" t="n"/>
    </row>
    <row r="31">
      <c r="A31" s="29" t="n">
        <v>29</v>
      </c>
      <c r="B31" s="171" t="n"/>
      <c r="C31" s="171" t="n"/>
      <c r="D31" s="171" t="n"/>
      <c r="E31" s="171" t="n"/>
      <c r="F31" s="171" t="n"/>
      <c r="G31" s="171" t="n"/>
      <c r="H31" s="171" t="n"/>
      <c r="I31" s="171" t="n"/>
      <c r="J31" s="171" t="n"/>
      <c r="K31" s="171" t="n"/>
      <c r="L31" s="171" t="n"/>
      <c r="M31" s="171" t="n"/>
      <c r="N31" s="171" t="n"/>
      <c r="O31" s="193" t="n"/>
    </row>
    <row r="32">
      <c r="A32" s="29" t="n">
        <v>30</v>
      </c>
      <c r="B32" s="171" t="n"/>
      <c r="C32" s="171" t="n"/>
      <c r="D32" s="171" t="n"/>
      <c r="E32" s="171" t="n"/>
      <c r="F32" s="171" t="n"/>
      <c r="G32" s="171" t="n"/>
      <c r="H32" s="171" t="n"/>
      <c r="I32" s="171" t="n"/>
      <c r="J32" s="171" t="n"/>
      <c r="K32" s="171" t="n"/>
      <c r="L32" s="171" t="n"/>
      <c r="M32" s="171" t="n"/>
      <c r="N32" s="171" t="n"/>
      <c r="O32" s="193" t="n"/>
    </row>
    <row r="33">
      <c r="A33" s="29" t="n">
        <v>31</v>
      </c>
      <c r="B33" s="171" t="n"/>
      <c r="C33" s="171" t="n"/>
      <c r="D33" s="171" t="n"/>
      <c r="E33" s="171" t="n"/>
      <c r="F33" s="171" t="n"/>
      <c r="G33" s="171" t="n"/>
      <c r="H33" s="171" t="n"/>
      <c r="I33" s="171" t="n"/>
      <c r="J33" s="171" t="n"/>
      <c r="K33" s="171" t="n"/>
      <c r="L33" s="171" t="n"/>
      <c r="M33" s="171" t="n"/>
      <c r="N33" s="171" t="n"/>
      <c r="O33" s="193" t="n"/>
    </row>
    <row r="34">
      <c r="A34" s="29" t="n">
        <v>32</v>
      </c>
      <c r="B34" s="171" t="n"/>
      <c r="C34" s="171" t="n"/>
      <c r="D34" s="171" t="n"/>
      <c r="E34" s="171" t="n"/>
      <c r="F34" s="171" t="n"/>
      <c r="G34" s="171" t="n"/>
      <c r="H34" s="171" t="n"/>
      <c r="I34" s="171" t="n"/>
      <c r="J34" s="171" t="n"/>
      <c r="K34" s="171" t="n"/>
      <c r="L34" s="171" t="n"/>
      <c r="M34" s="171" t="n"/>
      <c r="N34" s="171" t="n"/>
      <c r="O34" s="193" t="n"/>
    </row>
    <row r="35">
      <c r="A35" s="29" t="n">
        <v>33</v>
      </c>
      <c r="B35" s="171" t="n"/>
      <c r="C35" s="171" t="n"/>
      <c r="D35" s="171" t="n"/>
      <c r="E35" s="171" t="n"/>
      <c r="F35" s="171" t="n"/>
      <c r="G35" s="171" t="n"/>
      <c r="H35" s="171" t="n"/>
      <c r="I35" s="171" t="n"/>
      <c r="J35" s="171" t="n"/>
      <c r="K35" s="171" t="n"/>
      <c r="L35" s="171" t="n"/>
      <c r="M35" s="171" t="n"/>
      <c r="N35" s="171" t="n"/>
      <c r="O35" s="193" t="n"/>
    </row>
    <row r="36">
      <c r="A36" s="29" t="n">
        <v>34</v>
      </c>
      <c r="B36" s="171" t="n"/>
      <c r="C36" s="171" t="n"/>
      <c r="D36" s="171" t="n"/>
      <c r="E36" s="171" t="n"/>
      <c r="F36" s="171" t="n"/>
      <c r="G36" s="171" t="n"/>
      <c r="H36" s="171" t="n"/>
      <c r="I36" s="171" t="n"/>
      <c r="J36" s="171" t="n"/>
      <c r="K36" s="171" t="n"/>
      <c r="L36" s="171" t="n"/>
      <c r="M36" s="171" t="n"/>
      <c r="N36" s="171" t="n"/>
      <c r="O36" s="193" t="n"/>
    </row>
    <row r="37">
      <c r="A37" s="29" t="n">
        <v>35</v>
      </c>
      <c r="B37" s="171" t="n"/>
      <c r="C37" s="171" t="n"/>
      <c r="D37" s="171" t="n"/>
      <c r="E37" s="171" t="n"/>
      <c r="F37" s="171" t="n"/>
      <c r="G37" s="171" t="n"/>
      <c r="H37" s="171" t="n"/>
      <c r="I37" s="171" t="n"/>
      <c r="J37" s="171" t="n"/>
      <c r="K37" s="171" t="n"/>
      <c r="L37" s="171" t="n"/>
      <c r="M37" s="171" t="n"/>
      <c r="N37" s="171" t="n"/>
      <c r="O37" s="193" t="n"/>
    </row>
    <row r="38">
      <c r="A38" s="29" t="n">
        <v>36</v>
      </c>
      <c r="B38" s="171" t="n"/>
      <c r="C38" s="171" t="n"/>
      <c r="D38" s="171" t="n"/>
      <c r="E38" s="171" t="n"/>
      <c r="F38" s="171" t="n"/>
      <c r="G38" s="171" t="n"/>
      <c r="H38" s="171" t="n"/>
      <c r="I38" s="171" t="n"/>
      <c r="J38" s="171" t="n"/>
      <c r="K38" s="171" t="n"/>
      <c r="L38" s="171" t="n"/>
      <c r="M38" s="171" t="n"/>
      <c r="N38" s="171" t="n"/>
      <c r="O38" s="193" t="n"/>
    </row>
    <row r="39">
      <c r="A39" s="29" t="n">
        <v>37</v>
      </c>
      <c r="B39" s="171" t="n"/>
      <c r="C39" s="171" t="n"/>
      <c r="D39" s="171" t="n"/>
      <c r="E39" s="171" t="n"/>
      <c r="F39" s="171" t="n"/>
      <c r="G39" s="171" t="n"/>
      <c r="H39" s="171" t="n"/>
      <c r="I39" s="171" t="n"/>
      <c r="J39" s="171" t="n"/>
      <c r="K39" s="171" t="n"/>
      <c r="L39" s="171" t="n"/>
      <c r="M39" s="171" t="n"/>
      <c r="N39" s="171" t="n"/>
      <c r="O39" s="193" t="n"/>
    </row>
    <row r="40">
      <c r="A40" s="29" t="n">
        <v>38</v>
      </c>
      <c r="B40" s="171" t="n"/>
      <c r="C40" s="171" t="n"/>
      <c r="D40" s="171" t="n"/>
      <c r="E40" s="171" t="n"/>
      <c r="F40" s="171" t="n"/>
      <c r="G40" s="171" t="n"/>
      <c r="H40" s="171" t="n"/>
      <c r="I40" s="171" t="n"/>
      <c r="J40" s="171" t="n"/>
      <c r="K40" s="171" t="n"/>
      <c r="L40" s="171" t="n"/>
      <c r="M40" s="171" t="n"/>
      <c r="N40" s="171" t="n"/>
      <c r="O40" s="193" t="n"/>
    </row>
    <row r="41">
      <c r="A41" s="29" t="n">
        <v>39</v>
      </c>
      <c r="B41" s="171" t="n"/>
      <c r="C41" s="171" t="n"/>
      <c r="D41" s="171" t="n"/>
      <c r="E41" s="171" t="n"/>
      <c r="F41" s="171" t="n"/>
      <c r="G41" s="171" t="n"/>
      <c r="H41" s="171" t="n"/>
      <c r="I41" s="171" t="n"/>
      <c r="J41" s="171" t="n"/>
      <c r="K41" s="171" t="n"/>
      <c r="L41" s="171" t="n"/>
      <c r="M41" s="171" t="n"/>
      <c r="N41" s="171" t="n"/>
      <c r="O41" s="193" t="n"/>
    </row>
    <row r="42" ht="15.75" customHeight="1" thickBot="1">
      <c r="A42" s="29" t="n">
        <v>40</v>
      </c>
      <c r="B42" s="171" t="n"/>
      <c r="C42" s="171" t="n"/>
      <c r="D42" s="171" t="n"/>
      <c r="E42" s="171" t="n"/>
      <c r="F42" s="171" t="n"/>
      <c r="G42" s="171" t="n"/>
      <c r="H42" s="171" t="n"/>
      <c r="I42" s="171" t="n"/>
      <c r="J42" s="171" t="n"/>
      <c r="K42" s="171" t="n"/>
      <c r="L42" s="171" t="n"/>
      <c r="M42" s="171" t="n"/>
      <c r="N42" s="171" t="n"/>
      <c r="O42" s="194" t="n"/>
    </row>
    <row r="43" ht="15.75" customHeight="1" thickTop="1">
      <c r="A43" s="105" t="inlineStr">
        <is>
          <t>Average</t>
        </is>
      </c>
      <c r="B43" s="169">
        <f>AVERAGE(B3:B42)</f>
        <v/>
      </c>
      <c r="C43" s="169">
        <f>AVERAGE(C3:C42)</f>
        <v/>
      </c>
      <c r="D43" s="169">
        <f>AVERAGE(D3:D42)</f>
        <v/>
      </c>
      <c r="E43" s="169">
        <f>AVERAGE(E3:E42)</f>
        <v/>
      </c>
      <c r="F43" s="169">
        <f>AVERAGE(F3:F42)</f>
        <v/>
      </c>
      <c r="G43" s="169">
        <f>AVERAGE(G3:G42)</f>
        <v/>
      </c>
      <c r="H43" s="169">
        <f>AVERAGE(H3:H42)</f>
        <v/>
      </c>
      <c r="I43" s="169">
        <f>AVERAGE(I3:I42)</f>
        <v/>
      </c>
      <c r="J43" s="169">
        <f>AVERAGE(J3:J42)</f>
        <v/>
      </c>
      <c r="K43" s="169">
        <f>AVERAGE(K3:K42)</f>
        <v/>
      </c>
      <c r="L43" s="169">
        <f>AVERAGE(L3:L42)</f>
        <v/>
      </c>
      <c r="M43" s="169">
        <f>AVERAGE(M3:M42)</f>
        <v/>
      </c>
      <c r="N43" s="169">
        <f>AVERAGE(N3:N42)</f>
        <v/>
      </c>
      <c r="O43" s="33" t="n"/>
    </row>
    <row r="44">
      <c r="A44" s="34" t="inlineStr">
        <is>
          <t>Overall Average</t>
        </is>
      </c>
      <c r="B44" s="170">
        <f>AVERAGEIF(B43:N43, "&lt;&gt;#DIV/0!")</f>
        <v/>
      </c>
      <c r="C44" s="170" t="n"/>
      <c r="D44" s="170" t="n"/>
      <c r="E44" s="170" t="n"/>
      <c r="F44" s="170" t="n"/>
      <c r="G44" s="170" t="n"/>
      <c r="H44" s="170" t="n"/>
      <c r="I44" s="170" t="n"/>
      <c r="J44" s="170" t="n"/>
      <c r="K44" s="170" t="n"/>
      <c r="L44" s="170" t="n"/>
      <c r="M44" s="170" t="n"/>
      <c r="N44" s="170" t="n"/>
      <c r="O44" s="30" t="n"/>
    </row>
    <row r="45">
      <c r="A45" s="34" t="inlineStr">
        <is>
          <t>Total Students</t>
        </is>
      </c>
      <c r="B45" s="30">
        <f>COUNTIF(B3:B42, "&lt;&gt;")</f>
        <v/>
      </c>
      <c r="C45" s="30">
        <f>COUNTIF(C3:C42, "&lt;&gt;")</f>
        <v/>
      </c>
      <c r="D45" s="30">
        <f>COUNTIF(D3:D42, "&lt;&gt;")</f>
        <v/>
      </c>
      <c r="E45" s="30">
        <f>COUNTIF(E3:E42, "&lt;&gt;")</f>
        <v/>
      </c>
      <c r="F45" s="30">
        <f>COUNTIF(F3:F42, "&lt;&gt;")</f>
        <v/>
      </c>
      <c r="G45" s="30">
        <f>COUNTIF(G3:G42, "&lt;&gt;")</f>
        <v/>
      </c>
      <c r="H45" s="30">
        <f>COUNTIF(H3:H42, "&lt;&gt;")</f>
        <v/>
      </c>
      <c r="I45" s="30">
        <f>COUNTIF(I3:I42, "&lt;&gt;")</f>
        <v/>
      </c>
      <c r="J45" s="30">
        <f>COUNTIF(J3:J42, "&lt;&gt;")</f>
        <v/>
      </c>
      <c r="K45" s="30">
        <f>COUNTIF(K3:K42, "&lt;&gt;")</f>
        <v/>
      </c>
      <c r="L45" s="30">
        <f>COUNTIF(L3:L42, "&lt;&gt;")</f>
        <v/>
      </c>
      <c r="M45" s="30">
        <f>COUNTIF(M3:M42, "&lt;&gt;")</f>
        <v/>
      </c>
      <c r="N45" s="30">
        <f>COUNTIF(N3:N42, "&lt;&gt;")</f>
        <v/>
      </c>
      <c r="O45" s="30" t="n"/>
    </row>
    <row r="47">
      <c r="B47" s="8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2">
        <f>COUNTIF($B$2, "A") + COUNTIF( $E$2:$F$2, "A")</f>
        <v/>
      </c>
      <c r="C48" s="12">
        <f>COUNTIF($B$2, "Q") + COUNTIF( $E$2:$F$2, "Q")</f>
        <v/>
      </c>
      <c r="D48" s="12">
        <f>COUNTIF($B$2, "M") + COUNTIF( $E$2:$F$2, "M")</f>
        <v/>
      </c>
      <c r="E48" s="12">
        <f>COUNTIF($B$2, "F") + COUNTIF( $E$2:$F$2, "F")</f>
        <v/>
      </c>
      <c r="F48" s="12">
        <f>COUNTIF($B$2, "P") + COUNTIF( $E$2:$F$2, "P")</f>
        <v/>
      </c>
      <c r="G48" s="12">
        <f>COUNTIF($B$2, "L") + COUNTIF( $E$2:$F$2, "L")</f>
        <v/>
      </c>
      <c r="H48" s="12">
        <f>COUNTIF($B$2, "OT") + COUNTIF( $E$2:$F$2, "OT")</f>
        <v/>
      </c>
      <c r="I48" s="8">
        <f>SUM(B48:H48)</f>
        <v/>
      </c>
    </row>
    <row r="49">
      <c r="A49" s="103" t="inlineStr">
        <is>
          <t>D (2nd &amp; 3rd yr)</t>
        </is>
      </c>
      <c r="B49" s="12">
        <f>COUNTIF($C$2:$D$2,"A") + COUNTIF($G$2:$H$2, "A") + COUNTIF($J$2:$K$2, "A")</f>
        <v/>
      </c>
      <c r="C49" s="12">
        <f>COUNTIF($C$2:$D$2,"Q") + COUNTIF($G$2:$H$2, "Q") + COUNTIF($J$2:$K$2, "Q")</f>
        <v/>
      </c>
      <c r="D49" s="12">
        <f>COUNTIF($C$2:$D$2,"M") + COUNTIF($G$2:$H$2, "M") + COUNTIF($J$2:$K$2, "M")</f>
        <v/>
      </c>
      <c r="E49" s="12">
        <f>COUNTIF($C$2:$D$2,"F") + COUNTIF($G$2:$H$2, "F") + COUNTIF($J$2:$K$2, "F")</f>
        <v/>
      </c>
      <c r="F49" s="12">
        <f>COUNTIF($C$2:$D$2,"P") + COUNTIF($G$2:$H$2, "P") + COUNTIF($J$2:$K$2, "P")</f>
        <v/>
      </c>
      <c r="G49" s="12">
        <f>COUNTIF($C$2:$D$2,"L") + COUNTIF($G$2:$H$2, "L") + COUNTIF($J$2:$K$2, "L")</f>
        <v/>
      </c>
      <c r="H49" s="12">
        <f>COUNTIF($C$2:$D$2,"OT") + COUNTIF($G$2:$H$2, "OT") + COUNTIF($J$2:$K$2, "OT")</f>
        <v/>
      </c>
      <c r="I49" s="8">
        <f>SUM(B49:H49)</f>
        <v/>
      </c>
    </row>
    <row r="50">
      <c r="A50" s="99" t="inlineStr">
        <is>
          <t>A (3rd, 4yr)</t>
        </is>
      </c>
      <c r="B50" s="12">
        <f>COUNTIF($I$2, "A") + COUNTIF($L$2:$N$2, "A")</f>
        <v/>
      </c>
      <c r="C50" s="12">
        <f>COUNTIF($I$2, "Q") + COUNTIF($L$2:$N$2, "Q")</f>
        <v/>
      </c>
      <c r="D50" s="12">
        <f>COUNTIF($I$2, "M") + COUNTIF($L$2:$N$2, "M")</f>
        <v/>
      </c>
      <c r="E50" s="12">
        <f>COUNTIF($I$2, "F") + COUNTIF($L$2:$N$2, "F")</f>
        <v/>
      </c>
      <c r="F50" s="12">
        <f>COUNTIF($I$2, "P") + COUNTIF($L$2:$N$2, "P")</f>
        <v/>
      </c>
      <c r="G50" s="12">
        <f>COUNTIF($I$2, "L") + COUNTIF($L$2:$N$2, "L")</f>
        <v/>
      </c>
      <c r="H50" s="12">
        <f>COUNTIF($I$2, "OT") + COUNTIF($L$2:$N$2, "OT")</f>
        <v/>
      </c>
      <c r="I50" s="8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4" t="inlineStr">
        <is>
          <t>Frequency Distribution Analysis</t>
        </is>
      </c>
      <c r="C53" s="84" t="n"/>
      <c r="D53" s="84" t="n"/>
      <c r="E53" s="84" t="n"/>
      <c r="F53" s="84" t="n"/>
      <c r="G53" s="84" t="n"/>
      <c r="H53" s="84" t="n"/>
      <c r="I53" s="84" t="n"/>
      <c r="J53" s="84" t="n"/>
      <c r="K53" s="84" t="n"/>
      <c r="L53" s="84" t="n"/>
      <c r="M53" s="84" t="n"/>
      <c r="N53" s="84" t="n"/>
      <c r="O53" s="83" t="n"/>
      <c r="P53" s="83" t="n"/>
    </row>
    <row r="54" ht="16.5" customHeight="1" thickBot="1">
      <c r="A54" s="35" t="inlineStr">
        <is>
          <t>Scale</t>
        </is>
      </c>
      <c r="B54" s="153" t="inlineStr">
        <is>
          <t>ENGR-1200-4</t>
        </is>
      </c>
      <c r="C54" s="159" t="inlineStr">
        <is>
          <t>ENGR-2000-1</t>
        </is>
      </c>
      <c r="D54" s="159" t="inlineStr">
        <is>
          <t>ENGR-2000-7</t>
        </is>
      </c>
      <c r="E54" s="153" t="inlineStr">
        <is>
          <t>ENGR-2200-2</t>
        </is>
      </c>
      <c r="F54" s="153" t="inlineStr">
        <is>
          <t>ENGR-2200-4</t>
        </is>
      </c>
      <c r="G54" s="154" t="inlineStr">
        <is>
          <t>ENGR-2400-1</t>
        </is>
      </c>
      <c r="H54" s="154" t="inlineStr">
        <is>
          <t>ENGR-2400-4</t>
        </is>
      </c>
      <c r="I54" s="28" t="inlineStr">
        <is>
          <t>ENGR-3300-1</t>
        </is>
      </c>
      <c r="J54" s="154" t="inlineStr">
        <is>
          <t>SENG-3130-4</t>
        </is>
      </c>
      <c r="K54" s="154" t="inlineStr">
        <is>
          <t>SENG-3130-5</t>
        </is>
      </c>
      <c r="L54" s="28" t="inlineStr">
        <is>
          <t>SENG-4110-7</t>
        </is>
      </c>
      <c r="M54" s="28" t="inlineStr">
        <is>
          <t>SENG-4220-1</t>
        </is>
      </c>
      <c r="N54" s="28" t="inlineStr">
        <is>
          <t>SENG-4220-5</t>
        </is>
      </c>
      <c r="O54" s="118" t="inlineStr">
        <is>
          <t>Average</t>
        </is>
      </c>
    </row>
    <row r="55" ht="16.5" customHeight="1" thickBot="1">
      <c r="A55" s="100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113">
        <f>(COUNTIF(H3:H42, "&lt;=59%"))/H45</f>
        <v/>
      </c>
      <c r="I55" s="113">
        <f>(COUNTIF(I3:I42, "&lt;=59%"))/I45</f>
        <v/>
      </c>
      <c r="J55" s="113">
        <f>(COUNTIF(J3:J42, "&lt;=59%"))/J45</f>
        <v/>
      </c>
      <c r="K55" s="113">
        <f>(COUNTIF(K3:K42, "&lt;=59%"))/K45</f>
        <v/>
      </c>
      <c r="L55" s="113">
        <f>(COUNTIF(L3:L42, "&lt;=59%"))/L45</f>
        <v/>
      </c>
      <c r="M55" s="113">
        <f>(COUNTIF(M3:M42, "&lt;=59%"))/M45</f>
        <v/>
      </c>
      <c r="N55" s="113">
        <f>(COUNTIF(N3:N42, "&lt;=59%"))/N45</f>
        <v/>
      </c>
      <c r="O55" s="39">
        <f>AVERAGEIF(B55:N55, "&lt;&gt;#DIV/0!")</f>
        <v/>
      </c>
    </row>
    <row r="56" ht="16.5" customHeight="1" thickBot="1">
      <c r="A56" s="101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116">
        <f>(COUNTIFS(H3:H42, "&gt;= 60%", H3:H42, "&lt;=69%" ))/H45</f>
        <v/>
      </c>
      <c r="I56" s="116">
        <f>(COUNTIFS(I3:I42, "&gt;= 60%", I3:I42, "&lt;=69%" ))/I45</f>
        <v/>
      </c>
      <c r="J56" s="116">
        <f>(COUNTIFS(J3:J42, "&gt;= 60%", J3:J42, "&lt;=69%" ))/J45</f>
        <v/>
      </c>
      <c r="K56" s="116">
        <f>(COUNTIFS(K3:K42, "&gt;= 60%", K3:K42, "&lt;=69%" ))/K45</f>
        <v/>
      </c>
      <c r="L56" s="116">
        <f>(COUNTIFS(L3:L42, "&gt;= 60%", L3:L42, "&lt;=69%" ))/L45</f>
        <v/>
      </c>
      <c r="M56" s="116">
        <f>(COUNTIFS(M3:M42, "&gt;= 60%", M3:M42, "&lt;=69%" ))/M45</f>
        <v/>
      </c>
      <c r="N56" s="116">
        <f>(COUNTIFS(N3:N42, "&gt;= 60%", N3:N42, "&lt;=69%" ))/N45</f>
        <v/>
      </c>
      <c r="O56" s="39">
        <f>AVERAGEIF(B56:N56, "&lt;&gt;#DIV/0!")</f>
        <v/>
      </c>
    </row>
    <row r="57" ht="16.5" customHeight="1" thickBot="1">
      <c r="A57" s="96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116">
        <f>(COUNTIFS(H3:H42, "&gt;= 70%", H3:H42, "&lt;=79%" ))/H45</f>
        <v/>
      </c>
      <c r="I57" s="116">
        <f>(COUNTIFS(I3:I42, "&gt;= 70%", I3:I42, "&lt;=79%" ))/I45</f>
        <v/>
      </c>
      <c r="J57" s="116">
        <f>(COUNTIFS(J3:J42, "&gt;= 70%", J3:J42, "&lt;=79%" ))/J45</f>
        <v/>
      </c>
      <c r="K57" s="116">
        <f>(COUNTIFS(K3:K42, "&gt;= 70%", K3:K42, "&lt;=79%" ))/K45</f>
        <v/>
      </c>
      <c r="L57" s="116">
        <f>(COUNTIFS(L3:L42, "&gt;= 70%", L3:L42, "&lt;=79%" ))/L45</f>
        <v/>
      </c>
      <c r="M57" s="116">
        <f>(COUNTIFS(M3:M42, "&gt;= 70%", M3:M42, "&lt;=79%" ))/M45</f>
        <v/>
      </c>
      <c r="N57" s="116">
        <f>(COUNTIFS(N3:N42, "&gt;= 70%", N3:N42, "&lt;=79%" ))/N45</f>
        <v/>
      </c>
      <c r="O57" s="39">
        <f>AVERAGEIF(B57:N57, "&lt;&gt;#DIV/0!")</f>
        <v/>
      </c>
    </row>
    <row r="58" ht="16.5" customHeight="1" thickBot="1">
      <c r="A58" s="102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116">
        <f>(COUNTIF(H3:H42,"&gt;= 80%")/H45)</f>
        <v/>
      </c>
      <c r="I58" s="116">
        <f>(COUNTIF(I3:I42,"&gt;= 80%")/I45)</f>
        <v/>
      </c>
      <c r="J58" s="116">
        <f>(COUNTIF(J3:J42,"&gt;= 80%")/J45)</f>
        <v/>
      </c>
      <c r="K58" s="116">
        <f>(COUNTIF(K3:K42,"&gt;= 80%")/K45)</f>
        <v/>
      </c>
      <c r="L58" s="116">
        <f>(COUNTIF(L3:L42,"&gt;= 80%")/L45)</f>
        <v/>
      </c>
      <c r="M58" s="116">
        <f>(COUNTIF(M3:M42,"&gt;= 80%")/M45)</f>
        <v/>
      </c>
      <c r="N58" s="116">
        <f>(COUNTIF(N3:N42,"&gt;= 80%")/N45)</f>
        <v/>
      </c>
      <c r="O58" s="39">
        <f>AVERAGEIF(B58:N58, "&lt;&gt;#DIV/0!")</f>
        <v/>
      </c>
    </row>
    <row r="59" ht="16.5" customHeight="1" thickBot="1" thickTop="1">
      <c r="A59" s="42" t="n"/>
      <c r="B59" s="86">
        <f>SUMIF(B55:B58, "&lt;&gt;#DIV/0!")</f>
        <v/>
      </c>
      <c r="C59" s="86">
        <f>SUMIF(C55:C58, "&lt;&gt;#DIV/0!")</f>
        <v/>
      </c>
      <c r="D59" s="86">
        <f>SUMIF(D55:D58, "&lt;&gt;#DIV/0!")</f>
        <v/>
      </c>
      <c r="E59" s="86">
        <f>SUMIF(E55:E58, "&lt;&gt;#DIV/0!")</f>
        <v/>
      </c>
      <c r="F59" s="86">
        <f>SUMIF(F55:F58, "&lt;&gt;#DIV/0!")</f>
        <v/>
      </c>
      <c r="G59" s="86">
        <f>SUMIF(G55:G58, "&lt;&gt;#DIV/0!")</f>
        <v/>
      </c>
      <c r="H59" s="86">
        <f>SUMIF(H55:H58, "&lt;&gt;#DIV/0!")</f>
        <v/>
      </c>
      <c r="I59" s="86">
        <f>SUMIF(I55:I58, "&lt;&gt;#DIV/0!")</f>
        <v/>
      </c>
      <c r="J59" s="86">
        <f>SUMIF(J55:J58, "&lt;&gt;#DIV/0!")</f>
        <v/>
      </c>
      <c r="K59" s="86">
        <f>SUMIF(K55:K58, "&lt;&gt;#DIV/0!")</f>
        <v/>
      </c>
      <c r="L59" s="86">
        <f>SUMIF(L55:L58, "&lt;&gt;#DIV/0!")</f>
        <v/>
      </c>
      <c r="M59" s="86">
        <f>SUMIF(M55:M58, "&lt;&gt;#DIV/0!")</f>
        <v/>
      </c>
      <c r="N59" s="86">
        <f>SUMIF(N55:N58, "&lt;&gt;#DIV/0!")</f>
        <v/>
      </c>
      <c r="O59" s="86">
        <f>SUMIF(O55:O58, "&lt;&gt;#DIV/0!")</f>
        <v/>
      </c>
    </row>
    <row r="60" ht="15.75" customHeight="1" thickBot="1"/>
    <row r="61" ht="15.75" customHeight="1" thickBot="1">
      <c r="A61" s="23" t="n"/>
      <c r="B61" s="40" t="inlineStr">
        <is>
          <t>Class Limit</t>
        </is>
      </c>
      <c r="C61" s="40" t="inlineStr">
        <is>
          <t>Bin</t>
        </is>
      </c>
      <c r="D61" s="157" t="n"/>
      <c r="E61" s="157" t="n"/>
      <c r="F61" s="157" t="n"/>
      <c r="G61" s="157" t="n"/>
      <c r="H61" s="157" t="n"/>
      <c r="I61" s="157" t="n"/>
      <c r="J61" s="157" t="n"/>
      <c r="K61" s="157" t="n"/>
      <c r="L61" s="157" t="n"/>
      <c r="M61" s="157" t="n"/>
      <c r="N61" s="157" t="n"/>
    </row>
    <row r="62" ht="16.5" customHeight="1" thickBot="1">
      <c r="A62" s="36" t="inlineStr">
        <is>
          <t>Exceeds Expectation (A+, A, A-) (%)</t>
        </is>
      </c>
      <c r="B62" s="42" t="inlineStr">
        <is>
          <t>80-100</t>
        </is>
      </c>
      <c r="C62" s="41" t="n">
        <v>100</v>
      </c>
      <c r="D62" s="158" t="n"/>
      <c r="E62" s="158" t="n"/>
      <c r="F62" s="158" t="n"/>
      <c r="G62" s="158" t="n"/>
      <c r="H62" s="158" t="n"/>
      <c r="I62" s="158" t="n"/>
      <c r="J62" s="158" t="n"/>
      <c r="K62" s="158" t="n"/>
      <c r="L62" s="158" t="n"/>
      <c r="M62" s="158" t="n"/>
      <c r="N62" s="158" t="n"/>
    </row>
    <row r="63" ht="16.5" customHeight="1" thickBot="1">
      <c r="A63" s="36" t="inlineStr">
        <is>
          <t>Meets Expectation (B+, B, B-) (%)</t>
        </is>
      </c>
      <c r="B63" s="42" t="inlineStr">
        <is>
          <t>70-79</t>
        </is>
      </c>
      <c r="C63" s="41" t="n">
        <v>79</v>
      </c>
      <c r="D63" s="158" t="n"/>
      <c r="E63" s="158" t="n"/>
      <c r="F63" s="158" t="n"/>
      <c r="G63" s="158" t="n"/>
      <c r="H63" s="158" t="n"/>
      <c r="I63" s="158" t="n"/>
      <c r="J63" s="158" t="n"/>
      <c r="K63" s="158" t="n"/>
      <c r="L63" s="158" t="n"/>
      <c r="M63" s="158" t="n"/>
      <c r="N63" s="158" t="n"/>
    </row>
    <row r="64" ht="16.5" customHeight="1" thickBot="1">
      <c r="A64" s="36" t="inlineStr">
        <is>
          <t>Marginal (C+, C)  (%)</t>
        </is>
      </c>
      <c r="B64" s="42" t="inlineStr">
        <is>
          <t>60-69</t>
        </is>
      </c>
      <c r="C64" s="41" t="n">
        <v>69</v>
      </c>
      <c r="D64" s="158" t="n"/>
      <c r="E64" s="158" t="n"/>
      <c r="F64" s="158" t="n"/>
      <c r="G64" s="158" t="n"/>
      <c r="H64" s="158" t="n"/>
      <c r="I64" s="158" t="n"/>
      <c r="J64" s="158" t="n"/>
      <c r="K64" s="158" t="n"/>
      <c r="L64" s="158" t="n"/>
      <c r="M64" s="158" t="n"/>
      <c r="N64" s="158" t="n"/>
    </row>
    <row r="65" ht="16.5" customHeight="1" thickBot="1">
      <c r="A65" s="36" t="inlineStr">
        <is>
          <t>Below Expectation (C- and below)  (%)</t>
        </is>
      </c>
      <c r="B65" s="42" t="inlineStr">
        <is>
          <t>0-59</t>
        </is>
      </c>
      <c r="C65" s="41" t="n">
        <v>59</v>
      </c>
      <c r="D65" s="158" t="n"/>
      <c r="E65" s="158" t="n"/>
      <c r="F65" s="158" t="n"/>
      <c r="G65" s="158" t="n"/>
      <c r="H65" s="158" t="n"/>
      <c r="I65" s="158" t="n"/>
      <c r="J65" s="158" t="n"/>
      <c r="K65" s="158" t="n"/>
      <c r="L65" s="158" t="n"/>
      <c r="M65" s="158" t="n"/>
      <c r="N65" s="158" t="n"/>
    </row>
  </sheetData>
  <mergeCells count="1">
    <mergeCell ref="O3:O42"/>
  </mergeCells>
  <conditionalFormatting sqref="B3:N42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70" operator="greaterThanOrEqual" dxfId="3">
      <formula>80</formula>
    </cfRule>
    <cfRule type="containsBlanks" priority="1571" dxfId="4" stopIfTrue="1">
      <formula>LEN(TRIM(B3))=0</formula>
    </cfRule>
    <cfRule type="cellIs" priority="1572" operator="greaterThanOrEqual" dxfId="3">
      <formula>80</formula>
    </cfRule>
    <cfRule type="cellIs" priority="1573" operator="between" dxfId="2">
      <formula>70</formula>
      <formula>79</formula>
    </cfRule>
    <cfRule type="cellIs" priority="1574" operator="between" dxfId="1">
      <formula>60</formula>
      <formula>69</formula>
    </cfRule>
    <cfRule type="cellIs" priority="1575" operator="between" dxfId="0">
      <formula>0</formula>
      <formula>59</formula>
    </cfRule>
  </conditionalFormatting>
  <dataValidations count="1">
    <dataValidation sqref="B2:N2" showErrorMessage="1" showInputMessage="1" allowBlank="1" type="list">
      <formula1>$R$4:$R$11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5"/>
  <sheetViews>
    <sheetView topLeftCell="A30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5.28515625" bestFit="1" customWidth="1" min="3" max="3"/>
    <col width="15.85546875" bestFit="1" customWidth="1" min="4" max="4"/>
    <col width="17.7109375" bestFit="1" customWidth="1" min="5" max="5"/>
    <col width="13.85546875" bestFit="1" customWidth="1" min="6" max="6"/>
    <col width="9.7109375" customWidth="1" style="104" min="7" max="7"/>
    <col width="17.7109375" bestFit="1" customWidth="1" min="8" max="8"/>
    <col width="7.42578125" bestFit="1" customWidth="1" min="9" max="10"/>
  </cols>
  <sheetData>
    <row r="1" ht="15" customHeight="1">
      <c r="A1" s="8" t="inlineStr">
        <is>
          <t>Student Number</t>
        </is>
      </c>
      <c r="B1" s="150" t="inlineStr">
        <is>
          <t>ENGR-1100-3</t>
        </is>
      </c>
      <c r="C1" s="159" t="inlineStr">
        <is>
          <t>ENGR-2000-6</t>
        </is>
      </c>
      <c r="D1" s="28" t="inlineStr">
        <is>
          <t>SENG-3120-1</t>
        </is>
      </c>
      <c r="E1" s="154" t="inlineStr">
        <is>
          <t>SENG-3130-2</t>
        </is>
      </c>
      <c r="F1" s="28">
        <f>COUNTA(B1:E1)</f>
        <v/>
      </c>
    </row>
    <row r="2" ht="30" customHeight="1">
      <c r="A2" s="11" t="inlineStr">
        <is>
          <t>Assessment
Tool</t>
        </is>
      </c>
      <c r="B2" s="11" t="n"/>
      <c r="C2" s="8" t="n"/>
      <c r="D2" s="8" t="n"/>
      <c r="E2" s="8" t="n"/>
      <c r="F2" s="28">
        <f>COUNTIF(B2:E2, "&lt;&gt;")</f>
        <v/>
      </c>
    </row>
    <row r="3">
      <c r="A3" s="12" t="n">
        <v>1</v>
      </c>
      <c r="B3" s="165" t="n"/>
      <c r="C3" s="165" t="n"/>
      <c r="D3" s="165" t="n"/>
      <c r="E3" s="166" t="n"/>
      <c r="F3" s="192" t="n"/>
    </row>
    <row r="4">
      <c r="A4" s="12" t="n">
        <v>2</v>
      </c>
      <c r="B4" s="165" t="n"/>
      <c r="C4" s="165" t="n"/>
      <c r="D4" s="165" t="n"/>
      <c r="E4" s="168" t="n"/>
      <c r="F4" s="193" t="n"/>
    </row>
    <row r="5">
      <c r="A5" s="12" t="n">
        <v>3</v>
      </c>
      <c r="B5" s="165" t="n"/>
      <c r="C5" s="165" t="n"/>
      <c r="D5" s="165" t="n"/>
      <c r="E5" s="168" t="n"/>
      <c r="F5" s="193" t="n"/>
    </row>
    <row r="6">
      <c r="A6" s="12" t="n">
        <v>4</v>
      </c>
      <c r="B6" s="165" t="n"/>
      <c r="C6" s="165" t="n"/>
      <c r="D6" s="165" t="n"/>
      <c r="E6" s="168" t="n"/>
      <c r="F6" s="193" t="n"/>
      <c r="G6" s="104" t="inlineStr">
        <is>
          <t>A</t>
        </is>
      </c>
    </row>
    <row r="7">
      <c r="A7" s="12" t="n">
        <v>5</v>
      </c>
      <c r="B7" s="165" t="n"/>
      <c r="C7" s="165" t="n"/>
      <c r="D7" s="165" t="n"/>
      <c r="E7" s="168" t="n"/>
      <c r="F7" s="193" t="n"/>
      <c r="G7" s="104" t="inlineStr">
        <is>
          <t>Q</t>
        </is>
      </c>
    </row>
    <row r="8">
      <c r="A8" s="12" t="n">
        <v>6</v>
      </c>
      <c r="B8" s="165" t="n"/>
      <c r="C8" s="165" t="n"/>
      <c r="D8" s="165" t="n"/>
      <c r="E8" s="168" t="n"/>
      <c r="F8" s="193" t="n"/>
      <c r="G8" s="104" t="inlineStr">
        <is>
          <t>M</t>
        </is>
      </c>
    </row>
    <row r="9">
      <c r="A9" s="12" t="n">
        <v>7</v>
      </c>
      <c r="B9" s="165" t="n"/>
      <c r="C9" s="165" t="n"/>
      <c r="D9" s="165" t="n"/>
      <c r="E9" s="168" t="n"/>
      <c r="F9" s="193" t="n"/>
      <c r="G9" s="104" t="inlineStr">
        <is>
          <t>F</t>
        </is>
      </c>
    </row>
    <row r="10">
      <c r="A10" s="12" t="n">
        <v>8</v>
      </c>
      <c r="B10" s="165" t="n"/>
      <c r="C10" s="165" t="n"/>
      <c r="D10" s="165" t="n"/>
      <c r="E10" s="168" t="n"/>
      <c r="F10" s="193" t="n"/>
      <c r="G10" s="104" t="inlineStr">
        <is>
          <t>P</t>
        </is>
      </c>
    </row>
    <row r="11">
      <c r="A11" s="12" t="n">
        <v>9</v>
      </c>
      <c r="B11" s="165" t="n"/>
      <c r="C11" s="165" t="n"/>
      <c r="D11" s="165" t="n"/>
      <c r="E11" s="168" t="n"/>
      <c r="F11" s="193" t="n"/>
      <c r="G11" s="104" t="inlineStr">
        <is>
          <t>L</t>
        </is>
      </c>
    </row>
    <row r="12">
      <c r="A12" s="12" t="n">
        <v>10</v>
      </c>
      <c r="B12" s="165" t="n"/>
      <c r="C12" s="165" t="n"/>
      <c r="D12" s="165" t="n"/>
      <c r="E12" s="168" t="n"/>
      <c r="F12" s="193" t="n"/>
      <c r="G12" s="104" t="inlineStr">
        <is>
          <t>OT</t>
        </is>
      </c>
    </row>
    <row r="13">
      <c r="A13" s="12" t="n">
        <v>11</v>
      </c>
      <c r="B13" s="165" t="n"/>
      <c r="C13" s="165" t="n"/>
      <c r="D13" s="165" t="n"/>
      <c r="E13" s="168" t="n"/>
      <c r="F13" s="193" t="n"/>
    </row>
    <row r="14">
      <c r="A14" s="12" t="n">
        <v>12</v>
      </c>
      <c r="B14" s="165" t="n"/>
      <c r="C14" s="165" t="n"/>
      <c r="D14" s="165" t="n"/>
      <c r="E14" s="168" t="n"/>
      <c r="F14" s="193" t="n"/>
    </row>
    <row r="15">
      <c r="A15" s="12" t="n">
        <v>13</v>
      </c>
      <c r="B15" s="165" t="n"/>
      <c r="C15" s="165" t="n"/>
      <c r="D15" s="165" t="n"/>
      <c r="E15" s="168" t="n"/>
      <c r="F15" s="193" t="n"/>
    </row>
    <row r="16">
      <c r="A16" s="12" t="n">
        <v>14</v>
      </c>
      <c r="B16" s="165" t="n"/>
      <c r="C16" s="165" t="n"/>
      <c r="D16" s="165" t="n"/>
      <c r="E16" s="168" t="n"/>
      <c r="F16" s="193" t="n"/>
    </row>
    <row r="17">
      <c r="A17" s="12" t="n">
        <v>15</v>
      </c>
      <c r="B17" s="165" t="n"/>
      <c r="C17" s="165" t="n"/>
      <c r="D17" s="165" t="n"/>
      <c r="E17" s="168" t="n"/>
      <c r="F17" s="193" t="n"/>
    </row>
    <row r="18">
      <c r="A18" s="12" t="n">
        <v>16</v>
      </c>
      <c r="B18" s="165" t="n"/>
      <c r="C18" s="165" t="n"/>
      <c r="D18" s="165" t="n"/>
      <c r="E18" s="168" t="n"/>
      <c r="F18" s="193" t="n"/>
    </row>
    <row r="19">
      <c r="A19" s="12" t="n">
        <v>17</v>
      </c>
      <c r="B19" s="165" t="n"/>
      <c r="C19" s="165" t="n"/>
      <c r="D19" s="165" t="n"/>
      <c r="E19" s="168" t="n"/>
      <c r="F19" s="193" t="n"/>
    </row>
    <row r="20">
      <c r="A20" s="12" t="n">
        <v>18</v>
      </c>
      <c r="B20" s="165" t="n"/>
      <c r="C20" s="165" t="n"/>
      <c r="D20" s="165" t="n"/>
      <c r="E20" s="168" t="n"/>
      <c r="F20" s="193" t="n"/>
    </row>
    <row r="21">
      <c r="A21" s="12" t="n">
        <v>19</v>
      </c>
      <c r="B21" s="165" t="n"/>
      <c r="C21" s="165" t="n"/>
      <c r="D21" s="165" t="n"/>
      <c r="E21" s="168" t="n"/>
      <c r="F21" s="193" t="n"/>
    </row>
    <row r="22">
      <c r="A22" s="12" t="n">
        <v>20</v>
      </c>
      <c r="B22" s="165" t="n"/>
      <c r="C22" s="165" t="n"/>
      <c r="D22" s="165" t="n"/>
      <c r="E22" s="168" t="n"/>
      <c r="F22" s="193" t="n"/>
    </row>
    <row r="23">
      <c r="A23" s="106" t="n">
        <v>21</v>
      </c>
      <c r="B23" s="171" t="n"/>
      <c r="C23" s="171" t="n"/>
      <c r="D23" s="171" t="n"/>
      <c r="E23" s="168" t="n"/>
      <c r="F23" s="193" t="n"/>
    </row>
    <row r="24">
      <c r="A24" s="106" t="n">
        <v>22</v>
      </c>
      <c r="B24" s="171" t="n"/>
      <c r="C24" s="171" t="n"/>
      <c r="D24" s="171" t="n"/>
      <c r="E24" s="168" t="n"/>
      <c r="F24" s="193" t="n"/>
    </row>
    <row r="25">
      <c r="A25" s="106" t="n">
        <v>23</v>
      </c>
      <c r="B25" s="171" t="n"/>
      <c r="C25" s="171" t="n"/>
      <c r="D25" s="171" t="n"/>
      <c r="E25" s="168" t="n"/>
      <c r="F25" s="193" t="n"/>
    </row>
    <row r="26">
      <c r="A26" s="106" t="n">
        <v>24</v>
      </c>
      <c r="B26" s="171" t="n"/>
      <c r="C26" s="171" t="n"/>
      <c r="D26" s="171" t="n"/>
      <c r="E26" s="168" t="n"/>
      <c r="F26" s="193" t="n"/>
    </row>
    <row r="27">
      <c r="A27" s="106" t="n">
        <v>25</v>
      </c>
      <c r="B27" s="171" t="n"/>
      <c r="C27" s="171" t="n"/>
      <c r="D27" s="171" t="n"/>
      <c r="E27" s="168" t="n"/>
      <c r="F27" s="193" t="n"/>
    </row>
    <row r="28">
      <c r="A28" s="106" t="n">
        <v>26</v>
      </c>
      <c r="B28" s="171" t="n"/>
      <c r="C28" s="171" t="n"/>
      <c r="D28" s="171" t="n"/>
      <c r="E28" s="168" t="n"/>
      <c r="F28" s="193" t="n"/>
    </row>
    <row r="29">
      <c r="A29" s="106" t="n">
        <v>27</v>
      </c>
      <c r="B29" s="171" t="n"/>
      <c r="C29" s="171" t="n"/>
      <c r="D29" s="171" t="n"/>
      <c r="E29" s="168" t="n"/>
      <c r="F29" s="193" t="n"/>
    </row>
    <row r="30">
      <c r="A30" s="106" t="n">
        <v>28</v>
      </c>
      <c r="B30" s="171" t="n"/>
      <c r="C30" s="171" t="n"/>
      <c r="D30" s="171" t="n"/>
      <c r="E30" s="168" t="n"/>
      <c r="F30" s="193" t="n"/>
    </row>
    <row r="31">
      <c r="A31" s="106" t="n">
        <v>29</v>
      </c>
      <c r="B31" s="171" t="n"/>
      <c r="C31" s="171" t="n"/>
      <c r="D31" s="171" t="n"/>
      <c r="E31" s="168" t="n"/>
      <c r="F31" s="193" t="n"/>
    </row>
    <row r="32">
      <c r="A32" s="106" t="n">
        <v>30</v>
      </c>
      <c r="B32" s="171" t="n"/>
      <c r="C32" s="171" t="n"/>
      <c r="D32" s="171" t="n"/>
      <c r="E32" s="168" t="n"/>
      <c r="F32" s="193" t="n"/>
    </row>
    <row r="33">
      <c r="A33" s="106" t="n">
        <v>31</v>
      </c>
      <c r="B33" s="171" t="n"/>
      <c r="C33" s="171" t="n"/>
      <c r="D33" s="171" t="n"/>
      <c r="E33" s="168" t="n"/>
      <c r="F33" s="193" t="n"/>
    </row>
    <row r="34">
      <c r="A34" s="106" t="n">
        <v>32</v>
      </c>
      <c r="B34" s="171" t="n"/>
      <c r="C34" s="171" t="n"/>
      <c r="D34" s="171" t="n"/>
      <c r="E34" s="168" t="n"/>
      <c r="F34" s="193" t="n"/>
    </row>
    <row r="35">
      <c r="A35" s="106" t="n">
        <v>33</v>
      </c>
      <c r="B35" s="171" t="n"/>
      <c r="C35" s="171" t="n"/>
      <c r="D35" s="171" t="n"/>
      <c r="E35" s="168" t="n"/>
      <c r="F35" s="193" t="n"/>
    </row>
    <row r="36">
      <c r="A36" s="106" t="n">
        <v>34</v>
      </c>
      <c r="B36" s="171" t="n"/>
      <c r="C36" s="171" t="n"/>
      <c r="D36" s="171" t="n"/>
      <c r="E36" s="168" t="n"/>
      <c r="F36" s="193" t="n"/>
    </row>
    <row r="37">
      <c r="A37" s="106" t="n">
        <v>35</v>
      </c>
      <c r="B37" s="171" t="n"/>
      <c r="C37" s="171" t="n"/>
      <c r="D37" s="171" t="n"/>
      <c r="E37" s="168" t="n"/>
      <c r="F37" s="193" t="n"/>
    </row>
    <row r="38">
      <c r="A38" s="106" t="n">
        <v>36</v>
      </c>
      <c r="B38" s="171" t="n"/>
      <c r="C38" s="171" t="n"/>
      <c r="D38" s="171" t="n"/>
      <c r="E38" s="168" t="n"/>
      <c r="F38" s="193" t="n"/>
    </row>
    <row r="39">
      <c r="A39" s="106" t="n">
        <v>37</v>
      </c>
      <c r="B39" s="171" t="n"/>
      <c r="C39" s="171" t="n"/>
      <c r="D39" s="171" t="n"/>
      <c r="E39" s="168" t="n"/>
      <c r="F39" s="193" t="n"/>
    </row>
    <row r="40">
      <c r="A40" s="106" t="n">
        <v>38</v>
      </c>
      <c r="B40" s="171" t="n"/>
      <c r="C40" s="171" t="n"/>
      <c r="D40" s="171" t="n"/>
      <c r="E40" s="168" t="n"/>
      <c r="F40" s="193" t="n"/>
    </row>
    <row r="41">
      <c r="A41" s="106" t="n">
        <v>39</v>
      </c>
      <c r="B41" s="171" t="n"/>
      <c r="C41" s="171" t="n"/>
      <c r="D41" s="171" t="n"/>
      <c r="E41" s="168" t="n"/>
      <c r="F41" s="193" t="n"/>
    </row>
    <row r="42" ht="15.75" customHeight="1" thickBot="1">
      <c r="A42" s="106" t="n">
        <v>40</v>
      </c>
      <c r="B42" s="171" t="n"/>
      <c r="C42" s="171" t="n"/>
      <c r="D42" s="171" t="n"/>
      <c r="E42" s="168" t="n"/>
      <c r="F42" s="194" t="n"/>
    </row>
    <row r="43" ht="15.75" customHeight="1" thickTop="1">
      <c r="A43" s="32" t="inlineStr">
        <is>
          <t>Average</t>
        </is>
      </c>
      <c r="B43" s="167">
        <f>AVERAGE(B3:B42)</f>
        <v/>
      </c>
      <c r="C43" s="167">
        <f>AVERAGE(C3:C42)</f>
        <v/>
      </c>
      <c r="D43" s="167">
        <f>AVERAGE(D3:D42)</f>
        <v/>
      </c>
      <c r="E43" s="167">
        <f>AVERAGE(E3:E42)</f>
        <v/>
      </c>
      <c r="F43" s="16" t="n"/>
    </row>
    <row r="44">
      <c r="A44" s="34" t="inlineStr">
        <is>
          <t>Overall Average</t>
        </is>
      </c>
      <c r="B44" s="165">
        <f>AVERAGEIF(B43:E43, "&lt;&gt;#DIV/0!")</f>
        <v/>
      </c>
      <c r="C44" s="165" t="n"/>
      <c r="D44" s="165" t="n"/>
      <c r="E44" s="165" t="n"/>
      <c r="F44" s="13" t="n"/>
    </row>
    <row r="45">
      <c r="A45" s="34" t="inlineStr">
        <is>
          <t>Total Students</t>
        </is>
      </c>
      <c r="B45" s="30">
        <f>COUNTIF(B3:B42, "&lt;&gt;")</f>
        <v/>
      </c>
      <c r="C45" s="30">
        <f>COUNTIF(C3:C42, "&lt;&gt;")</f>
        <v/>
      </c>
      <c r="D45" s="30">
        <f>COUNTIF(D3:D42, "&lt;&gt;")</f>
        <v/>
      </c>
      <c r="E45" s="30">
        <f>COUNTIF(E3:E42, "&lt;&gt;")</f>
        <v/>
      </c>
    </row>
    <row r="46">
      <c r="A46" s="89" t="n"/>
      <c r="B46" s="90" t="n"/>
      <c r="C46" s="90" t="n"/>
      <c r="D46" s="90" t="n"/>
      <c r="E46" s="90" t="n"/>
    </row>
    <row r="47">
      <c r="A47" s="8" t="n"/>
      <c r="B47" s="1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2">
        <f>COUNTIF($B$2, "A")</f>
        <v/>
      </c>
      <c r="C48" s="12">
        <f>COUNTIF($B$2, "Q")</f>
        <v/>
      </c>
      <c r="D48" s="12">
        <f>COUNTIF($B$2, "M")</f>
        <v/>
      </c>
      <c r="E48" s="12">
        <f>COUNTIF($B$2, "F")</f>
        <v/>
      </c>
      <c r="F48" s="12">
        <f>COUNTIF($B$2, "P")</f>
        <v/>
      </c>
      <c r="G48" s="12">
        <f>COUNTIF($B$2, "L")</f>
        <v/>
      </c>
      <c r="H48" s="12">
        <f>COUNTIF($B$2, "OT")</f>
        <v/>
      </c>
      <c r="I48" s="8">
        <f>SUM(B48:H48)</f>
        <v/>
      </c>
    </row>
    <row r="49">
      <c r="A49" s="98" t="inlineStr">
        <is>
          <t>D (2nd &amp; 3rd yr)</t>
        </is>
      </c>
      <c r="B49" s="12">
        <f>COUNTIF($C$2, "A") + COUNTIF($E$2, "A")</f>
        <v/>
      </c>
      <c r="C49" s="12">
        <f>COUNTIF($C$2, "Q") + COUNTIF($E$2, "Q")</f>
        <v/>
      </c>
      <c r="D49" s="12">
        <f>COUNTIF($C$2, "M") + COUNTIF($E$2, "M")</f>
        <v/>
      </c>
      <c r="E49" s="12">
        <f>COUNTIF($C$2, "F") + COUNTIF($E$2, "F")</f>
        <v/>
      </c>
      <c r="F49" s="12">
        <f>COUNTIF($C$2, "P") + COUNTIF($E$2, "P")</f>
        <v/>
      </c>
      <c r="G49" s="12">
        <f>COUNTIF($C$2, "L") + COUNTIF($E$2, "L")</f>
        <v/>
      </c>
      <c r="H49" s="12">
        <f>COUNTIF($C$2, "OT") + COUNTIF($E$2, "OT")</f>
        <v/>
      </c>
      <c r="I49" s="8">
        <f>SUM(B49:H49)</f>
        <v/>
      </c>
    </row>
    <row r="50">
      <c r="A50" s="99" t="inlineStr">
        <is>
          <t>A (3rd, 4yr)</t>
        </is>
      </c>
      <c r="B50" s="12">
        <f>COUNTIF($D$2, "A")</f>
        <v/>
      </c>
      <c r="C50" s="12">
        <f>COUNTIF($D$2, "Q")</f>
        <v/>
      </c>
      <c r="D50" s="12">
        <f>COUNTIF($D$2, "M")</f>
        <v/>
      </c>
      <c r="E50" s="12">
        <f>COUNTIF($D$2, "F")</f>
        <v/>
      </c>
      <c r="F50" s="12">
        <f>COUNTIF($D$2, "P")</f>
        <v/>
      </c>
      <c r="G50" s="12">
        <f>COUNTIF($D$2, "L")</f>
        <v/>
      </c>
      <c r="H50" s="12">
        <f>COUNTIF($D$2, "OT")</f>
        <v/>
      </c>
      <c r="I50" s="8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4" t="inlineStr">
        <is>
          <t>Frequency Distribution Analysis</t>
        </is>
      </c>
      <c r="B53" s="84" t="n"/>
      <c r="C53" s="84" t="n"/>
      <c r="D53" s="84" t="n"/>
      <c r="E53" s="84" t="n"/>
    </row>
    <row r="54" ht="16.5" customHeight="1" thickBot="1">
      <c r="A54" s="107" t="inlineStr">
        <is>
          <t>Scale</t>
        </is>
      </c>
      <c r="B54" s="150" t="inlineStr">
        <is>
          <t>ENGR-1100-3</t>
        </is>
      </c>
      <c r="C54" s="159" t="inlineStr">
        <is>
          <t>ENGR-2000-6</t>
        </is>
      </c>
      <c r="D54" s="28" t="inlineStr">
        <is>
          <t>SENG-3120-1</t>
        </is>
      </c>
      <c r="E54" s="154" t="inlineStr">
        <is>
          <t>SENG-3130-2</t>
        </is>
      </c>
      <c r="F54" s="38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85">
        <f>AVERAGEIF(B55:E55,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85">
        <f>AVERAGEIF(B56:E56,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85">
        <f>AVERAGEIF(B57:E57,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85">
        <f>AVERAGEIF(B58:E58, "&lt;&gt;#DIV/0!")</f>
        <v/>
      </c>
    </row>
    <row r="59" ht="15.75" customHeight="1" thickBot="1">
      <c r="A59" s="119" t="n"/>
      <c r="B59" s="117">
        <f>SUMIF(B55:B58, "&lt;&gt;#DIV/0!")</f>
        <v/>
      </c>
      <c r="C59" s="124">
        <f>SUMIF(C55:C58, "&lt;&gt;#DIV/0!")</f>
        <v/>
      </c>
      <c r="D59" s="124">
        <f>SUMIF(D55:D58, "&lt;&gt;#DIV/0!")</f>
        <v/>
      </c>
      <c r="E59" s="124">
        <f>SUMIF(E55:E58, "&lt;&gt;#DIV/0!")</f>
        <v/>
      </c>
      <c r="F59" s="124">
        <f>SUMIF(F55:F58, "&lt;&gt;#DIV/0!")</f>
        <v/>
      </c>
    </row>
    <row r="60" ht="15.75" customHeight="1" thickBot="1"/>
    <row r="61" ht="15.75" customHeight="1" thickBot="1">
      <c r="A61" s="23" t="n"/>
      <c r="B61" s="40" t="inlineStr">
        <is>
          <t>Class Limit</t>
        </is>
      </c>
      <c r="C61" s="40" t="inlineStr">
        <is>
          <t>Bin</t>
        </is>
      </c>
    </row>
    <row r="62" ht="16.5" customHeight="1" thickBot="1">
      <c r="A62" s="36" t="inlineStr">
        <is>
          <t>Exceeds Expectation (A+, A, A-) (%)</t>
        </is>
      </c>
      <c r="B62" s="42" t="inlineStr">
        <is>
          <t>80-100</t>
        </is>
      </c>
      <c r="C62" s="41" t="n">
        <v>100</v>
      </c>
    </row>
    <row r="63" ht="16.5" customHeight="1" thickBot="1">
      <c r="A63" s="36" t="inlineStr">
        <is>
          <t>Meets Expectation (B+, B, B-) (%)</t>
        </is>
      </c>
      <c r="B63" s="42" t="inlineStr">
        <is>
          <t>70-79</t>
        </is>
      </c>
      <c r="C63" s="41" t="n">
        <v>79</v>
      </c>
    </row>
    <row r="64" ht="16.5" customHeight="1" thickBot="1">
      <c r="A64" s="36" t="inlineStr">
        <is>
          <t>Marginal (C+, C)  (%)</t>
        </is>
      </c>
      <c r="B64" s="42" t="inlineStr">
        <is>
          <t>60-69</t>
        </is>
      </c>
      <c r="C64" s="41" t="n">
        <v>69</v>
      </c>
    </row>
    <row r="65" ht="16.5" customHeight="1" thickBot="1">
      <c r="A65" s="36" t="inlineStr">
        <is>
          <t>Below Expectation (C- and below)  (%)</t>
        </is>
      </c>
      <c r="B65" s="42" t="inlineStr">
        <is>
          <t>0-59</t>
        </is>
      </c>
      <c r="C65" s="41" t="n">
        <v>59</v>
      </c>
    </row>
  </sheetData>
  <mergeCells count="1">
    <mergeCell ref="F3:F42"/>
  </mergeCells>
  <conditionalFormatting sqref="B3:E4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76" operator="greaterThanOrEqual" dxfId="3">
      <formula>80</formula>
    </cfRule>
    <cfRule type="containsBlanks" priority="1277" dxfId="4" stopIfTrue="1">
      <formula>LEN(TRIM(B3))=0</formula>
    </cfRule>
    <cfRule type="cellIs" priority="1278" operator="greaterThanOrEqual" dxfId="3">
      <formula>80</formula>
    </cfRule>
    <cfRule type="cellIs" priority="1279" operator="between" dxfId="2">
      <formula>70</formula>
      <formula>79</formula>
    </cfRule>
    <cfRule type="cellIs" priority="1280" operator="between" dxfId="1">
      <formula>60</formula>
      <formula>69</formula>
    </cfRule>
    <cfRule type="cellIs" priority="1281" operator="between" dxfId="0">
      <formula>0</formula>
      <formula>59</formula>
    </cfRule>
  </conditionalFormatting>
  <dataValidations count="1">
    <dataValidation sqref="B2:E2" showErrorMessage="1" showInputMessage="1" allowBlank="1" type="list">
      <formula1>$G$6:$G$13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65"/>
  <sheetViews>
    <sheetView topLeftCell="A27" zoomScale="70" zoomScaleNormal="70" workbookViewId="0">
      <selection activeCell="B55" sqref="B55:B58"/>
    </sheetView>
  </sheetViews>
  <sheetFormatPr baseColWidth="8" defaultColWidth="15.140625" defaultRowHeight="15" outlineLevelCol="0"/>
  <cols>
    <col width="44.85546875" bestFit="1" customWidth="1" min="1" max="1"/>
    <col width="18.85546875" bestFit="1" customWidth="1" min="2" max="2"/>
    <col width="15.28515625" bestFit="1" customWidth="1" min="3" max="3"/>
    <col width="15.85546875" bestFit="1" customWidth="1" min="4" max="4"/>
    <col width="17.7109375" bestFit="1" customWidth="1" min="5" max="5"/>
    <col width="14.85546875" bestFit="1" customWidth="1" min="6" max="6"/>
    <col width="14.42578125" bestFit="1" customWidth="1" min="7" max="7"/>
    <col width="17.7109375" bestFit="1" customWidth="1" min="8" max="8"/>
    <col width="7.42578125" bestFit="1" customWidth="1" min="9" max="9"/>
    <col width="4.28515625" bestFit="1" customWidth="1" min="13" max="13"/>
  </cols>
  <sheetData>
    <row r="1">
      <c r="A1" s="8" t="inlineStr">
        <is>
          <t>Student Number</t>
        </is>
      </c>
      <c r="B1" s="153" t="inlineStr">
        <is>
          <t>ENGR-1200-7</t>
        </is>
      </c>
      <c r="C1" s="153" t="inlineStr">
        <is>
          <t>ENGR-2200-3</t>
        </is>
      </c>
      <c r="D1" s="154" t="inlineStr">
        <is>
          <t>ENGR-2400-5</t>
        </is>
      </c>
      <c r="E1" s="28" t="inlineStr">
        <is>
          <t>ENGR-3300-2</t>
        </is>
      </c>
      <c r="F1" s="28" t="inlineStr">
        <is>
          <t>SENG-3120-3</t>
        </is>
      </c>
      <c r="G1" s="28" t="inlineStr">
        <is>
          <t>SENG-4110-5</t>
        </is>
      </c>
      <c r="H1" s="28">
        <f>COUNTA(B1:G1)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8" t="n"/>
      <c r="F2" s="8" t="n"/>
      <c r="G2" s="8" t="n"/>
      <c r="H2" s="28">
        <f>COUNTIF(B2:G2, "&lt;&gt;")</f>
        <v/>
      </c>
    </row>
    <row r="3">
      <c r="A3" s="29" t="n">
        <v>1</v>
      </c>
      <c r="B3" s="165" t="n"/>
      <c r="C3" s="165" t="n"/>
      <c r="D3" s="165" t="n"/>
      <c r="E3" s="165" t="n"/>
      <c r="F3" s="165" t="n"/>
      <c r="G3" s="165" t="n"/>
      <c r="H3" s="195" t="n"/>
    </row>
    <row r="4">
      <c r="A4" s="29" t="n">
        <v>2</v>
      </c>
      <c r="B4" s="165" t="n"/>
      <c r="C4" s="165" t="n"/>
      <c r="D4" s="165" t="n"/>
      <c r="E4" s="165" t="n"/>
      <c r="F4" s="165" t="n"/>
      <c r="G4" s="165" t="n"/>
      <c r="H4" s="193" t="n"/>
    </row>
    <row r="5">
      <c r="A5" s="29" t="n">
        <v>3</v>
      </c>
      <c r="B5" s="165" t="n"/>
      <c r="C5" s="165" t="n"/>
      <c r="D5" s="165" t="n"/>
      <c r="E5" s="165" t="n"/>
      <c r="F5" s="165" t="n"/>
      <c r="G5" s="165" t="n"/>
      <c r="H5" s="193" t="n"/>
    </row>
    <row r="6">
      <c r="A6" s="29" t="n">
        <v>4</v>
      </c>
      <c r="B6" s="165" t="n"/>
      <c r="C6" s="165" t="n"/>
      <c r="D6" s="165" t="n"/>
      <c r="E6" s="165" t="n"/>
      <c r="F6" s="165" t="n"/>
      <c r="G6" s="165" t="n"/>
      <c r="H6" s="193" t="n"/>
      <c r="M6" s="104" t="inlineStr">
        <is>
          <t>A</t>
        </is>
      </c>
    </row>
    <row r="7">
      <c r="A7" s="29" t="n">
        <v>5</v>
      </c>
      <c r="B7" s="165" t="n"/>
      <c r="C7" s="165" t="n"/>
      <c r="D7" s="165" t="n"/>
      <c r="E7" s="165" t="n"/>
      <c r="F7" s="165" t="n"/>
      <c r="G7" s="165" t="n"/>
      <c r="H7" s="193" t="n"/>
      <c r="M7" s="104" t="inlineStr">
        <is>
          <t>Q</t>
        </is>
      </c>
    </row>
    <row r="8">
      <c r="A8" s="29" t="n">
        <v>6</v>
      </c>
      <c r="B8" s="165" t="n"/>
      <c r="C8" s="165" t="n"/>
      <c r="D8" s="165" t="n"/>
      <c r="E8" s="165" t="n"/>
      <c r="F8" s="165" t="n"/>
      <c r="G8" s="165" t="n"/>
      <c r="H8" s="193" t="n"/>
      <c r="M8" s="104" t="inlineStr">
        <is>
          <t>M</t>
        </is>
      </c>
    </row>
    <row r="9">
      <c r="A9" s="29" t="n">
        <v>7</v>
      </c>
      <c r="B9" s="165" t="n"/>
      <c r="C9" s="165" t="n"/>
      <c r="D9" s="165" t="n"/>
      <c r="E9" s="165" t="n"/>
      <c r="F9" s="165" t="n"/>
      <c r="G9" s="165" t="n"/>
      <c r="H9" s="193" t="n"/>
      <c r="M9" s="104" t="inlineStr">
        <is>
          <t>F</t>
        </is>
      </c>
    </row>
    <row r="10">
      <c r="A10" s="29" t="n">
        <v>8</v>
      </c>
      <c r="B10" s="165" t="n"/>
      <c r="C10" s="165" t="n"/>
      <c r="D10" s="165" t="n"/>
      <c r="E10" s="165" t="n"/>
      <c r="F10" s="165" t="n"/>
      <c r="G10" s="165" t="n"/>
      <c r="H10" s="193" t="n"/>
      <c r="M10" s="104" t="inlineStr">
        <is>
          <t>P</t>
        </is>
      </c>
    </row>
    <row r="11">
      <c r="A11" s="29" t="n">
        <v>9</v>
      </c>
      <c r="B11" s="165" t="n"/>
      <c r="C11" s="165" t="n"/>
      <c r="D11" s="165" t="n"/>
      <c r="E11" s="165" t="n"/>
      <c r="F11" s="165" t="n"/>
      <c r="G11" s="165" t="n"/>
      <c r="H11" s="193" t="n"/>
      <c r="M11" s="104" t="inlineStr">
        <is>
          <t>L</t>
        </is>
      </c>
    </row>
    <row r="12">
      <c r="A12" s="29" t="n">
        <v>10</v>
      </c>
      <c r="B12" s="165" t="n"/>
      <c r="C12" s="165" t="n"/>
      <c r="D12" s="165" t="n"/>
      <c r="E12" s="165" t="n"/>
      <c r="F12" s="165" t="n"/>
      <c r="G12" s="165" t="n"/>
      <c r="H12" s="193" t="n"/>
      <c r="M12" s="104" t="inlineStr">
        <is>
          <t>OT</t>
        </is>
      </c>
    </row>
    <row r="13">
      <c r="A13" s="29" t="n">
        <v>11</v>
      </c>
      <c r="B13" s="165" t="n"/>
      <c r="C13" s="165" t="n"/>
      <c r="D13" s="165" t="n"/>
      <c r="E13" s="165" t="n"/>
      <c r="F13" s="165" t="n"/>
      <c r="G13" s="165" t="n"/>
      <c r="H13" s="193" t="n"/>
    </row>
    <row r="14">
      <c r="A14" s="29" t="n">
        <v>12</v>
      </c>
      <c r="B14" s="165" t="n"/>
      <c r="C14" s="165" t="n"/>
      <c r="D14" s="165" t="n"/>
      <c r="E14" s="165" t="n"/>
      <c r="F14" s="165" t="n"/>
      <c r="G14" s="165" t="n"/>
      <c r="H14" s="193" t="n"/>
    </row>
    <row r="15">
      <c r="A15" s="29" t="n">
        <v>13</v>
      </c>
      <c r="B15" s="165" t="n"/>
      <c r="C15" s="165" t="n"/>
      <c r="D15" s="165" t="n"/>
      <c r="E15" s="165" t="n"/>
      <c r="F15" s="165" t="n"/>
      <c r="G15" s="165" t="n"/>
      <c r="H15" s="193" t="n"/>
    </row>
    <row r="16">
      <c r="A16" s="29" t="n">
        <v>14</v>
      </c>
      <c r="B16" s="165" t="n"/>
      <c r="C16" s="165" t="n"/>
      <c r="D16" s="165" t="n"/>
      <c r="E16" s="165" t="n"/>
      <c r="F16" s="165" t="n"/>
      <c r="G16" s="165" t="n"/>
      <c r="H16" s="193" t="n"/>
    </row>
    <row r="17">
      <c r="A17" s="29" t="n">
        <v>15</v>
      </c>
      <c r="B17" s="165" t="n"/>
      <c r="C17" s="165" t="n"/>
      <c r="D17" s="165" t="n"/>
      <c r="E17" s="165" t="n"/>
      <c r="F17" s="165" t="n"/>
      <c r="G17" s="165" t="n"/>
      <c r="H17" s="193" t="n"/>
    </row>
    <row r="18">
      <c r="A18" s="29" t="n">
        <v>16</v>
      </c>
      <c r="B18" s="165" t="n"/>
      <c r="C18" s="165" t="n"/>
      <c r="D18" s="165" t="n"/>
      <c r="E18" s="165" t="n"/>
      <c r="F18" s="165" t="n"/>
      <c r="G18" s="165" t="n"/>
      <c r="H18" s="193" t="n"/>
    </row>
    <row r="19">
      <c r="A19" s="29" t="n">
        <v>17</v>
      </c>
      <c r="B19" s="165" t="n"/>
      <c r="C19" s="165" t="n"/>
      <c r="D19" s="165" t="n"/>
      <c r="E19" s="165" t="n"/>
      <c r="F19" s="165" t="n"/>
      <c r="G19" s="165" t="n"/>
      <c r="H19" s="193" t="n"/>
    </row>
    <row r="20">
      <c r="A20" s="29" t="n">
        <v>18</v>
      </c>
      <c r="B20" s="165" t="n"/>
      <c r="C20" s="165" t="n"/>
      <c r="D20" s="165" t="n"/>
      <c r="E20" s="165" t="n"/>
      <c r="F20" s="165" t="n"/>
      <c r="G20" s="165" t="n"/>
      <c r="H20" s="193" t="n"/>
    </row>
    <row r="21">
      <c r="A21" s="29" t="n">
        <v>19</v>
      </c>
      <c r="B21" s="165" t="n"/>
      <c r="C21" s="165" t="n"/>
      <c r="D21" s="165" t="n"/>
      <c r="E21" s="165" t="n"/>
      <c r="F21" s="165" t="n"/>
      <c r="G21" s="165" t="n"/>
      <c r="H21" s="193" t="n"/>
    </row>
    <row r="22">
      <c r="A22" s="29" t="n">
        <v>20</v>
      </c>
      <c r="B22" s="165" t="n"/>
      <c r="C22" s="165" t="n"/>
      <c r="D22" s="165" t="n"/>
      <c r="E22" s="165" t="n"/>
      <c r="F22" s="165" t="n"/>
      <c r="G22" s="165" t="n"/>
      <c r="H22" s="193" t="n"/>
    </row>
    <row r="23">
      <c r="A23" s="29" t="n">
        <v>21</v>
      </c>
      <c r="B23" s="165" t="n"/>
      <c r="C23" s="165" t="n"/>
      <c r="D23" s="165" t="n"/>
      <c r="E23" s="165" t="n"/>
      <c r="F23" s="165" t="n"/>
      <c r="G23" s="165" t="n"/>
      <c r="H23" s="193" t="n"/>
    </row>
    <row r="24">
      <c r="A24" s="29" t="n">
        <v>22</v>
      </c>
      <c r="B24" s="165" t="n"/>
      <c r="C24" s="165" t="n"/>
      <c r="D24" s="165" t="n"/>
      <c r="E24" s="165" t="n"/>
      <c r="F24" s="165" t="n"/>
      <c r="G24" s="165" t="n"/>
      <c r="H24" s="193" t="n"/>
    </row>
    <row r="25">
      <c r="A25" s="29" t="n">
        <v>23</v>
      </c>
      <c r="B25" s="165" t="n"/>
      <c r="C25" s="165" t="n"/>
      <c r="D25" s="165" t="n"/>
      <c r="E25" s="165" t="n"/>
      <c r="F25" s="165" t="n"/>
      <c r="G25" s="165" t="n"/>
      <c r="H25" s="193" t="n"/>
    </row>
    <row r="26">
      <c r="A26" s="29" t="n">
        <v>24</v>
      </c>
      <c r="B26" s="165" t="n"/>
      <c r="C26" s="165" t="n"/>
      <c r="D26" s="165" t="n"/>
      <c r="E26" s="165" t="n"/>
      <c r="F26" s="165" t="n"/>
      <c r="G26" s="165" t="n"/>
      <c r="H26" s="193" t="n"/>
    </row>
    <row r="27">
      <c r="A27" s="29" t="n">
        <v>25</v>
      </c>
      <c r="B27" s="165" t="n"/>
      <c r="C27" s="165" t="n"/>
      <c r="D27" s="165" t="n"/>
      <c r="E27" s="165" t="n"/>
      <c r="F27" s="165" t="n"/>
      <c r="G27" s="165" t="n"/>
      <c r="H27" s="193" t="n"/>
    </row>
    <row r="28">
      <c r="A28" s="29" t="n">
        <v>26</v>
      </c>
      <c r="B28" s="171" t="n"/>
      <c r="C28" s="171" t="n"/>
      <c r="D28" s="171" t="n"/>
      <c r="E28" s="171" t="n"/>
      <c r="F28" s="171" t="n"/>
      <c r="G28" s="171" t="n"/>
      <c r="H28" s="193" t="n"/>
    </row>
    <row r="29">
      <c r="A29" s="29" t="n">
        <v>27</v>
      </c>
      <c r="B29" s="171" t="n"/>
      <c r="C29" s="171" t="n"/>
      <c r="D29" s="171" t="n"/>
      <c r="E29" s="171" t="n"/>
      <c r="F29" s="171" t="n"/>
      <c r="G29" s="171" t="n"/>
      <c r="H29" s="193" t="n"/>
    </row>
    <row r="30">
      <c r="A30" s="29" t="n">
        <v>28</v>
      </c>
      <c r="B30" s="171" t="n"/>
      <c r="C30" s="171" t="n"/>
      <c r="D30" s="171" t="n"/>
      <c r="E30" s="171" t="n"/>
      <c r="F30" s="171" t="n"/>
      <c r="G30" s="171" t="n"/>
      <c r="H30" s="193" t="n"/>
    </row>
    <row r="31">
      <c r="A31" s="29" t="n">
        <v>29</v>
      </c>
      <c r="B31" s="171" t="n"/>
      <c r="C31" s="171" t="n"/>
      <c r="D31" s="171" t="n"/>
      <c r="E31" s="171" t="n"/>
      <c r="F31" s="171" t="n"/>
      <c r="G31" s="171" t="n"/>
      <c r="H31" s="193" t="n"/>
    </row>
    <row r="32">
      <c r="A32" s="29" t="n">
        <v>30</v>
      </c>
      <c r="B32" s="171" t="n"/>
      <c r="C32" s="171" t="n"/>
      <c r="D32" s="171" t="n"/>
      <c r="E32" s="171" t="n"/>
      <c r="F32" s="171" t="n"/>
      <c r="G32" s="171" t="n"/>
      <c r="H32" s="193" t="n"/>
    </row>
    <row r="33">
      <c r="A33" s="29" t="n">
        <v>31</v>
      </c>
      <c r="B33" s="171" t="n"/>
      <c r="C33" s="171" t="n"/>
      <c r="D33" s="171" t="n"/>
      <c r="E33" s="171" t="n"/>
      <c r="F33" s="171" t="n"/>
      <c r="G33" s="171" t="n"/>
      <c r="H33" s="193" t="n"/>
    </row>
    <row r="34">
      <c r="A34" s="29" t="n">
        <v>32</v>
      </c>
      <c r="B34" s="171" t="n"/>
      <c r="C34" s="171" t="n"/>
      <c r="D34" s="171" t="n"/>
      <c r="E34" s="171" t="n"/>
      <c r="F34" s="171" t="n"/>
      <c r="G34" s="171" t="n"/>
      <c r="H34" s="193" t="n"/>
    </row>
    <row r="35">
      <c r="A35" s="29" t="n">
        <v>33</v>
      </c>
      <c r="B35" s="171" t="n"/>
      <c r="C35" s="171" t="n"/>
      <c r="D35" s="171" t="n"/>
      <c r="E35" s="171" t="n"/>
      <c r="F35" s="171" t="n"/>
      <c r="G35" s="171" t="n"/>
      <c r="H35" s="193" t="n"/>
    </row>
    <row r="36">
      <c r="A36" s="29" t="n">
        <v>34</v>
      </c>
      <c r="B36" s="171" t="n"/>
      <c r="C36" s="171" t="n"/>
      <c r="D36" s="171" t="n"/>
      <c r="E36" s="171" t="n"/>
      <c r="F36" s="171" t="n"/>
      <c r="G36" s="171" t="n"/>
      <c r="H36" s="193" t="n"/>
    </row>
    <row r="37">
      <c r="A37" s="29" t="n">
        <v>35</v>
      </c>
      <c r="B37" s="171" t="n"/>
      <c r="C37" s="171" t="n"/>
      <c r="D37" s="171" t="n"/>
      <c r="E37" s="171" t="n"/>
      <c r="F37" s="171" t="n"/>
      <c r="G37" s="171" t="n"/>
      <c r="H37" s="193" t="n"/>
    </row>
    <row r="38">
      <c r="A38" s="29" t="n">
        <v>36</v>
      </c>
      <c r="B38" s="171" t="n"/>
      <c r="C38" s="171" t="n"/>
      <c r="D38" s="171" t="n"/>
      <c r="E38" s="171" t="n"/>
      <c r="F38" s="171" t="n"/>
      <c r="G38" s="171" t="n"/>
      <c r="H38" s="193" t="n"/>
    </row>
    <row r="39">
      <c r="A39" s="29" t="n">
        <v>37</v>
      </c>
      <c r="B39" s="171" t="n"/>
      <c r="C39" s="171" t="n"/>
      <c r="D39" s="171" t="n"/>
      <c r="E39" s="171" t="n"/>
      <c r="F39" s="171" t="n"/>
      <c r="G39" s="171" t="n"/>
      <c r="H39" s="193" t="n"/>
    </row>
    <row r="40">
      <c r="A40" s="29" t="n">
        <v>38</v>
      </c>
      <c r="B40" s="171" t="n"/>
      <c r="C40" s="171" t="n"/>
      <c r="D40" s="171" t="n"/>
      <c r="E40" s="171" t="n"/>
      <c r="F40" s="171" t="n"/>
      <c r="G40" s="171" t="n"/>
      <c r="H40" s="193" t="n"/>
    </row>
    <row r="41">
      <c r="A41" s="29" t="n">
        <v>39</v>
      </c>
      <c r="B41" s="171" t="n"/>
      <c r="C41" s="171" t="n"/>
      <c r="D41" s="171" t="n"/>
      <c r="E41" s="171" t="n"/>
      <c r="F41" s="171" t="n"/>
      <c r="G41" s="171" t="n"/>
      <c r="H41" s="193" t="n"/>
    </row>
    <row r="42" ht="15.75" customHeight="1" thickBot="1">
      <c r="A42" s="29" t="n">
        <v>40</v>
      </c>
      <c r="B42" s="171" t="n"/>
      <c r="C42" s="171" t="n"/>
      <c r="D42" s="171" t="n"/>
      <c r="E42" s="171" t="n"/>
      <c r="F42" s="171" t="n"/>
      <c r="G42" s="171" t="n"/>
      <c r="H42" s="194" t="n"/>
    </row>
    <row r="43" ht="15.75" customHeight="1" thickTop="1">
      <c r="A43" s="105" t="inlineStr">
        <is>
          <t>Average</t>
        </is>
      </c>
      <c r="B43" s="169">
        <f>AVERAGE(B3:B42)</f>
        <v/>
      </c>
      <c r="C43" s="169">
        <f>AVERAGE(C3:C42)</f>
        <v/>
      </c>
      <c r="D43" s="169">
        <f>AVERAGE(D3:D42)</f>
        <v/>
      </c>
      <c r="E43" s="169">
        <f>AVERAGE(E3:E42)</f>
        <v/>
      </c>
      <c r="F43" s="169">
        <f>AVERAGE(F3:F42)</f>
        <v/>
      </c>
      <c r="G43" s="169">
        <f>AVERAGE(G3:G42)</f>
        <v/>
      </c>
      <c r="H43" s="33" t="n"/>
    </row>
    <row r="44">
      <c r="A44" s="34" t="inlineStr">
        <is>
          <t>Overall Average</t>
        </is>
      </c>
      <c r="B44" s="170">
        <f>AVERAGEIF(B43:G43, "&lt;&gt;#DIV/0!")</f>
        <v/>
      </c>
      <c r="C44" s="170" t="n"/>
      <c r="D44" s="170" t="n"/>
      <c r="E44" s="170" t="n"/>
      <c r="F44" s="170" t="n"/>
      <c r="G44" s="170" t="n"/>
      <c r="H44" s="30" t="n"/>
    </row>
    <row r="45">
      <c r="A45" s="34" t="inlineStr">
        <is>
          <t>Total Students</t>
        </is>
      </c>
      <c r="B45" s="30">
        <f>COUNTIF(B3:B42, "&lt;&gt;")</f>
        <v/>
      </c>
      <c r="C45" s="30">
        <f>COUNTIF(C3:C42, "&lt;&gt;")</f>
        <v/>
      </c>
      <c r="D45" s="30">
        <f>COUNTIF(D3:D42, "&lt;&gt;")</f>
        <v/>
      </c>
      <c r="E45" s="30">
        <f>COUNTIF(E3:E42, "&lt;&gt;")</f>
        <v/>
      </c>
      <c r="F45" s="30">
        <f>COUNTIF(F3:F42, "&lt;&gt;")</f>
        <v/>
      </c>
      <c r="G45" s="30">
        <f>COUNTIF(G3:G42, "&lt;&gt;")</f>
        <v/>
      </c>
      <c r="H45" s="30" t="n"/>
    </row>
    <row r="46">
      <c r="A46" s="89" t="n"/>
      <c r="B46" s="83" t="n"/>
      <c r="C46" s="83" t="n"/>
      <c r="D46" s="83" t="n"/>
      <c r="E46" s="83" t="n"/>
      <c r="F46" s="83" t="n"/>
      <c r="G46" s="83" t="n"/>
      <c r="H46" s="83" t="n"/>
      <c r="I46" s="83" t="n"/>
      <c r="J46" s="83" t="n"/>
      <c r="K46" s="83" t="n"/>
    </row>
    <row r="47">
      <c r="A47" s="8" t="n"/>
      <c r="B47" s="1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2">
        <f>COUNTIF($B$2:$C$2, "A")</f>
        <v/>
      </c>
      <c r="C48" s="12">
        <f>COUNTIF($B$2:$C$2, "Q")</f>
        <v/>
      </c>
      <c r="D48" s="12">
        <f>COUNTIF($B$2:$C$2, "M")</f>
        <v/>
      </c>
      <c r="E48" s="12">
        <f>COUNTIF($B$2:$C$2, "F")</f>
        <v/>
      </c>
      <c r="F48" s="12">
        <f>COUNTIF($B$2:$C$2, "P")</f>
        <v/>
      </c>
      <c r="G48" s="12">
        <f>COUNTIF($B$2:$C$2, "L")</f>
        <v/>
      </c>
      <c r="H48" s="12">
        <f>COUNTIF($B$2:$C$2, "OT")</f>
        <v/>
      </c>
      <c r="I48" s="12">
        <f>SUM(B48:H48)</f>
        <v/>
      </c>
    </row>
    <row r="49">
      <c r="A49" s="98" t="inlineStr">
        <is>
          <t>D (2nd &amp; 3rd yr)</t>
        </is>
      </c>
      <c r="B49" s="12">
        <f>COUNTIF($D$2, "A")</f>
        <v/>
      </c>
      <c r="C49" s="12">
        <f>COUNTIF($D$2, "Q")</f>
        <v/>
      </c>
      <c r="D49" s="12">
        <f>COUNTIF($D$2, "M")</f>
        <v/>
      </c>
      <c r="E49" s="12">
        <f>COUNTIF($D$2, "F")</f>
        <v/>
      </c>
      <c r="F49" s="12">
        <f>COUNTIF($D$2, "P")</f>
        <v/>
      </c>
      <c r="G49" s="12">
        <f>COUNTIF($D$2, "L")</f>
        <v/>
      </c>
      <c r="H49" s="12">
        <f>COUNTIF($D$2, "OT")</f>
        <v/>
      </c>
      <c r="I49" s="12">
        <f>SUM(B49:H49)</f>
        <v/>
      </c>
    </row>
    <row r="50">
      <c r="A50" s="99" t="inlineStr">
        <is>
          <t>A (3rd, 4yr)</t>
        </is>
      </c>
      <c r="B50" s="12">
        <f>COUNTIF($E$2:$G$2, "A")</f>
        <v/>
      </c>
      <c r="C50" s="12">
        <f>COUNTIF($E$2:$G$2, "Q")</f>
        <v/>
      </c>
      <c r="D50" s="12">
        <f>COUNTIF($E$2:$G$2, "M")</f>
        <v/>
      </c>
      <c r="E50" s="12">
        <f>COUNTIF($E$2:$G$2, "F")</f>
        <v/>
      </c>
      <c r="F50" s="12">
        <f>COUNTIF($E$2:$G$2, "P")</f>
        <v/>
      </c>
      <c r="G50" s="12">
        <f>COUNTIF($E$2:$G$2, "L")</f>
        <v/>
      </c>
      <c r="H50" s="12">
        <f>COUNTIF($E$2:$G$2, "OT")</f>
        <v/>
      </c>
      <c r="I50" s="12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4" t="inlineStr">
        <is>
          <t>Frequency Distribution Analysis</t>
        </is>
      </c>
      <c r="C53" s="84" t="n"/>
      <c r="D53" s="84" t="n"/>
      <c r="E53" s="84" t="n"/>
      <c r="F53" s="84" t="n"/>
      <c r="G53" s="84" t="n"/>
    </row>
    <row r="54" ht="16.5" customHeight="1" thickBot="1">
      <c r="A54" s="120" t="inlineStr">
        <is>
          <t>Scale</t>
        </is>
      </c>
      <c r="B54" s="153" t="inlineStr">
        <is>
          <t>ENGR-1200-7</t>
        </is>
      </c>
      <c r="C54" s="153" t="inlineStr">
        <is>
          <t>ENGR-2200-3</t>
        </is>
      </c>
      <c r="D54" s="154" t="inlineStr">
        <is>
          <t>ENGR-2400-5</t>
        </is>
      </c>
      <c r="E54" s="28" t="inlineStr">
        <is>
          <t>ENGR-3300-2</t>
        </is>
      </c>
      <c r="F54" s="28" t="inlineStr">
        <is>
          <t>SENG-3120-3</t>
        </is>
      </c>
      <c r="G54" s="28" t="inlineStr">
        <is>
          <t>SENG-4110-5</t>
        </is>
      </c>
      <c r="H54" s="38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39">
        <f>AVERAGEIF(B55:G55,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39">
        <f>AVERAGEIF(B56:G56,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39">
        <f>AVERAGEIF(B57:G57,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39">
        <f>AVERAGEIF(B58:G58, "&lt;&gt;#DIV/0!")</f>
        <v/>
      </c>
    </row>
    <row r="59" ht="15.75" customHeight="1" thickBot="1">
      <c r="A59" s="121" t="n"/>
      <c r="B59" s="122">
        <f>SUMIF(B55:B58, "&lt;&gt;#DIV/0!")</f>
        <v/>
      </c>
      <c r="C59" s="123">
        <f>SUMIF(C55:C58, "&lt;&gt;#DIV/0!")</f>
        <v/>
      </c>
      <c r="D59" s="123">
        <f>SUMIF(D55:D58, "&lt;&gt;#DIV/0!")</f>
        <v/>
      </c>
      <c r="E59" s="123">
        <f>SUMIF(E55:E58, "&lt;&gt;#DIV/0!")</f>
        <v/>
      </c>
      <c r="F59" s="123">
        <f>SUMIF(F55:F58, "&lt;&gt;#DIV/0!")</f>
        <v/>
      </c>
      <c r="G59" s="123">
        <f>SUMIF(G55:G58, "&lt;&gt;#DIV/0!")</f>
        <v/>
      </c>
      <c r="H59" s="39">
        <f>AVERAGEIF(B59:F59, "&lt;&gt;#DIV/0!")</f>
        <v/>
      </c>
    </row>
    <row r="60" ht="15.75" customHeight="1" thickBot="1"/>
    <row r="61" ht="15.75" customHeight="1" thickBot="1">
      <c r="A61" s="23" t="n"/>
      <c r="B61" s="40" t="inlineStr">
        <is>
          <t>Class Limit</t>
        </is>
      </c>
      <c r="C61" s="40" t="inlineStr">
        <is>
          <t>Bin</t>
        </is>
      </c>
    </row>
    <row r="62" ht="16.5" customHeight="1" thickBot="1">
      <c r="A62" s="36" t="inlineStr">
        <is>
          <t>Exceeds Expectation (A+, A, A-) (%)</t>
        </is>
      </c>
      <c r="B62" s="42" t="inlineStr">
        <is>
          <t>80-100</t>
        </is>
      </c>
      <c r="C62" s="41" t="n">
        <v>100</v>
      </c>
    </row>
    <row r="63" ht="16.5" customHeight="1" thickBot="1">
      <c r="A63" s="36" t="inlineStr">
        <is>
          <t>Meets Expectation (B+, B, B-) (%)</t>
        </is>
      </c>
      <c r="B63" s="42" t="inlineStr">
        <is>
          <t>70-79</t>
        </is>
      </c>
      <c r="C63" s="41" t="n">
        <v>79</v>
      </c>
    </row>
    <row r="64" ht="16.5" customHeight="1" thickBot="1">
      <c r="A64" s="36" t="inlineStr">
        <is>
          <t>Marginal (C+, C)  (%)</t>
        </is>
      </c>
      <c r="B64" s="42" t="inlineStr">
        <is>
          <t>60-69</t>
        </is>
      </c>
      <c r="C64" s="41" t="n">
        <v>69</v>
      </c>
    </row>
    <row r="65" ht="16.5" customHeight="1" thickBot="1">
      <c r="A65" s="36" t="inlineStr">
        <is>
          <t>Below Expectation (C- and below)  (%)</t>
        </is>
      </c>
      <c r="B65" s="42" t="inlineStr">
        <is>
          <t>0-59</t>
        </is>
      </c>
      <c r="C65" s="41" t="n">
        <v>59</v>
      </c>
    </row>
  </sheetData>
  <mergeCells count="1">
    <mergeCell ref="H3:H42"/>
  </mergeCells>
  <conditionalFormatting sqref="B3:G42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07" operator="greaterThanOrEqual" dxfId="3">
      <formula>80</formula>
    </cfRule>
    <cfRule type="containsBlanks" priority="1508" dxfId="4" stopIfTrue="1">
      <formula>LEN(TRIM(B3))=0</formula>
    </cfRule>
    <cfRule type="cellIs" priority="1509" operator="greaterThanOrEqual" dxfId="3">
      <formula>80</formula>
    </cfRule>
    <cfRule type="cellIs" priority="1510" operator="between" dxfId="2">
      <formula>70</formula>
      <formula>79</formula>
    </cfRule>
    <cfRule type="cellIs" priority="1511" operator="between" dxfId="1">
      <formula>60</formula>
      <formula>69</formula>
    </cfRule>
    <cfRule type="cellIs" priority="1512" operator="between" dxfId="0">
      <formula>0</formula>
      <formula>59</formula>
    </cfRule>
  </conditionalFormatting>
  <dataValidations count="1">
    <dataValidation sqref="B2:G2" showErrorMessage="1" showInputMessage="1" allowBlank="1" type="list">
      <formula1>$M$6:$M$13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65"/>
  <sheetViews>
    <sheetView topLeftCell="A29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5" bestFit="1" customWidth="1" min="3" max="3"/>
    <col width="15.85546875" bestFit="1" customWidth="1" min="4" max="4"/>
    <col width="17.7109375" bestFit="1" customWidth="1" min="5" max="5"/>
    <col width="14.42578125" bestFit="1" customWidth="1" min="6" max="6"/>
    <col width="14.85546875" bestFit="1" customWidth="1" min="7" max="7"/>
    <col width="17.7109375" bestFit="1" customWidth="1" min="8" max="8"/>
    <col width="15.28515625" bestFit="1" customWidth="1" min="9" max="10"/>
    <col width="14.85546875" bestFit="1" customWidth="1" min="11" max="12"/>
    <col width="9.28515625" customWidth="1" min="13" max="13"/>
    <col width="15" customWidth="1" min="14" max="14"/>
    <col width="15" bestFit="1" customWidth="1" min="15" max="15"/>
    <col width="17.7109375" bestFit="1" customWidth="1" min="16" max="16"/>
    <col width="15" bestFit="1" customWidth="1" min="17" max="17"/>
    <col width="9.28515625" bestFit="1" customWidth="1" min="18" max="18"/>
    <col width="4.28515625" bestFit="1" customWidth="1" min="20" max="20"/>
  </cols>
  <sheetData>
    <row r="1">
      <c r="A1" s="8" t="inlineStr">
        <is>
          <t>Student Number</t>
        </is>
      </c>
      <c r="B1" s="141" t="inlineStr">
        <is>
          <t>CMNS-1290-2</t>
        </is>
      </c>
      <c r="C1" s="141" t="inlineStr">
        <is>
          <t>CMNS-1290-3</t>
        </is>
      </c>
      <c r="D1" s="141" t="inlineStr">
        <is>
          <t>CMNS-1290-4</t>
        </is>
      </c>
      <c r="E1" s="141" t="inlineStr">
        <is>
          <t>ENGL-1100-6</t>
        </is>
      </c>
      <c r="F1" s="141" t="inlineStr">
        <is>
          <t>ENGR-1100-2</t>
        </is>
      </c>
      <c r="G1" s="161" t="inlineStr">
        <is>
          <t>ENGR-1200-8</t>
        </is>
      </c>
      <c r="H1" s="160" t="inlineStr">
        <is>
          <t>ENGR-2000-8</t>
        </is>
      </c>
      <c r="I1" s="162" t="inlineStr">
        <is>
          <t>ENGR-2300-5</t>
        </is>
      </c>
      <c r="J1" s="142" t="inlineStr">
        <is>
          <t>ENGR-3300-5</t>
        </is>
      </c>
      <c r="K1" s="142" t="inlineStr">
        <is>
          <t>SENG-4100-4</t>
        </is>
      </c>
      <c r="L1" s="142" t="inlineStr">
        <is>
          <t>SENG-4100-8</t>
        </is>
      </c>
      <c r="M1" s="28">
        <f>COUNTA(B1:L1)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28">
        <f>COUNTIF(B2:L2, "&lt;&gt;")</f>
        <v/>
      </c>
    </row>
    <row r="3">
      <c r="A3" s="29" t="n">
        <v>1</v>
      </c>
      <c r="B3" s="165" t="n"/>
      <c r="C3" s="165" t="n"/>
      <c r="D3" s="165" t="n"/>
      <c r="E3" s="166" t="n"/>
      <c r="F3" s="166" t="n"/>
      <c r="G3" s="166" t="n"/>
      <c r="H3" s="166" t="n"/>
      <c r="I3" s="166" t="n"/>
      <c r="J3" s="166" t="n"/>
      <c r="K3" s="166" t="n"/>
      <c r="L3" s="166" t="n"/>
      <c r="M3" s="195" t="n"/>
    </row>
    <row r="4">
      <c r="A4" s="29" t="n">
        <v>2</v>
      </c>
      <c r="B4" s="165" t="n"/>
      <c r="C4" s="165" t="n"/>
      <c r="D4" s="165" t="n"/>
      <c r="E4" s="168" t="n"/>
      <c r="F4" s="168" t="n"/>
      <c r="G4" s="168" t="n"/>
      <c r="H4" s="168" t="n"/>
      <c r="I4" s="168" t="n"/>
      <c r="J4" s="168" t="n"/>
      <c r="K4" s="168" t="n"/>
      <c r="L4" s="168" t="n"/>
      <c r="M4" s="193" t="n"/>
    </row>
    <row r="5">
      <c r="A5" s="29" t="n">
        <v>3</v>
      </c>
      <c r="B5" s="165" t="n"/>
      <c r="C5" s="165" t="n"/>
      <c r="D5" s="165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93" t="n"/>
    </row>
    <row r="6">
      <c r="A6" s="29" t="n">
        <v>4</v>
      </c>
      <c r="B6" s="165" t="n"/>
      <c r="C6" s="165" t="n"/>
      <c r="D6" s="165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93" t="n"/>
      <c r="T6" s="104" t="inlineStr">
        <is>
          <t>A</t>
        </is>
      </c>
    </row>
    <row r="7">
      <c r="A7" s="29" t="n">
        <v>5</v>
      </c>
      <c r="B7" s="165" t="n"/>
      <c r="C7" s="165" t="n"/>
      <c r="D7" s="165" t="n"/>
      <c r="E7" s="168" t="n"/>
      <c r="F7" s="168" t="n"/>
      <c r="G7" s="168" t="n"/>
      <c r="H7" s="168" t="n"/>
      <c r="I7" s="168" t="n"/>
      <c r="J7" s="168" t="n"/>
      <c r="K7" s="168" t="n"/>
      <c r="L7" s="168" t="n"/>
      <c r="M7" s="193" t="n"/>
      <c r="T7" s="104" t="inlineStr">
        <is>
          <t>Q</t>
        </is>
      </c>
    </row>
    <row r="8">
      <c r="A8" s="29" t="n">
        <v>6</v>
      </c>
      <c r="B8" s="165" t="n"/>
      <c r="C8" s="165" t="n"/>
      <c r="D8" s="165" t="n"/>
      <c r="E8" s="168" t="n"/>
      <c r="F8" s="168" t="n"/>
      <c r="G8" s="168" t="n"/>
      <c r="H8" s="168" t="n"/>
      <c r="I8" s="168" t="n"/>
      <c r="J8" s="168" t="n"/>
      <c r="K8" s="168" t="n"/>
      <c r="L8" s="168" t="n"/>
      <c r="M8" s="193" t="n"/>
      <c r="T8" s="104" t="inlineStr">
        <is>
          <t>M</t>
        </is>
      </c>
    </row>
    <row r="9">
      <c r="A9" s="29" t="n">
        <v>7</v>
      </c>
      <c r="B9" s="165" t="n"/>
      <c r="C9" s="165" t="n"/>
      <c r="D9" s="165" t="n"/>
      <c r="E9" s="168" t="n"/>
      <c r="F9" s="168" t="n"/>
      <c r="G9" s="168" t="n"/>
      <c r="H9" s="168" t="n"/>
      <c r="I9" s="168" t="n"/>
      <c r="J9" s="168" t="n"/>
      <c r="K9" s="168" t="n"/>
      <c r="L9" s="168" t="n"/>
      <c r="M9" s="193" t="n"/>
      <c r="T9" s="104" t="inlineStr">
        <is>
          <t>F</t>
        </is>
      </c>
    </row>
    <row r="10">
      <c r="A10" s="29" t="n">
        <v>8</v>
      </c>
      <c r="B10" s="165" t="n"/>
      <c r="C10" s="165" t="n"/>
      <c r="D10" s="165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93" t="n"/>
      <c r="T10" s="104" t="inlineStr">
        <is>
          <t>P</t>
        </is>
      </c>
    </row>
    <row r="11">
      <c r="A11" s="29" t="n">
        <v>9</v>
      </c>
      <c r="B11" s="165" t="n"/>
      <c r="C11" s="165" t="n"/>
      <c r="D11" s="165" t="n"/>
      <c r="E11" s="168" t="n"/>
      <c r="F11" s="168" t="n"/>
      <c r="G11" s="168" t="n"/>
      <c r="H11" s="168" t="n"/>
      <c r="I11" s="168" t="n"/>
      <c r="J11" s="168" t="n"/>
      <c r="K11" s="168" t="n"/>
      <c r="L11" s="168" t="n"/>
      <c r="M11" s="193" t="n"/>
      <c r="T11" s="104" t="inlineStr">
        <is>
          <t>L</t>
        </is>
      </c>
    </row>
    <row r="12">
      <c r="A12" s="29" t="n">
        <v>10</v>
      </c>
      <c r="B12" s="165" t="n"/>
      <c r="C12" s="165" t="n"/>
      <c r="D12" s="165" t="n"/>
      <c r="E12" s="168" t="n"/>
      <c r="F12" s="168" t="n"/>
      <c r="G12" s="168" t="n"/>
      <c r="H12" s="168" t="n"/>
      <c r="I12" s="168" t="n"/>
      <c r="J12" s="168" t="n"/>
      <c r="K12" s="168" t="n"/>
      <c r="L12" s="168" t="n"/>
      <c r="M12" s="193" t="n"/>
      <c r="T12" s="104" t="inlineStr">
        <is>
          <t>OT</t>
        </is>
      </c>
    </row>
    <row r="13">
      <c r="A13" s="29" t="n">
        <v>11</v>
      </c>
      <c r="B13" s="165" t="n"/>
      <c r="C13" s="165" t="n"/>
      <c r="D13" s="165" t="n"/>
      <c r="E13" s="168" t="n"/>
      <c r="F13" s="168" t="n"/>
      <c r="G13" s="168" t="n"/>
      <c r="H13" s="168" t="n"/>
      <c r="I13" s="168" t="n"/>
      <c r="J13" s="168" t="n"/>
      <c r="K13" s="168" t="n"/>
      <c r="L13" s="168" t="n"/>
      <c r="M13" s="193" t="n"/>
    </row>
    <row r="14">
      <c r="A14" s="29" t="n">
        <v>12</v>
      </c>
      <c r="B14" s="165" t="n"/>
      <c r="C14" s="165" t="n"/>
      <c r="D14" s="165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93" t="n"/>
    </row>
    <row r="15">
      <c r="A15" s="29" t="n">
        <v>13</v>
      </c>
      <c r="B15" s="165" t="n"/>
      <c r="C15" s="165" t="n"/>
      <c r="D15" s="165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93" t="n"/>
    </row>
    <row r="16">
      <c r="A16" s="29" t="n">
        <v>14</v>
      </c>
      <c r="B16" s="165" t="n"/>
      <c r="C16" s="165" t="n"/>
      <c r="D16" s="165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93" t="n"/>
    </row>
    <row r="17">
      <c r="A17" s="29" t="n">
        <v>15</v>
      </c>
      <c r="B17" s="165" t="n"/>
      <c r="C17" s="165" t="n"/>
      <c r="D17" s="165" t="n"/>
      <c r="E17" s="168" t="n"/>
      <c r="F17" s="168" t="n"/>
      <c r="G17" s="168" t="n"/>
      <c r="H17" s="168" t="n"/>
      <c r="I17" s="168" t="n"/>
      <c r="J17" s="168" t="n"/>
      <c r="K17" s="168" t="n"/>
      <c r="L17" s="168" t="n"/>
      <c r="M17" s="193" t="n"/>
    </row>
    <row r="18">
      <c r="A18" s="29" t="n">
        <v>16</v>
      </c>
      <c r="B18" s="165" t="n"/>
      <c r="C18" s="165" t="n"/>
      <c r="D18" s="165" t="n"/>
      <c r="E18" s="168" t="n"/>
      <c r="F18" s="168" t="n"/>
      <c r="G18" s="168" t="n"/>
      <c r="H18" s="168" t="n"/>
      <c r="I18" s="168" t="n"/>
      <c r="J18" s="168" t="n"/>
      <c r="K18" s="168" t="n"/>
      <c r="L18" s="168" t="n"/>
      <c r="M18" s="193" t="n"/>
    </row>
    <row r="19">
      <c r="A19" s="29" t="n">
        <v>17</v>
      </c>
      <c r="B19" s="165" t="n"/>
      <c r="C19" s="165" t="n"/>
      <c r="D19" s="165" t="n"/>
      <c r="E19" s="168" t="n"/>
      <c r="F19" s="168" t="n"/>
      <c r="G19" s="168" t="n"/>
      <c r="H19" s="168" t="n"/>
      <c r="I19" s="168" t="n"/>
      <c r="J19" s="168" t="n"/>
      <c r="K19" s="168" t="n"/>
      <c r="L19" s="168" t="n"/>
      <c r="M19" s="193" t="n"/>
    </row>
    <row r="20">
      <c r="A20" s="29" t="n">
        <v>18</v>
      </c>
      <c r="B20" s="165" t="n"/>
      <c r="C20" s="165" t="n"/>
      <c r="D20" s="165" t="n"/>
      <c r="E20" s="168" t="n"/>
      <c r="F20" s="168" t="n"/>
      <c r="G20" s="168" t="n"/>
      <c r="H20" s="168" t="n"/>
      <c r="I20" s="168" t="n"/>
      <c r="J20" s="168" t="n"/>
      <c r="K20" s="168" t="n"/>
      <c r="L20" s="168" t="n"/>
      <c r="M20" s="193" t="n"/>
    </row>
    <row r="21">
      <c r="A21" s="29" t="n">
        <v>19</v>
      </c>
      <c r="B21" s="165" t="n"/>
      <c r="C21" s="165" t="n"/>
      <c r="D21" s="165" t="n"/>
      <c r="E21" s="168" t="n"/>
      <c r="F21" s="168" t="n"/>
      <c r="G21" s="168" t="n"/>
      <c r="H21" s="168" t="n"/>
      <c r="I21" s="168" t="n"/>
      <c r="J21" s="168" t="n"/>
      <c r="K21" s="168" t="n"/>
      <c r="L21" s="168" t="n"/>
      <c r="M21" s="193" t="n"/>
    </row>
    <row r="22">
      <c r="A22" s="29" t="n">
        <v>20</v>
      </c>
      <c r="B22" s="165" t="n"/>
      <c r="C22" s="165" t="n"/>
      <c r="D22" s="165" t="n"/>
      <c r="E22" s="168" t="n"/>
      <c r="F22" s="168" t="n"/>
      <c r="G22" s="168" t="n"/>
      <c r="H22" s="168" t="n"/>
      <c r="I22" s="168" t="n"/>
      <c r="J22" s="168" t="n"/>
      <c r="K22" s="168" t="n"/>
      <c r="L22" s="168" t="n"/>
      <c r="M22" s="193" t="n"/>
    </row>
    <row r="23">
      <c r="A23" s="29" t="n">
        <v>21</v>
      </c>
      <c r="B23" s="165" t="n"/>
      <c r="C23" s="165" t="n"/>
      <c r="D23" s="165" t="n"/>
      <c r="E23" s="168" t="n"/>
      <c r="F23" s="168" t="n"/>
      <c r="G23" s="168" t="n"/>
      <c r="H23" s="168" t="n"/>
      <c r="I23" s="168" t="n"/>
      <c r="J23" s="168" t="n"/>
      <c r="K23" s="168" t="n"/>
      <c r="L23" s="168" t="n"/>
      <c r="M23" s="193" t="n"/>
    </row>
    <row r="24">
      <c r="A24" s="29" t="n">
        <v>22</v>
      </c>
      <c r="B24" s="165" t="n"/>
      <c r="C24" s="165" t="n"/>
      <c r="D24" s="165" t="n"/>
      <c r="E24" s="168" t="n"/>
      <c r="F24" s="168" t="n"/>
      <c r="G24" s="168" t="n"/>
      <c r="H24" s="168" t="n"/>
      <c r="I24" s="168" t="n"/>
      <c r="J24" s="168" t="n"/>
      <c r="K24" s="168" t="n"/>
      <c r="L24" s="168" t="n"/>
      <c r="M24" s="193" t="n"/>
    </row>
    <row r="25">
      <c r="A25" s="29" t="n">
        <v>23</v>
      </c>
      <c r="B25" s="165" t="n"/>
      <c r="C25" s="165" t="n"/>
      <c r="D25" s="165" t="n"/>
      <c r="E25" s="168" t="n"/>
      <c r="F25" s="168" t="n"/>
      <c r="G25" s="168" t="n"/>
      <c r="H25" s="168" t="n"/>
      <c r="I25" s="168" t="n"/>
      <c r="J25" s="168" t="n"/>
      <c r="K25" s="168" t="n"/>
      <c r="L25" s="168" t="n"/>
      <c r="M25" s="193" t="n"/>
    </row>
    <row r="26">
      <c r="A26" s="29" t="n">
        <v>24</v>
      </c>
      <c r="B26" s="165" t="n"/>
      <c r="C26" s="165" t="n"/>
      <c r="D26" s="165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93" t="n"/>
    </row>
    <row r="27">
      <c r="A27" s="29" t="n">
        <v>25</v>
      </c>
      <c r="B27" s="165" t="n"/>
      <c r="C27" s="165" t="n"/>
      <c r="D27" s="165" t="n"/>
      <c r="E27" s="168" t="n"/>
      <c r="F27" s="168" t="n"/>
      <c r="G27" s="168" t="n"/>
      <c r="H27" s="168" t="n"/>
      <c r="I27" s="168" t="n"/>
      <c r="J27" s="168" t="n"/>
      <c r="K27" s="168" t="n"/>
      <c r="L27" s="168" t="n"/>
      <c r="M27" s="193" t="n"/>
    </row>
    <row r="28">
      <c r="A28" s="29" t="n">
        <v>26</v>
      </c>
      <c r="B28" s="171" t="n"/>
      <c r="C28" s="171" t="n"/>
      <c r="D28" s="171" t="n"/>
      <c r="E28" s="168" t="n"/>
      <c r="F28" s="168" t="n"/>
      <c r="G28" s="168" t="n"/>
      <c r="H28" s="168" t="n"/>
      <c r="I28" s="168" t="n"/>
      <c r="J28" s="168" t="n"/>
      <c r="K28" s="168" t="n"/>
      <c r="L28" s="168" t="n"/>
      <c r="M28" s="193" t="n"/>
    </row>
    <row r="29">
      <c r="A29" s="29" t="n">
        <v>27</v>
      </c>
      <c r="B29" s="171" t="n"/>
      <c r="C29" s="171" t="n"/>
      <c r="D29" s="171" t="n"/>
      <c r="E29" s="168" t="n"/>
      <c r="F29" s="168" t="n"/>
      <c r="G29" s="168" t="n"/>
      <c r="H29" s="168" t="n"/>
      <c r="I29" s="168" t="n"/>
      <c r="J29" s="168" t="n"/>
      <c r="K29" s="168" t="n"/>
      <c r="L29" s="168" t="n"/>
      <c r="M29" s="193" t="n"/>
    </row>
    <row r="30">
      <c r="A30" s="29" t="n">
        <v>28</v>
      </c>
      <c r="B30" s="171" t="n"/>
      <c r="C30" s="171" t="n"/>
      <c r="D30" s="171" t="n"/>
      <c r="E30" s="168" t="n"/>
      <c r="F30" s="168" t="n"/>
      <c r="G30" s="168" t="n"/>
      <c r="H30" s="168" t="n"/>
      <c r="I30" s="168" t="n"/>
      <c r="J30" s="168" t="n"/>
      <c r="K30" s="168" t="n"/>
      <c r="L30" s="168" t="n"/>
      <c r="M30" s="193" t="n"/>
    </row>
    <row r="31">
      <c r="A31" s="29" t="n">
        <v>29</v>
      </c>
      <c r="B31" s="171" t="n"/>
      <c r="C31" s="171" t="n"/>
      <c r="D31" s="171" t="n"/>
      <c r="E31" s="168" t="n"/>
      <c r="F31" s="168" t="n"/>
      <c r="G31" s="168" t="n"/>
      <c r="H31" s="168" t="n"/>
      <c r="I31" s="168" t="n"/>
      <c r="J31" s="168" t="n"/>
      <c r="K31" s="168" t="n"/>
      <c r="L31" s="168" t="n"/>
      <c r="M31" s="193" t="n"/>
    </row>
    <row r="32">
      <c r="A32" s="29" t="n">
        <v>30</v>
      </c>
      <c r="B32" s="171" t="n"/>
      <c r="C32" s="171" t="n"/>
      <c r="D32" s="171" t="n"/>
      <c r="E32" s="168" t="n"/>
      <c r="F32" s="168" t="n"/>
      <c r="G32" s="168" t="n"/>
      <c r="H32" s="168" t="n"/>
      <c r="I32" s="168" t="n"/>
      <c r="J32" s="168" t="n"/>
      <c r="K32" s="168" t="n"/>
      <c r="L32" s="168" t="n"/>
      <c r="M32" s="193" t="n"/>
    </row>
    <row r="33">
      <c r="A33" s="29" t="n">
        <v>31</v>
      </c>
      <c r="B33" s="171" t="n"/>
      <c r="C33" s="171" t="n"/>
      <c r="D33" s="171" t="n"/>
      <c r="E33" s="168" t="n"/>
      <c r="F33" s="168" t="n"/>
      <c r="G33" s="168" t="n"/>
      <c r="H33" s="168" t="n"/>
      <c r="I33" s="168" t="n"/>
      <c r="J33" s="168" t="n"/>
      <c r="K33" s="168" t="n"/>
      <c r="L33" s="168" t="n"/>
      <c r="M33" s="193" t="n"/>
    </row>
    <row r="34">
      <c r="A34" s="29" t="n">
        <v>32</v>
      </c>
      <c r="B34" s="171" t="n"/>
      <c r="C34" s="171" t="n"/>
      <c r="D34" s="171" t="n"/>
      <c r="E34" s="168" t="n"/>
      <c r="F34" s="168" t="n"/>
      <c r="G34" s="168" t="n"/>
      <c r="H34" s="168" t="n"/>
      <c r="I34" s="168" t="n"/>
      <c r="J34" s="168" t="n"/>
      <c r="K34" s="168" t="n"/>
      <c r="L34" s="168" t="n"/>
      <c r="M34" s="193" t="n"/>
    </row>
    <row r="35">
      <c r="A35" s="29" t="n">
        <v>33</v>
      </c>
      <c r="B35" s="171" t="n"/>
      <c r="C35" s="171" t="n"/>
      <c r="D35" s="171" t="n"/>
      <c r="E35" s="168" t="n"/>
      <c r="F35" s="168" t="n"/>
      <c r="G35" s="168" t="n"/>
      <c r="H35" s="168" t="n"/>
      <c r="I35" s="168" t="n"/>
      <c r="J35" s="168" t="n"/>
      <c r="K35" s="168" t="n"/>
      <c r="L35" s="168" t="n"/>
      <c r="M35" s="193" t="n"/>
    </row>
    <row r="36">
      <c r="A36" s="29" t="n">
        <v>34</v>
      </c>
      <c r="B36" s="171" t="n"/>
      <c r="C36" s="171" t="n"/>
      <c r="D36" s="171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93" t="n"/>
    </row>
    <row r="37">
      <c r="A37" s="29" t="n">
        <v>35</v>
      </c>
      <c r="B37" s="171" t="n"/>
      <c r="C37" s="171" t="n"/>
      <c r="D37" s="171" t="n"/>
      <c r="E37" s="168" t="n"/>
      <c r="F37" s="168" t="n"/>
      <c r="G37" s="168" t="n"/>
      <c r="H37" s="168" t="n"/>
      <c r="I37" s="168" t="n"/>
      <c r="J37" s="168" t="n"/>
      <c r="K37" s="168" t="n"/>
      <c r="L37" s="168" t="n"/>
      <c r="M37" s="193" t="n"/>
    </row>
    <row r="38">
      <c r="A38" s="29" t="n">
        <v>36</v>
      </c>
      <c r="B38" s="171" t="n"/>
      <c r="C38" s="171" t="n"/>
      <c r="D38" s="171" t="n"/>
      <c r="E38" s="168" t="n"/>
      <c r="F38" s="168" t="n"/>
      <c r="G38" s="168" t="n"/>
      <c r="H38" s="168" t="n"/>
      <c r="I38" s="168" t="n"/>
      <c r="J38" s="168" t="n"/>
      <c r="K38" s="168" t="n"/>
      <c r="L38" s="168" t="n"/>
      <c r="M38" s="193" t="n"/>
    </row>
    <row r="39">
      <c r="A39" s="29" t="n">
        <v>37</v>
      </c>
      <c r="B39" s="171" t="n"/>
      <c r="C39" s="171" t="n"/>
      <c r="D39" s="171" t="n"/>
      <c r="E39" s="168" t="n"/>
      <c r="F39" s="168" t="n"/>
      <c r="G39" s="168" t="n"/>
      <c r="H39" s="168" t="n"/>
      <c r="I39" s="168" t="n"/>
      <c r="J39" s="168" t="n"/>
      <c r="K39" s="168" t="n"/>
      <c r="L39" s="168" t="n"/>
      <c r="M39" s="193" t="n"/>
    </row>
    <row r="40">
      <c r="A40" s="29" t="n">
        <v>38</v>
      </c>
      <c r="B40" s="171" t="n"/>
      <c r="C40" s="171" t="n"/>
      <c r="D40" s="171" t="n"/>
      <c r="E40" s="168" t="n"/>
      <c r="F40" s="168" t="n"/>
      <c r="G40" s="168" t="n"/>
      <c r="H40" s="168" t="n"/>
      <c r="I40" s="168" t="n"/>
      <c r="J40" s="168" t="n"/>
      <c r="K40" s="168" t="n"/>
      <c r="L40" s="168" t="n"/>
      <c r="M40" s="193" t="n"/>
    </row>
    <row r="41">
      <c r="A41" s="29" t="n">
        <v>39</v>
      </c>
      <c r="B41" s="171" t="n"/>
      <c r="C41" s="171" t="n"/>
      <c r="D41" s="171" t="n"/>
      <c r="E41" s="168" t="n"/>
      <c r="F41" s="168" t="n"/>
      <c r="G41" s="168" t="n"/>
      <c r="H41" s="168" t="n"/>
      <c r="I41" s="168" t="n"/>
      <c r="J41" s="168" t="n"/>
      <c r="K41" s="168" t="n"/>
      <c r="L41" s="168" t="n"/>
      <c r="M41" s="193" t="n"/>
    </row>
    <row r="42" ht="15.75" customHeight="1" thickBot="1">
      <c r="A42" s="29" t="n">
        <v>40</v>
      </c>
      <c r="B42" s="171" t="n"/>
      <c r="C42" s="171" t="n"/>
      <c r="D42" s="171" t="n"/>
      <c r="E42" s="168" t="n"/>
      <c r="F42" s="168" t="n"/>
      <c r="G42" s="168" t="n"/>
      <c r="H42" s="168" t="n"/>
      <c r="I42" s="168" t="n"/>
      <c r="J42" s="168" t="n"/>
      <c r="K42" s="168" t="n"/>
      <c r="L42" s="168" t="n"/>
      <c r="M42" s="194" t="n"/>
    </row>
    <row r="43" ht="15.75" customHeight="1" thickTop="1">
      <c r="A43" s="105" t="inlineStr">
        <is>
          <t>Average</t>
        </is>
      </c>
      <c r="B43" s="169">
        <f>AVERAGE(B3:B42)</f>
        <v/>
      </c>
      <c r="C43" s="169">
        <f>AVERAGE(C3:C42)</f>
        <v/>
      </c>
      <c r="D43" s="169">
        <f>AVERAGE(D3:D42)</f>
        <v/>
      </c>
      <c r="E43" s="169">
        <f>AVERAGE(E3:E42)</f>
        <v/>
      </c>
      <c r="F43" s="169">
        <f>AVERAGE(F3:F42)</f>
        <v/>
      </c>
      <c r="G43" s="169">
        <f>AVERAGE(G3:G42)</f>
        <v/>
      </c>
      <c r="H43" s="169">
        <f>AVERAGE(H3:H42)</f>
        <v/>
      </c>
      <c r="I43" s="169">
        <f>AVERAGE(I3:I42)</f>
        <v/>
      </c>
      <c r="J43" s="169">
        <f>AVERAGE(J3:J42)</f>
        <v/>
      </c>
      <c r="K43" s="169">
        <f>AVERAGE(K3:K42)</f>
        <v/>
      </c>
      <c r="L43" s="169">
        <f>AVERAGE(L3:L42)</f>
        <v/>
      </c>
      <c r="M43" s="33" t="n"/>
    </row>
    <row r="44">
      <c r="A44" s="34" t="inlineStr">
        <is>
          <t>Overall Average</t>
        </is>
      </c>
      <c r="B44" s="170">
        <f>AVERAGEIF(B43:L43, "&lt;&gt;#DIV/0!")</f>
        <v/>
      </c>
      <c r="C44" s="170" t="n"/>
      <c r="D44" s="170" t="n"/>
      <c r="E44" s="170" t="n"/>
      <c r="F44" s="170" t="n"/>
      <c r="G44" s="170" t="n"/>
      <c r="H44" s="170" t="n"/>
      <c r="I44" s="170" t="n"/>
      <c r="J44" s="170" t="n"/>
      <c r="K44" s="170" t="n"/>
      <c r="L44" s="170" t="n"/>
      <c r="M44" s="30" t="n"/>
    </row>
    <row r="45">
      <c r="A45" s="34" t="inlineStr">
        <is>
          <t>Total Students</t>
        </is>
      </c>
      <c r="B45" s="30">
        <f>COUNTIF(B3:B42, "&lt;&gt;")</f>
        <v/>
      </c>
      <c r="C45" s="30">
        <f>COUNTIF(C3:C42, "&lt;&gt;")</f>
        <v/>
      </c>
      <c r="D45" s="30">
        <f>COUNTIF(D3:D42, "&lt;&gt;")</f>
        <v/>
      </c>
      <c r="E45" s="30">
        <f>COUNTIF(E3:E42, "&lt;&gt;")</f>
        <v/>
      </c>
      <c r="F45" s="30">
        <f>COUNTIF(F3:F42, "&lt;&gt;")</f>
        <v/>
      </c>
      <c r="G45" s="30">
        <f>COUNTIF(G3:G42, "&lt;&gt;")</f>
        <v/>
      </c>
      <c r="H45" s="30">
        <f>COUNTIF(H3:H42, "&lt;&gt;")</f>
        <v/>
      </c>
      <c r="I45" s="30">
        <f>COUNTIF(I3:I42, "&lt;&gt;")</f>
        <v/>
      </c>
      <c r="J45" s="30">
        <f>COUNTIF(J3:J42, "&lt;&gt;")</f>
        <v/>
      </c>
      <c r="K45" s="30">
        <f>COUNTIF(K3:K42, "&lt;&gt;")</f>
        <v/>
      </c>
      <c r="L45" s="30">
        <f>COUNTIF(L3:L42, "&lt;&gt;")</f>
        <v/>
      </c>
      <c r="M45" s="30" t="n"/>
    </row>
    <row r="47">
      <c r="A47" s="8" t="n"/>
      <c r="B47" s="18" t="inlineStr">
        <is>
          <t>Assignment (A)</t>
        </is>
      </c>
      <c r="C47" s="18" t="inlineStr">
        <is>
          <t>Quiz (Q)</t>
        </is>
      </c>
      <c r="D47" s="18" t="inlineStr">
        <is>
          <t>Mid Term (M)</t>
        </is>
      </c>
      <c r="E47" s="18" t="inlineStr">
        <is>
          <t>Final Exam (F)</t>
        </is>
      </c>
      <c r="F47" s="18" t="inlineStr">
        <is>
          <t>Project (P)</t>
        </is>
      </c>
      <c r="G47" s="18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</row>
    <row r="48">
      <c r="A48" s="97" t="inlineStr">
        <is>
          <t>I (1st, 2nd yr)</t>
        </is>
      </c>
      <c r="B48" s="12">
        <f>COUNTIF($B$2:$G$2, "A")</f>
        <v/>
      </c>
      <c r="C48" s="12">
        <f>COUNTIF($B$2:$G$2, "Q")</f>
        <v/>
      </c>
      <c r="D48" s="12">
        <f>COUNTIF($B$2:$G$2, "M")</f>
        <v/>
      </c>
      <c r="E48" s="12">
        <f>COUNTIF($B$2:$G$2, "F")</f>
        <v/>
      </c>
      <c r="F48" s="12">
        <f>COUNTIF($B$2:$G$2, "P")</f>
        <v/>
      </c>
      <c r="G48" s="12">
        <f>COUNTIF($B$2:$G$2, "L")</f>
        <v/>
      </c>
      <c r="H48" s="12">
        <f>COUNTIF($B$2:$G$2, "OT")</f>
        <v/>
      </c>
      <c r="I48" s="12">
        <f>SUM(B48:H48)</f>
        <v/>
      </c>
    </row>
    <row r="49">
      <c r="A49" s="98" t="inlineStr">
        <is>
          <t>D (2nd &amp; 3rd yr)</t>
        </is>
      </c>
      <c r="B49" s="12">
        <f>COUNTIF($H$2:$I$2, "A")</f>
        <v/>
      </c>
      <c r="C49" s="12">
        <f>COUNTIF($H$2:$I$2, "Q")</f>
        <v/>
      </c>
      <c r="D49" s="12">
        <f>COUNTIF($H$2:$I$2, "M")</f>
        <v/>
      </c>
      <c r="E49" s="12">
        <f>COUNTIF($H$2:$I$2, "F")</f>
        <v/>
      </c>
      <c r="F49" s="12">
        <f>COUNTIF($H$2:$I$2, "P")</f>
        <v/>
      </c>
      <c r="G49" s="12">
        <f>COUNTIF($H$2:$I$2, "L")</f>
        <v/>
      </c>
      <c r="H49" s="12">
        <f>COUNTIF($H$2:$I$2, "OT")</f>
        <v/>
      </c>
      <c r="I49" s="12">
        <f>SUM(B49:H49)</f>
        <v/>
      </c>
    </row>
    <row r="50">
      <c r="A50" s="99" t="inlineStr">
        <is>
          <t>A (3rd, 4yr)</t>
        </is>
      </c>
      <c r="B50" s="12">
        <f>COUNTIF($J$2:$L$2, "A")</f>
        <v/>
      </c>
      <c r="C50" s="12">
        <f>COUNTIF($J$2:$L$2, "Q")</f>
        <v/>
      </c>
      <c r="D50" s="12">
        <f>COUNTIF($J$2:$L$2, "M")</f>
        <v/>
      </c>
      <c r="E50" s="12">
        <f>COUNTIF($J$2:$L$2, "F")</f>
        <v/>
      </c>
      <c r="F50" s="12">
        <f>COUNTIF($J$2:$L$2, "P")</f>
        <v/>
      </c>
      <c r="G50" s="12">
        <f>COUNTIF($J$2:$L$2, "L")</f>
        <v/>
      </c>
      <c r="H50" s="12">
        <f>COUNTIF($J$2:$L$2, "OT")</f>
        <v/>
      </c>
      <c r="I50" s="12">
        <f>SUM(B50:H50)</f>
        <v/>
      </c>
    </row>
    <row r="51">
      <c r="A51" s="18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4" t="inlineStr">
        <is>
          <t>Frequency Distribution Analysis</t>
        </is>
      </c>
      <c r="C53" s="84" t="n"/>
      <c r="D53" s="84" t="n"/>
      <c r="E53" s="84" t="n"/>
      <c r="F53" s="84" t="n"/>
      <c r="G53" s="84" t="n"/>
      <c r="H53" s="83" t="n"/>
      <c r="I53" s="83" t="n"/>
    </row>
    <row r="54" ht="16.5" customHeight="1" thickBot="1">
      <c r="A54" s="120" t="inlineStr">
        <is>
          <t>Scale</t>
        </is>
      </c>
      <c r="B54" s="141" t="inlineStr">
        <is>
          <t>CMNS-1290-2</t>
        </is>
      </c>
      <c r="C54" s="141" t="inlineStr">
        <is>
          <t>CMNS-1290-3</t>
        </is>
      </c>
      <c r="D54" s="141" t="inlineStr">
        <is>
          <t>CMNS-1290-4</t>
        </is>
      </c>
      <c r="E54" s="141" t="inlineStr">
        <is>
          <t>ENGL-1100-6</t>
        </is>
      </c>
      <c r="F54" s="141" t="inlineStr">
        <is>
          <t>ENGR-1100-2</t>
        </is>
      </c>
      <c r="G54" s="161" t="inlineStr">
        <is>
          <t>ENGR-1200-8</t>
        </is>
      </c>
      <c r="H54" s="160" t="inlineStr">
        <is>
          <t>ENGR-2000-8</t>
        </is>
      </c>
      <c r="I54" s="162" t="inlineStr">
        <is>
          <t>ENGR-2300-5</t>
        </is>
      </c>
      <c r="J54" s="142" t="inlineStr">
        <is>
          <t>ENGR-3300-5</t>
        </is>
      </c>
      <c r="K54" s="142" t="inlineStr">
        <is>
          <t>SENG-4100-4</t>
        </is>
      </c>
      <c r="L54" s="142" t="inlineStr">
        <is>
          <t>SENG-4100-8</t>
        </is>
      </c>
      <c r="M54" s="38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113">
        <f>(COUNTIF(H3:H42, "&lt;=59%"))/H45</f>
        <v/>
      </c>
      <c r="I55" s="113">
        <f>(COUNTIF(I3:I42, "&lt;=59%"))/I45</f>
        <v/>
      </c>
      <c r="J55" s="113">
        <f>(COUNTIF(J3:J42, "&lt;=59%"))/J45</f>
        <v/>
      </c>
      <c r="K55" s="113">
        <f>(COUNTIF(K3:K42, "&lt;=59%"))/K45</f>
        <v/>
      </c>
      <c r="L55" s="113">
        <f>(COUNTIF(L3:L42, "&lt;=59%"))/L45</f>
        <v/>
      </c>
      <c r="M55" s="39">
        <f>AVERAGEIF(B55:L55,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116">
        <f>(COUNTIFS(H3:H42, "&gt;= 60%", H3:H42, "&lt;=69%" ))/H45</f>
        <v/>
      </c>
      <c r="I56" s="116">
        <f>(COUNTIFS(I3:I42, "&gt;= 60%", I3:I42, "&lt;=69%" ))/I45</f>
        <v/>
      </c>
      <c r="J56" s="116">
        <f>(COUNTIFS(J3:J42, "&gt;= 60%", J3:J42, "&lt;=69%" ))/J45</f>
        <v/>
      </c>
      <c r="K56" s="116">
        <f>(COUNTIFS(K3:K42, "&gt;= 60%", K3:K42, "&lt;=69%" ))/K45</f>
        <v/>
      </c>
      <c r="L56" s="116">
        <f>(COUNTIFS(L3:L42, "&gt;= 60%", L3:L42, "&lt;=69%" ))/L45</f>
        <v/>
      </c>
      <c r="M56" s="39">
        <f>AVERAGEIF(B56:L56,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116">
        <f>(COUNTIFS(H3:H42, "&gt;= 70%", H3:H42, "&lt;=79%" ))/H45</f>
        <v/>
      </c>
      <c r="I57" s="116">
        <f>(COUNTIFS(I3:I42, "&gt;= 70%", I3:I42, "&lt;=79%" ))/I45</f>
        <v/>
      </c>
      <c r="J57" s="116">
        <f>(COUNTIFS(J3:J42, "&gt;= 70%", J3:J42, "&lt;=79%" ))/J45</f>
        <v/>
      </c>
      <c r="K57" s="116">
        <f>(COUNTIFS(K3:K42, "&gt;= 70%", K3:K42, "&lt;=79%" ))/K45</f>
        <v/>
      </c>
      <c r="L57" s="116">
        <f>(COUNTIFS(L3:L42, "&gt;= 70%", L3:L42, "&lt;=79%" ))/L45</f>
        <v/>
      </c>
      <c r="M57" s="39">
        <f>AVERAGEIF(B57:L57,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116">
        <f>(COUNTIF(H3:H42,"&gt;= 80%")/H45)</f>
        <v/>
      </c>
      <c r="I58" s="116">
        <f>(COUNTIF(I3:I42,"&gt;= 80%")/I45)</f>
        <v/>
      </c>
      <c r="J58" s="116">
        <f>(COUNTIF(J3:J42,"&gt;= 80%")/J45)</f>
        <v/>
      </c>
      <c r="K58" s="116">
        <f>(COUNTIF(K3:K42,"&gt;= 80%")/K45)</f>
        <v/>
      </c>
      <c r="L58" s="116">
        <f>(COUNTIF(L3:L42,"&gt;= 80%")/L45)</f>
        <v/>
      </c>
      <c r="M58" s="39">
        <f>AVERAGEIF(B58:L58, "&lt;&gt;#DIV/0!")</f>
        <v/>
      </c>
    </row>
    <row r="59" ht="15.75" customHeight="1" thickBot="1">
      <c r="A59" s="121" t="n"/>
      <c r="B59" s="122">
        <f>SUMIF(B55:B58, "&lt;&gt;#DIV/0!")</f>
        <v/>
      </c>
      <c r="C59" s="123">
        <f>SUMIF(C55:C58, "&lt;&gt;#DIV/0!")</f>
        <v/>
      </c>
      <c r="D59" s="123">
        <f>SUMIF(D55:D58, "&lt;&gt;#DIV/0!")</f>
        <v/>
      </c>
      <c r="E59" s="123">
        <f>SUMIF(E55:E58, "&lt;&gt;#DIV/0!")</f>
        <v/>
      </c>
      <c r="F59" s="123">
        <f>SUMIF(F55:F58, "&lt;&gt;#DIV/0!")</f>
        <v/>
      </c>
      <c r="G59" s="123">
        <f>SUMIF(G55:G58, "&lt;&gt;#DIV/0!")</f>
        <v/>
      </c>
      <c r="H59" s="123">
        <f>SUMIF(H55:H58, "&lt;&gt;#DIV/0!")</f>
        <v/>
      </c>
      <c r="I59" s="123">
        <f>SUMIF(I55:I58, "&lt;&gt;#DIV/0!")</f>
        <v/>
      </c>
      <c r="J59" s="123">
        <f>SUMIF(J55:J58, "&lt;&gt;#DIV/0!")</f>
        <v/>
      </c>
      <c r="K59" s="123">
        <f>SUMIF(K55:K58, "&lt;&gt;#DIV/0!")</f>
        <v/>
      </c>
      <c r="L59" s="123">
        <f>SUMIF(L55:L58, "&lt;&gt;#DIV/0!")</f>
        <v/>
      </c>
      <c r="M59" s="39">
        <f>AVERAGEIF(B59:D59, "&lt;&gt;#DIV/0!")</f>
        <v/>
      </c>
    </row>
    <row r="60" ht="15.75" customHeight="1" thickBot="1"/>
    <row r="61" ht="15.75" customHeight="1" thickBot="1">
      <c r="A61" s="23" t="n"/>
      <c r="B61" s="40" t="inlineStr">
        <is>
          <t>Class Limit</t>
        </is>
      </c>
      <c r="C61" s="40" t="inlineStr">
        <is>
          <t>Bin</t>
        </is>
      </c>
    </row>
    <row r="62" ht="16.5" customHeight="1" thickBot="1">
      <c r="A62" s="36" t="inlineStr">
        <is>
          <t>Exceeds Expectation (A+, A, A-) (%)</t>
        </is>
      </c>
      <c r="B62" s="42" t="inlineStr">
        <is>
          <t>80-100</t>
        </is>
      </c>
      <c r="C62" s="41" t="n">
        <v>100</v>
      </c>
    </row>
    <row r="63" ht="16.5" customHeight="1" thickBot="1">
      <c r="A63" s="36" t="inlineStr">
        <is>
          <t>Meets Expectation (B+, B, B-) (%)</t>
        </is>
      </c>
      <c r="B63" s="42" t="inlineStr">
        <is>
          <t>70-79</t>
        </is>
      </c>
      <c r="C63" s="41" t="n">
        <v>79</v>
      </c>
    </row>
    <row r="64" ht="16.5" customHeight="1" thickBot="1">
      <c r="A64" s="36" t="inlineStr">
        <is>
          <t>Marginal (C+, C)  (%)</t>
        </is>
      </c>
      <c r="B64" s="42" t="inlineStr">
        <is>
          <t>60-69</t>
        </is>
      </c>
      <c r="C64" s="41" t="n">
        <v>69</v>
      </c>
    </row>
    <row r="65" ht="16.5" customHeight="1" thickBot="1">
      <c r="A65" s="36" t="inlineStr">
        <is>
          <t>Below Expectation (C- and below)  (%)</t>
        </is>
      </c>
      <c r="B65" s="42" t="inlineStr">
        <is>
          <t>0-59</t>
        </is>
      </c>
      <c r="C65" s="41" t="n">
        <v>59</v>
      </c>
    </row>
  </sheetData>
  <mergeCells count="1">
    <mergeCell ref="M3:M42"/>
  </mergeCells>
  <conditionalFormatting sqref="B3:L4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97" operator="greaterThanOrEqual" dxfId="3">
      <formula>80</formula>
    </cfRule>
    <cfRule type="containsBlanks" priority="1298" dxfId="4" stopIfTrue="1">
      <formula>LEN(TRIM(B3))=0</formula>
    </cfRule>
    <cfRule type="cellIs" priority="1299" operator="greaterThanOrEqual" dxfId="3">
      <formula>80</formula>
    </cfRule>
    <cfRule type="cellIs" priority="1300" operator="between" dxfId="2">
      <formula>70</formula>
      <formula>79</formula>
    </cfRule>
    <cfRule type="cellIs" priority="1301" operator="between" dxfId="1">
      <formula>60</formula>
      <formula>69</formula>
    </cfRule>
    <cfRule type="cellIs" priority="1302" operator="between" dxfId="0">
      <formula>0</formula>
      <formula>59</formula>
    </cfRule>
  </conditionalFormatting>
  <dataValidations count="1">
    <dataValidation sqref="B2:L2" showErrorMessage="1" showInputMessage="1" allowBlank="1" type="list">
      <formula1>$T$6:$T$13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7"/>
  <sheetViews>
    <sheetView zoomScale="80" zoomScaleNormal="80" workbookViewId="0">
      <selection activeCell="K6" sqref="K6"/>
    </sheetView>
  </sheetViews>
  <sheetFormatPr baseColWidth="8" defaultRowHeight="15" outlineLevelCol="0"/>
  <cols>
    <col width="16.140625" bestFit="1" customWidth="1" min="1" max="1"/>
  </cols>
  <sheetData>
    <row r="1" ht="18" customHeight="1">
      <c r="A1" s="186" t="inlineStr">
        <is>
          <t>Professionalism (GA-8) Curriculum Map</t>
        </is>
      </c>
    </row>
    <row r="2" ht="16.5" customHeight="1" thickBo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 ht="157.5" customHeight="1" thickBot="1" thickTop="1">
      <c r="A3" s="91" t="inlineStr">
        <is>
          <t>Professionalism</t>
        </is>
      </c>
      <c r="B3" s="92" t="inlineStr">
        <is>
          <t>ENGR-1100</t>
        </is>
      </c>
      <c r="C3" s="92" t="inlineStr">
        <is>
          <t>ENGL-1100</t>
        </is>
      </c>
      <c r="D3" s="92" t="inlineStr">
        <is>
          <t>CMNS-1290</t>
        </is>
      </c>
      <c r="E3" s="92" t="inlineStr">
        <is>
          <t>ENGR-1200</t>
        </is>
      </c>
      <c r="F3" s="92" t="inlineStr">
        <is>
          <t>ENGR-2200</t>
        </is>
      </c>
      <c r="G3" s="92" t="inlineStr">
        <is>
          <t>ENGR-2000</t>
        </is>
      </c>
      <c r="H3" s="92" t="inlineStr">
        <is>
          <t>ENGR-2300</t>
        </is>
      </c>
      <c r="I3" s="92" t="inlineStr">
        <is>
          <t>ENGR-2400</t>
        </is>
      </c>
      <c r="J3" s="92" t="inlineStr">
        <is>
          <t>SENG-3130</t>
        </is>
      </c>
      <c r="K3" s="92" t="inlineStr">
        <is>
          <t>ENGR-3300</t>
        </is>
      </c>
      <c r="L3" s="92" t="inlineStr">
        <is>
          <t>SENG-3120</t>
        </is>
      </c>
      <c r="M3" s="92" t="inlineStr">
        <is>
          <t>CENG-3020</t>
        </is>
      </c>
      <c r="N3" s="92" t="inlineStr">
        <is>
          <t>SENG-4100</t>
        </is>
      </c>
      <c r="O3" s="92" t="inlineStr">
        <is>
          <t>SENG-4120</t>
        </is>
      </c>
      <c r="P3" s="92" t="inlineStr">
        <is>
          <t>SENG-4110</t>
        </is>
      </c>
      <c r="Q3" s="92" t="inlineStr">
        <is>
          <t>SENG-4220</t>
        </is>
      </c>
    </row>
    <row r="4" ht="17.25" customHeight="1" thickBot="1" thickTop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6" t="inlineStr">
        <is>
          <t>X</t>
        </is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</row>
    <row r="5" ht="17.25" customHeight="1" thickBot="1" thickTop="1">
      <c r="A5" s="5" t="inlineStr">
        <is>
          <t>D</t>
        </is>
      </c>
      <c r="B5" s="2" t="n"/>
      <c r="C5" s="2" t="n"/>
      <c r="D5" s="2" t="n"/>
      <c r="E5" s="2" t="n"/>
      <c r="F5" s="2" t="n"/>
      <c r="G5" s="152" t="inlineStr">
        <is>
          <t>X</t>
        </is>
      </c>
      <c r="H5" s="152" t="inlineStr">
        <is>
          <t>X</t>
        </is>
      </c>
      <c r="I5" s="152" t="inlineStr">
        <is>
          <t>X</t>
        </is>
      </c>
      <c r="J5" s="152" t="inlineStr">
        <is>
          <t>X</t>
        </is>
      </c>
      <c r="K5" s="2" t="n"/>
      <c r="L5" s="2" t="n"/>
      <c r="M5" s="2" t="n"/>
      <c r="N5" s="2" t="n"/>
      <c r="O5" s="2" t="n"/>
      <c r="P5" s="2" t="n"/>
      <c r="Q5" s="2" t="n"/>
    </row>
    <row r="6" ht="17.25" customHeight="1" thickBot="1" thickTop="1">
      <c r="A6" s="5" t="inlineStr">
        <is>
          <t>A</t>
        </is>
      </c>
      <c r="B6" s="2" t="inlineStr">
        <is>
          <t xml:space="preserve"> 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140" t="inlineStr">
        <is>
          <t>X</t>
        </is>
      </c>
      <c r="L6" s="140" t="inlineStr">
        <is>
          <t>X</t>
        </is>
      </c>
      <c r="M6" s="140" t="inlineStr">
        <is>
          <t>X</t>
        </is>
      </c>
      <c r="N6" s="140" t="inlineStr">
        <is>
          <t>X</t>
        </is>
      </c>
      <c r="O6" s="140" t="inlineStr">
        <is>
          <t>X</t>
        </is>
      </c>
      <c r="P6" s="140" t="inlineStr">
        <is>
          <t>X</t>
        </is>
      </c>
      <c r="Q6" s="140" t="inlineStr">
        <is>
          <t>X</t>
        </is>
      </c>
    </row>
    <row r="7" ht="17.25" customHeight="1" thickBot="1" thickTop="1">
      <c r="A7" s="5" t="inlineStr">
        <is>
          <t>GA Indicators</t>
        </is>
      </c>
      <c r="B7" s="2" t="inlineStr">
        <is>
          <t>adf</t>
        </is>
      </c>
      <c r="C7" s="2" t="inlineStr">
        <is>
          <t>bf</t>
        </is>
      </c>
      <c r="D7" s="2" t="inlineStr">
        <is>
          <t>f</t>
        </is>
      </c>
      <c r="E7" s="2" t="inlineStr">
        <is>
          <t>bcef</t>
        </is>
      </c>
      <c r="F7" s="2" t="inlineStr">
        <is>
          <t>ace</t>
        </is>
      </c>
      <c r="G7" s="2" t="inlineStr">
        <is>
          <t>bcdf</t>
        </is>
      </c>
      <c r="H7" s="2" t="inlineStr">
        <is>
          <t>bf</t>
        </is>
      </c>
      <c r="I7" s="2" t="inlineStr">
        <is>
          <t>ce</t>
        </is>
      </c>
      <c r="J7" s="2" t="inlineStr">
        <is>
          <t>bcd</t>
        </is>
      </c>
      <c r="K7" s="2" t="inlineStr">
        <is>
          <t>abcef</t>
        </is>
      </c>
      <c r="L7" s="2" t="inlineStr">
        <is>
          <t>de</t>
        </is>
      </c>
      <c r="M7" s="2" t="inlineStr">
        <is>
          <t>b</t>
        </is>
      </c>
      <c r="N7" s="2" t="inlineStr">
        <is>
          <t>bf</t>
        </is>
      </c>
      <c r="O7" s="2" t="inlineStr">
        <is>
          <t>b</t>
        </is>
      </c>
      <c r="P7" s="2" t="inlineStr">
        <is>
          <t>bce</t>
        </is>
      </c>
      <c r="Q7" s="2" t="inlineStr">
        <is>
          <t>bc</t>
        </is>
      </c>
    </row>
    <row r="8" ht="15.75" customHeight="1" thickTop="1"/>
    <row r="9" ht="15.75" customHeight="1" thickBot="1"/>
    <row r="10" ht="17.25" customHeight="1" thickBot="1" thickTop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  <c r="F10" s="6" t="inlineStr">
        <is>
          <t>X</t>
        </is>
      </c>
      <c r="Q10" s="156" t="n"/>
    </row>
    <row r="11" ht="17.25" customHeight="1" thickBot="1" thickTop="1">
      <c r="A11" s="5" t="inlineStr">
        <is>
          <t>GA Indicators</t>
        </is>
      </c>
      <c r="B11" s="2" t="inlineStr">
        <is>
          <t>adf</t>
        </is>
      </c>
      <c r="C11" s="2" t="inlineStr">
        <is>
          <t>bf</t>
        </is>
      </c>
      <c r="D11" s="2" t="inlineStr">
        <is>
          <t>f</t>
        </is>
      </c>
      <c r="E11" s="2" t="inlineStr">
        <is>
          <t>bcef</t>
        </is>
      </c>
      <c r="F11" s="2" t="inlineStr">
        <is>
          <t>ace</t>
        </is>
      </c>
      <c r="Q11" s="156" t="n"/>
    </row>
    <row r="12" ht="16.5" customHeight="1" thickBot="1" thickTop="1"/>
    <row r="13" ht="17.25" customHeight="1" thickBot="1" thickTop="1">
      <c r="A13" s="5" t="inlineStr">
        <is>
          <t>D</t>
        </is>
      </c>
      <c r="B13" s="152" t="inlineStr">
        <is>
          <t>X</t>
        </is>
      </c>
      <c r="C13" s="152" t="inlineStr">
        <is>
          <t>X</t>
        </is>
      </c>
      <c r="D13" s="152" t="inlineStr">
        <is>
          <t>X</t>
        </is>
      </c>
      <c r="E13" s="152" t="inlineStr">
        <is>
          <t>X</t>
        </is>
      </c>
      <c r="Q13" s="156" t="n"/>
    </row>
    <row r="14" ht="17.25" customHeight="1" thickBot="1" thickTop="1">
      <c r="A14" s="5" t="inlineStr">
        <is>
          <t>GA Indicators</t>
        </is>
      </c>
      <c r="B14" s="2" t="inlineStr">
        <is>
          <t>bcdf</t>
        </is>
      </c>
      <c r="C14" s="2" t="inlineStr">
        <is>
          <t>bf</t>
        </is>
      </c>
      <c r="D14" s="2" t="inlineStr">
        <is>
          <t>ce</t>
        </is>
      </c>
      <c r="E14" s="2" t="inlineStr">
        <is>
          <t>bcd</t>
        </is>
      </c>
      <c r="Q14" s="157" t="n"/>
    </row>
    <row r="15" ht="16.5" customHeight="1" thickBot="1" thickTop="1"/>
    <row r="16" ht="17.25" customHeight="1" thickBot="1" thickTop="1">
      <c r="A16" s="5" t="inlineStr">
        <is>
          <t>A</t>
        </is>
      </c>
      <c r="B16" s="140" t="inlineStr">
        <is>
          <t>X</t>
        </is>
      </c>
      <c r="C16" s="140" t="inlineStr">
        <is>
          <t>X</t>
        </is>
      </c>
      <c r="D16" s="140" t="inlineStr">
        <is>
          <t>X</t>
        </is>
      </c>
      <c r="E16" s="140" t="inlineStr">
        <is>
          <t>X</t>
        </is>
      </c>
      <c r="F16" s="140" t="inlineStr">
        <is>
          <t>X</t>
        </is>
      </c>
      <c r="G16" s="140" t="inlineStr">
        <is>
          <t>X</t>
        </is>
      </c>
      <c r="H16" s="140" t="inlineStr">
        <is>
          <t>X</t>
        </is>
      </c>
      <c r="Q16" s="156" t="n"/>
    </row>
    <row r="17" ht="17.25" customHeight="1" thickBot="1" thickTop="1">
      <c r="A17" s="5" t="inlineStr">
        <is>
          <t>GA Indicators</t>
        </is>
      </c>
      <c r="B17" s="2" t="inlineStr">
        <is>
          <t>abcef</t>
        </is>
      </c>
      <c r="C17" s="2" t="inlineStr">
        <is>
          <t>de</t>
        </is>
      </c>
      <c r="D17" s="2" t="inlineStr">
        <is>
          <t>b</t>
        </is>
      </c>
      <c r="E17" s="2" t="inlineStr">
        <is>
          <t>bf</t>
        </is>
      </c>
      <c r="F17" s="2" t="inlineStr">
        <is>
          <t>b</t>
        </is>
      </c>
      <c r="G17" s="2" t="inlineStr">
        <is>
          <t>bce</t>
        </is>
      </c>
      <c r="H17" s="2" t="inlineStr">
        <is>
          <t>bc</t>
        </is>
      </c>
      <c r="Q17" s="157" t="n"/>
    </row>
    <row r="18" ht="15.75" customHeight="1" thickTop="1"/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Fahmed</dc:creator>
  <dcterms:created xsi:type="dcterms:W3CDTF">2021-08-10T23:02:18Z</dcterms:created>
  <dcterms:modified xsi:type="dcterms:W3CDTF">2022-07-21T21:45:46Z</dcterms:modified>
  <cp:lastModifiedBy>varundel</cp:lastModifiedBy>
</cp:coreProperties>
</file>