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iCost" sheetId="1" state="visible" r:id="rId2"/>
  </sheets>
  <definedNames>
    <definedName function="false" hidden="false" name="BoardQty" vbProcedure="false">KiCost!$I$1</definedName>
    <definedName function="false" hidden="false" name="digikey_part_data" vbProcedure="false">KiCost!$J$5:$O$20</definedName>
    <definedName function="false" hidden="false" name="global_part_data" vbProcedure="false">KiCost!$A$5:$I$20</definedName>
    <definedName function="false" hidden="false" name="mouser_part_data" vbProcedure="false">KiCost!$P$5:$U$20</definedName>
    <definedName function="false" hidden="false" name="newark_part_data" vbProcedure="false">KiCost!$V$5:$AA$20</definedName>
    <definedName function="false" hidden="false" name="TotalCost" vbProcedure="false">KiCost!$I$2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6" authorId="0">
      <text>
        <r>
          <rPr>
            <sz val="8"/>
            <color rgb="FF000000"/>
            <rFont val="Tahoma"/>
            <family val="2"/>
            <charset val="1"/>
          </rPr>
          <t xml:space="preserve">Schematic identifier for each part.</t>
        </r>
      </text>
    </comment>
    <comment ref="B6" authorId="0">
      <text>
        <r>
          <rPr>
            <sz val="8"/>
            <color rgb="FF000000"/>
            <rFont val="Tahoma"/>
            <family val="2"/>
            <charset val="1"/>
          </rPr>
          <t xml:space="preserve">Value of each part.</t>
        </r>
      </text>
    </comment>
    <comment ref="C6" authorId="0">
      <text>
        <r>
          <rPr>
            <sz val="8"/>
            <color rgb="FF000000"/>
            <rFont val="Tahoma"/>
            <family val="2"/>
            <charset val="1"/>
          </rPr>
          <t xml:space="preserve">Description of each part.</t>
        </r>
      </text>
    </comment>
    <comment ref="D6" authorId="0">
      <text>
        <r>
          <rPr>
            <sz val="8"/>
            <color rgb="FF000000"/>
            <rFont val="Tahoma"/>
            <family val="2"/>
            <charset val="1"/>
          </rPr>
          <t xml:space="preserve">PCB footprint for each part.</t>
        </r>
      </text>
    </comment>
    <comment ref="E6" authorId="0">
      <text>
        <r>
          <rPr>
            <sz val="8"/>
            <color rgb="FF000000"/>
            <rFont val="Tahoma"/>
            <family val="2"/>
            <charset val="1"/>
          </rPr>
          <t xml:space="preserve">Manufacturer of each part.</t>
        </r>
      </text>
    </comment>
    <comment ref="F6" authorId="0">
      <text>
        <r>
          <rPr>
            <sz val="8"/>
            <color rgb="FF000000"/>
            <rFont val="Tahoma"/>
            <family val="2"/>
            <charset val="1"/>
          </rPr>
          <t xml:space="preserve">Manufacturer number for each part.</t>
        </r>
      </text>
    </comment>
    <comment ref="G6" authorId="0">
      <text>
        <r>
          <rPr>
            <sz val="8"/>
            <color rgb="FF000000"/>
            <rFont val="Tahoma"/>
            <family val="2"/>
            <charset val="1"/>
          </rPr>
          <t xml:space="preserve">Total number of each part needed to assemble the board.</t>
        </r>
      </text>
    </comment>
    <comment ref="H6" authorId="0">
      <text>
        <r>
          <rPr>
            <sz val="8"/>
            <color rgb="FF000000"/>
            <rFont val="Tahoma"/>
            <family val="2"/>
            <charset val="1"/>
          </rPr>
          <t xml:space="preserve">Minimum unit price for each part across all distributors.</t>
        </r>
      </text>
    </comment>
    <comment ref="I6" authorId="0">
      <text>
        <r>
          <rPr>
            <sz val="8"/>
            <color rgb="FF000000"/>
            <rFont val="Tahoma"/>
            <family val="2"/>
            <charset val="1"/>
          </rPr>
          <t xml:space="preserve">Minimum extended price for each part across all distributors.</t>
        </r>
      </text>
    </comment>
    <comment ref="J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K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L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M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N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O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  <comment ref="P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Q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R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S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T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U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  <comment ref="V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W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X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Y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Z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AA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</commentList>
</comments>
</file>

<file path=xl/sharedStrings.xml><?xml version="1.0" encoding="utf-8"?>
<sst xmlns="http://schemas.openxmlformats.org/spreadsheetml/2006/main" count="143" uniqueCount="83">
  <si>
    <t xml:space="preserve">Board Qty:</t>
  </si>
  <si>
    <t xml:space="preserve">Total Cost:</t>
  </si>
  <si>
    <t xml:space="preserve">Unit Cost:</t>
  </si>
  <si>
    <t xml:space="preserve">Global Part Info</t>
  </si>
  <si>
    <t xml:space="preserve">Digi-Key</t>
  </si>
  <si>
    <t xml:space="preserve">Mouser</t>
  </si>
  <si>
    <t xml:space="preserve">Newark</t>
  </si>
  <si>
    <t xml:space="preserve">Refs</t>
  </si>
  <si>
    <t xml:space="preserve">Value</t>
  </si>
  <si>
    <t xml:space="preserve">Desc</t>
  </si>
  <si>
    <t xml:space="preserve">Footprint</t>
  </si>
  <si>
    <t xml:space="preserve">Manf</t>
  </si>
  <si>
    <t xml:space="preserve">Manf#</t>
  </si>
  <si>
    <t xml:space="preserve">Qty</t>
  </si>
  <si>
    <t xml:space="preserve">Unit$</t>
  </si>
  <si>
    <t xml:space="preserve">Ext$</t>
  </si>
  <si>
    <t xml:space="preserve">Avail</t>
  </si>
  <si>
    <t xml:space="preserve">Purch</t>
  </si>
  <si>
    <t xml:space="preserve">Cat#</t>
  </si>
  <si>
    <t xml:space="preserve">Doc</t>
  </si>
  <si>
    <t xml:space="preserve">P2</t>
  </si>
  <si>
    <t xml:space="preserve">Relay 2</t>
  </si>
  <si>
    <t xml:space="preserve">Terminal_Blocks:TerminalBlock_Pheonix_MKDS1.5-2pol</t>
  </si>
  <si>
    <t xml:space="preserve">1711725</t>
  </si>
  <si>
    <t xml:space="preserve">277-1027-ND</t>
  </si>
  <si>
    <t xml:space="preserve">Link</t>
  </si>
  <si>
    <t xml:space="preserve">651-1711725</t>
  </si>
  <si>
    <t xml:space="preserve">69C8576</t>
  </si>
  <si>
    <t xml:space="preserve">P12</t>
  </si>
  <si>
    <t xml:space="preserve">CONN_01X06</t>
  </si>
  <si>
    <t xml:space="preserve">Pin_Headers:Pin_Header_Straight_1x06</t>
  </si>
  <si>
    <t xml:space="preserve">P5-P9</t>
  </si>
  <si>
    <t xml:space="preserve">CONN_01X08</t>
  </si>
  <si>
    <t xml:space="preserve">Pin_Headers:Pin_Header_Straight_1x08</t>
  </si>
  <si>
    <t xml:space="preserve">D2,D4,D7,D8</t>
  </si>
  <si>
    <t xml:space="preserve">1N4148</t>
  </si>
  <si>
    <t xml:space="preserve">Diodes_ThroughHole:Diode_DO-35_SOD27_Horizontal_RM10</t>
  </si>
  <si>
    <t xml:space="preserve">512-1N4148</t>
  </si>
  <si>
    <t xml:space="preserve">P1</t>
  </si>
  <si>
    <t xml:space="preserve">Relay 1</t>
  </si>
  <si>
    <t xml:space="preserve">D1,D3,D5,D6</t>
  </si>
  <si>
    <t xml:space="preserve">RED</t>
  </si>
  <si>
    <t xml:space="preserve">LEDs:LED-3MM</t>
  </si>
  <si>
    <t xml:space="preserve">HLMP-K150</t>
  </si>
  <si>
    <t xml:space="preserve">630-HLMP-K150</t>
  </si>
  <si>
    <t xml:space="preserve">39K9989</t>
  </si>
  <si>
    <t xml:space="preserve">P4</t>
  </si>
  <si>
    <t xml:space="preserve">Relay 3</t>
  </si>
  <si>
    <t xml:space="preserve">R2,R3,R5,R6</t>
  </si>
  <si>
    <t xml:space="preserve">2.2K</t>
  </si>
  <si>
    <t xml:space="preserve">Resistors_ThroughHole:Resistor_Horizontal_RM7mm</t>
  </si>
  <si>
    <t xml:space="preserve">CFR16J2K2</t>
  </si>
  <si>
    <t xml:space="preserve">A105880CT-ND</t>
  </si>
  <si>
    <t xml:space="preserve">279-CFR16J2K2</t>
  </si>
  <si>
    <t xml:space="preserve">95W5724</t>
  </si>
  <si>
    <t xml:space="preserve">RLY1-RLY4</t>
  </si>
  <si>
    <t xml:space="preserve">RELAY_40.31</t>
  </si>
  <si>
    <t xml:space="preserve">Relays_ThroughHole:Relay_SPDS_OMRON-G6E</t>
  </si>
  <si>
    <t xml:space="preserve">G6E-134P-US DC5</t>
  </si>
  <si>
    <t xml:space="preserve">Z3668-ND</t>
  </si>
  <si>
    <t xml:space="preserve">653-G6E-134P-USDC5</t>
  </si>
  <si>
    <t xml:space="preserve">R1,R4,R7,R8</t>
  </si>
  <si>
    <t xml:space="preserve">470</t>
  </si>
  <si>
    <t xml:space="preserve">OD471JE</t>
  </si>
  <si>
    <t xml:space="preserve">OD471JE-ND</t>
  </si>
  <si>
    <t xml:space="preserve">588-OD471JE</t>
  </si>
  <si>
    <t xml:space="preserve">64K5122</t>
  </si>
  <si>
    <t xml:space="preserve">SHIELD1</t>
  </si>
  <si>
    <t xml:space="preserve">ARDUINO_MEGA_SHIELD</t>
  </si>
  <si>
    <t xml:space="preserve">arduino_shields:ARDUINO MEGA SHIELD</t>
  </si>
  <si>
    <t xml:space="preserve">2893</t>
  </si>
  <si>
    <t xml:space="preserve">94M4208</t>
  </si>
  <si>
    <t xml:space="preserve">P3</t>
  </si>
  <si>
    <t xml:space="preserve">Relay 4</t>
  </si>
  <si>
    <t xml:space="preserve">Q1-Q4</t>
  </si>
  <si>
    <t xml:space="preserve">PN2222A</t>
  </si>
  <si>
    <t xml:space="preserve">TO_SOT_Packages_THT:TO-92_Inline_Narrow_Oval</t>
  </si>
  <si>
    <t xml:space="preserve">PN2222ACS-ND</t>
  </si>
  <si>
    <t xml:space="preserve">610-PN2222A</t>
  </si>
  <si>
    <t xml:space="preserve">58K2048</t>
  </si>
  <si>
    <t xml:space="preserve">P10,P11</t>
  </si>
  <si>
    <t xml:space="preserve">CONN_01X18</t>
  </si>
  <si>
    <t xml:space="preserve">Pin_Headers:Pin_Header_Straight_1x18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</si>
</sst>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3"/>
      <color rgb="FF008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8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303030"/>
        <bgColor rgb="FF333300"/>
      </patternFill>
    </fill>
    <fill>
      <patternFill patternType="solid">
        <fgColor rgb="FFCC0000"/>
        <bgColor rgb="FFFF0000"/>
      </patternFill>
    </fill>
    <fill>
      <patternFill patternType="solid">
        <fgColor rgb="FF004A85"/>
        <bgColor rgb="FF0066CC"/>
      </patternFill>
    </fill>
    <fill>
      <patternFill patternType="solid">
        <fgColor rgb="FFA2AE06"/>
        <bgColor rgb="FF8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ill>
        <patternFill>
          <bgColor rgb="FF80FF8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0FF80"/>
      <rgbColor rgb="FFFFFF99"/>
      <rgbColor rgb="FF99CCFF"/>
      <rgbColor rgb="FFFF99CC"/>
      <rgbColor rgb="FFCC99FF"/>
      <rgbColor rgb="FFFFCC99"/>
      <rgbColor rgb="FF3366FF"/>
      <rgbColor rgb="FF33CCCC"/>
      <rgbColor rgb="FFA2AE06"/>
      <rgbColor rgb="FFFFCC00"/>
      <rgbColor rgb="FFFF9900"/>
      <rgbColor rgb="FFFF6600"/>
      <rgbColor rgb="FF666699"/>
      <rgbColor rgb="FF969696"/>
      <rgbColor rgb="FF004A85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digikey.com/scripts/DkSearch/dksus.dll?WT.z_header=search_go&amp;lang=en&amp;keywords=1711725%20" TargetMode="External"/><Relationship Id="rId3" Type="http://schemas.openxmlformats.org/officeDocument/2006/relationships/hyperlink" Target="http://www.mouser.com/ProductDetail/Phoenix-Contact/1711725/?qs=sGAEpiMZZMvlX3nhDDO4ACbXpl84MTPkwjMHfRUJVjA%3D" TargetMode="External"/><Relationship Id="rId4" Type="http://schemas.openxmlformats.org/officeDocument/2006/relationships/hyperlink" Target="http://www.newark.com/webapp/wcs/stores/servlet/Search?catalogId=15003&amp;langId=-1&amp;storeId=10194&amp;gs=true&amp;st=1711725%20" TargetMode="External"/><Relationship Id="rId5" Type="http://schemas.openxmlformats.org/officeDocument/2006/relationships/hyperlink" Target="http://www.mouser.com/ProductDetail/Fairchild-Semiconductor/1N4148/?qs=sGAEpiMZZMudZehw8RjeZWbu6z6oTQTL" TargetMode="External"/><Relationship Id="rId6" Type="http://schemas.openxmlformats.org/officeDocument/2006/relationships/hyperlink" Target="http://www.digikey.com/scripts/DkSearch/dksus.dll?WT.z_header=search_go&amp;lang=en&amp;keywords=1711725%20" TargetMode="External"/><Relationship Id="rId7" Type="http://schemas.openxmlformats.org/officeDocument/2006/relationships/hyperlink" Target="http://www.mouser.com/ProductDetail/Phoenix-Contact/1711725/?qs=sGAEpiMZZMvlX3nhDDO4ACbXpl84MTPkwjMHfRUJVjA%3D" TargetMode="External"/><Relationship Id="rId8" Type="http://schemas.openxmlformats.org/officeDocument/2006/relationships/hyperlink" Target="http://www.newark.com/webapp/wcs/stores/servlet/Search?catalogId=15003&amp;langId=-1&amp;storeId=10194&amp;gs=true&amp;st=1711725%20" TargetMode="External"/><Relationship Id="rId9" Type="http://schemas.openxmlformats.org/officeDocument/2006/relationships/hyperlink" Target="http://www.mouser.com/ProductDetail/Broadcom-Avago/HLMP-K150/?qs=sGAEpiMZZMt82OzCyDsLFAnVGpkVHfNM1nHs2GlLOtE%3D" TargetMode="External"/><Relationship Id="rId10" Type="http://schemas.openxmlformats.org/officeDocument/2006/relationships/hyperlink" Target="http://www.newark.com/webapp/wcs/stores/servlet/Search?catalogId=15003&amp;langId=-1&amp;storeId=10194&amp;gs=true&amp;st=HLMP-K150%20" TargetMode="External"/><Relationship Id="rId11" Type="http://schemas.openxmlformats.org/officeDocument/2006/relationships/hyperlink" Target="http://www.digikey.com/scripts/DkSearch/dksus.dll?WT.z_header=search_go&amp;lang=en&amp;keywords=1711725%20" TargetMode="External"/><Relationship Id="rId12" Type="http://schemas.openxmlformats.org/officeDocument/2006/relationships/hyperlink" Target="http://www.mouser.com/ProductDetail/Phoenix-Contact/1711725/?qs=sGAEpiMZZMvlX3nhDDO4ACbXpl84MTPkwjMHfRUJVjA%3D" TargetMode="External"/><Relationship Id="rId13" Type="http://schemas.openxmlformats.org/officeDocument/2006/relationships/hyperlink" Target="http://www.newark.com/webapp/wcs/stores/servlet/Search?catalogId=15003&amp;langId=-1&amp;storeId=10194&amp;gs=true&amp;st=1711725%20" TargetMode="External"/><Relationship Id="rId14" Type="http://schemas.openxmlformats.org/officeDocument/2006/relationships/hyperlink" Target="http://www.digikey.com/product-detail/en/te-connectivity-passive-product/CFR16J2K2/A105880CT-ND/3477408" TargetMode="External"/><Relationship Id="rId15" Type="http://schemas.openxmlformats.org/officeDocument/2006/relationships/hyperlink" Target="http://www.mouser.com/Search/Refine.aspx?Keyword=CFR16J2K2%20" TargetMode="External"/><Relationship Id="rId16" Type="http://schemas.openxmlformats.org/officeDocument/2006/relationships/hyperlink" Target="http://www.newark.com/webapp/wcs/stores/servlet/Search?catalogId=15003&amp;langId=-1&amp;storeId=10194&amp;gs=true&amp;st=CFR16J2K2%20" TargetMode="External"/><Relationship Id="rId17" Type="http://schemas.openxmlformats.org/officeDocument/2006/relationships/hyperlink" Target="http://www.digikey.com/scripts/DkSearch/dksus.dll?WT.z_header=search_go&amp;lang=en&amp;keywords=G6E-134P-US%20DC5%20" TargetMode="External"/><Relationship Id="rId18" Type="http://schemas.openxmlformats.org/officeDocument/2006/relationships/hyperlink" Target="http://www.mouser.com/ProductDetail/Omron-Electronics/G6E-134P-US-DC5/?qs=sGAEpiMZZMs3UE%252bXNiFaVAgX4JnYt0BQQv7cJXwHsy4%3D" TargetMode="External"/><Relationship Id="rId19" Type="http://schemas.openxmlformats.org/officeDocument/2006/relationships/hyperlink" Target="http://www.newark.com/webapp/wcs/stores/servlet/Search?catalogId=15003&amp;langId=-1&amp;storeId=10194&amp;gs=true&amp;st=G6E-134P-US%20DC5%20" TargetMode="External"/><Relationship Id="rId20" Type="http://schemas.openxmlformats.org/officeDocument/2006/relationships/hyperlink" Target="http://www.digikey.com/scripts/DkSearch/dksus.dll?WT.z_header=search_go&amp;lang=en&amp;keywords=OD471JE%20" TargetMode="External"/><Relationship Id="rId21" Type="http://schemas.openxmlformats.org/officeDocument/2006/relationships/hyperlink" Target="http://www.mouser.com/Search/Refine.aspx?Keyword=OD471JE%20" TargetMode="External"/><Relationship Id="rId22" Type="http://schemas.openxmlformats.org/officeDocument/2006/relationships/hyperlink" Target="http://www.newark.com/webapp/wcs/stores/servlet/Search?catalogId=15003&amp;langId=-1&amp;storeId=10194&amp;gs=true&amp;st=OD471JE%20" TargetMode="External"/><Relationship Id="rId23" Type="http://schemas.openxmlformats.org/officeDocument/2006/relationships/hyperlink" Target="http://www.mouser.com/ProductDetail/Arduino/2893/?qs=sGAEpiMZZMt7ScBeCnc0e96UmxMtDLKx1uSZR46Gbmk%3D" TargetMode="External"/><Relationship Id="rId24" Type="http://schemas.openxmlformats.org/officeDocument/2006/relationships/hyperlink" Target="http://www.newark.com/webapp/wcs/stores/servlet/Search?catalogId=15003&amp;langId=-1&amp;storeId=10194&amp;gs=true&amp;st=2893%20" TargetMode="External"/><Relationship Id="rId25" Type="http://schemas.openxmlformats.org/officeDocument/2006/relationships/hyperlink" Target="http://www.digikey.com/scripts/DkSearch/dksus.dll?WT.z_header=search_go&amp;lang=en&amp;keywords=1711725%20" TargetMode="External"/><Relationship Id="rId26" Type="http://schemas.openxmlformats.org/officeDocument/2006/relationships/hyperlink" Target="http://www.mouser.com/ProductDetail/Phoenix-Contact/1711725/?qs=sGAEpiMZZMvlX3nhDDO4ACbXpl84MTPkwjMHfRUJVjA%3D" TargetMode="External"/><Relationship Id="rId27" Type="http://schemas.openxmlformats.org/officeDocument/2006/relationships/hyperlink" Target="http://www.newark.com/webapp/wcs/stores/servlet/Search?catalogId=15003&amp;langId=-1&amp;storeId=10194&amp;gs=true&amp;st=1711725%20" TargetMode="External"/><Relationship Id="rId28" Type="http://schemas.openxmlformats.org/officeDocument/2006/relationships/hyperlink" Target="http://www.digikey.com/product-detail/en/central-semiconductor-corp/PN2222A/PN2222ACS-ND/4806937" TargetMode="External"/><Relationship Id="rId29" Type="http://schemas.openxmlformats.org/officeDocument/2006/relationships/hyperlink" Target="http://www.mouser.com/ProductDetail/Central-Semiconductor/PN2222A/?qs=sGAEpiMZZMshyDBzk1%2FWiw99kSkYzPxmhRJ9whCaVUM%3D" TargetMode="External"/><Relationship Id="rId30" Type="http://schemas.openxmlformats.org/officeDocument/2006/relationships/hyperlink" Target="http://www.newark.com/fairchild-semiconductor/pn2222atf/bipolar-transistor-npn-40v-to/dp/58K2048" TargetMode="External"/><Relationship Id="rId31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9" ySplit="6" topLeftCell="J7" activePane="bottomRight" state="frozen"/>
      <selection pane="topLeft" activeCell="A1" activeCellId="0" sqref="A1"/>
      <selection pane="topRight" activeCell="J1" activeCellId="0" sqref="J1"/>
      <selection pane="bottomLeft" activeCell="A7" activeCellId="0" sqref="A7"/>
      <selection pane="bottomRight" activeCell="A1" activeCellId="0" sqref="A1"/>
    </sheetView>
  </sheetViews>
  <sheetFormatPr defaultRowHeight="15"/>
  <cols>
    <col collapsed="false" hidden="false" max="8" min="1" style="0" width="9.10526315789474"/>
    <col collapsed="false" hidden="false" max="9" min="9" style="0" width="15.7449392712551"/>
    <col collapsed="false" hidden="false" max="10" min="10" style="0" width="9.10526315789474"/>
    <col collapsed="false" hidden="false" max="12" min="11" style="0" width="9.10526315789474"/>
    <col collapsed="false" hidden="false" max="13" min="13" style="0" width="15.7449392712551"/>
    <col collapsed="false" hidden="false" max="15" min="14" style="0" width="9.10526315789474"/>
    <col collapsed="false" hidden="false" max="16" min="16" style="0" width="9.10526315789474"/>
    <col collapsed="false" hidden="false" max="18" min="17" style="0" width="9.10526315789474"/>
    <col collapsed="false" hidden="false" max="19" min="19" style="0" width="15.7449392712551"/>
    <col collapsed="false" hidden="false" max="21" min="20" style="0" width="9.10526315789474"/>
    <col collapsed="false" hidden="false" max="22" min="22" style="0" width="9.10526315789474"/>
    <col collapsed="false" hidden="false" max="24" min="23" style="0" width="9.10526315789474"/>
    <col collapsed="false" hidden="false" max="25" min="25" style="0" width="15.7449392712551"/>
    <col collapsed="false" hidden="false" max="27" min="26" style="0" width="9.10526315789474"/>
    <col collapsed="false" hidden="false" max="1025" min="28" style="0" width="8.57085020242915"/>
  </cols>
  <sheetData>
    <row r="1" customFormat="false" ht="15" hidden="false" customHeight="false" outlineLevel="0" collapsed="false">
      <c r="H1" s="1" t="s">
        <v>0</v>
      </c>
      <c r="I1" s="1" t="n">
        <v>100</v>
      </c>
    </row>
    <row r="2" customFormat="false" ht="15" hidden="false" customHeight="false" outlineLevel="0" collapsed="false">
      <c r="H2" s="2" t="s">
        <v>1</v>
      </c>
      <c r="I2" s="3" t="n">
        <f aca="false">SUM(I7:I20)</f>
        <v>0</v>
      </c>
      <c r="M2" s="3" t="n">
        <f aca="false">SUM(M7:M20)</f>
        <v>0</v>
      </c>
      <c r="S2" s="3" t="n">
        <f aca="false">SUM(S7:S20)</f>
        <v>0</v>
      </c>
      <c r="Y2" s="3" t="n">
        <f aca="false">SUM(Y7:Y20)</f>
        <v>0</v>
      </c>
    </row>
    <row r="3" customFormat="false" ht="15" hidden="false" customHeight="false" outlineLevel="0" collapsed="false">
      <c r="H3" s="2" t="s">
        <v>2</v>
      </c>
      <c r="I3" s="4" t="n">
        <f aca="false">TotalCost/BoardQty</f>
        <v>0</v>
      </c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6" t="s">
        <v>4</v>
      </c>
      <c r="K5" s="6"/>
      <c r="L5" s="6"/>
      <c r="M5" s="6"/>
      <c r="N5" s="6"/>
      <c r="O5" s="6"/>
      <c r="P5" s="7" t="s">
        <v>5</v>
      </c>
      <c r="Q5" s="7"/>
      <c r="R5" s="7"/>
      <c r="S5" s="7"/>
      <c r="T5" s="7"/>
      <c r="U5" s="7"/>
      <c r="V5" s="8" t="s">
        <v>6</v>
      </c>
      <c r="W5" s="8"/>
      <c r="X5" s="8"/>
      <c r="Y5" s="8"/>
      <c r="Z5" s="8"/>
      <c r="AA5" s="8"/>
    </row>
    <row r="6" customFormat="false" ht="15" hidden="false" customHeight="false" outlineLevel="0" collapsed="false">
      <c r="A6" s="9" t="s">
        <v>7</v>
      </c>
      <c r="B6" s="9" t="s">
        <v>8</v>
      </c>
      <c r="C6" s="9" t="s">
        <v>9</v>
      </c>
      <c r="D6" s="9" t="s">
        <v>10</v>
      </c>
      <c r="E6" s="9" t="s">
        <v>11</v>
      </c>
      <c r="F6" s="9" t="s">
        <v>12</v>
      </c>
      <c r="G6" s="9" t="s">
        <v>13</v>
      </c>
      <c r="H6" s="9" t="s">
        <v>14</v>
      </c>
      <c r="I6" s="9" t="s">
        <v>15</v>
      </c>
      <c r="J6" s="9" t="s">
        <v>16</v>
      </c>
      <c r="K6" s="9" t="s">
        <v>17</v>
      </c>
      <c r="L6" s="9" t="s">
        <v>14</v>
      </c>
      <c r="M6" s="9" t="s">
        <v>15</v>
      </c>
      <c r="N6" s="9" t="s">
        <v>18</v>
      </c>
      <c r="O6" s="9" t="s">
        <v>19</v>
      </c>
      <c r="P6" s="9" t="s">
        <v>16</v>
      </c>
      <c r="Q6" s="9" t="s">
        <v>17</v>
      </c>
      <c r="R6" s="9" t="s">
        <v>14</v>
      </c>
      <c r="S6" s="9" t="s">
        <v>15</v>
      </c>
      <c r="T6" s="9" t="s">
        <v>18</v>
      </c>
      <c r="U6" s="9" t="s">
        <v>19</v>
      </c>
      <c r="V6" s="9" t="s">
        <v>16</v>
      </c>
      <c r="W6" s="9" t="s">
        <v>17</v>
      </c>
      <c r="X6" s="9" t="s">
        <v>14</v>
      </c>
      <c r="Y6" s="9" t="s">
        <v>15</v>
      </c>
      <c r="Z6" s="9" t="s">
        <v>18</v>
      </c>
      <c r="AA6" s="9" t="s">
        <v>19</v>
      </c>
    </row>
    <row r="7" customFormat="false" ht="15" hidden="false" customHeight="false" outlineLevel="0" collapsed="false">
      <c r="A7" s="0" t="s">
        <v>20</v>
      </c>
      <c r="B7" s="0" t="s">
        <v>21</v>
      </c>
      <c r="D7" s="0" t="s">
        <v>22</v>
      </c>
      <c r="F7" s="0" t="s">
        <v>23</v>
      </c>
      <c r="G7" s="0" t="n">
        <f aca="false">BoardQty*1</f>
        <v>0</v>
      </c>
      <c r="H7" s="10" t="n">
        <f aca="true">MINA(INDIRECT(ADDRESS(ROW(),COLUMN(newark_part_data)+2)),INDIRECT(ADDRESS(ROW(),COLUMN(digikey_part_data)+2)),INDIRECT(ADDRESS(ROW(),COLUMN(mouser_part_data)+2)))</f>
        <v>0</v>
      </c>
      <c r="I7" s="10" t="n">
        <f aca="false">IFERROR(G7*H7,"")</f>
        <v>0</v>
      </c>
      <c r="J7" s="0" t="n">
        <v>1816</v>
      </c>
      <c r="L7" s="10" t="n">
        <f aca="false">IFERROR(LOOKUP(IF(K7="",G7,K7),{0,1,10,50,100,250,500,1000,2500},{0,1.79,1.717,1.6698,1.5606,1.43576,1.3265,1.2393,1.1628}),"")</f>
        <v>0</v>
      </c>
      <c r="M7" s="10" t="n">
        <f aca="false">IFERROR(IF(K7="",G7,K7)*L7,"")</f>
        <v>0</v>
      </c>
      <c r="N7" s="0" t="s">
        <v>24</v>
      </c>
      <c r="O7" s="11" t="s">
        <v>25</v>
      </c>
      <c r="P7" s="0" t="n">
        <v>1643</v>
      </c>
      <c r="R7" s="10" t="n">
        <f aca="false">IFERROR(LOOKUP(IF(Q7="",G7,Q7),{0,1,10,25,50,100,200,500,1000,2000},{0,1.69,1.66,1.61,1.56,1.49,1.42,1.29,1.21,1.14}),"")</f>
        <v>0</v>
      </c>
      <c r="S7" s="10" t="n">
        <f aca="false">IFERROR(IF(Q7="",G7,Q7)*R7,"")</f>
        <v>0</v>
      </c>
      <c r="T7" s="0" t="s">
        <v>26</v>
      </c>
      <c r="U7" s="11" t="s">
        <v>25</v>
      </c>
      <c r="V7" s="0" t="n">
        <v>1638</v>
      </c>
      <c r="X7" s="10" t="n">
        <f aca="false">IFERROR(LOOKUP(IF(W7="",G7,W7),{0,1,25,50,100},{0,1.64,1.57,1.51,1.44}),"")</f>
        <v>0</v>
      </c>
      <c r="Y7" s="10" t="n">
        <f aca="false">IFERROR(IF(W7="",G7,W7)*X7,"")</f>
        <v>0</v>
      </c>
      <c r="Z7" s="0" t="s">
        <v>27</v>
      </c>
      <c r="AA7" s="11" t="s">
        <v>25</v>
      </c>
    </row>
    <row r="8" customFormat="false" ht="15" hidden="false" customHeight="false" outlineLevel="0" collapsed="false">
      <c r="A8" s="0" t="s">
        <v>28</v>
      </c>
      <c r="B8" s="0" t="s">
        <v>29</v>
      </c>
      <c r="D8" s="0" t="s">
        <v>30</v>
      </c>
      <c r="G8" s="0" t="n">
        <f aca="false">BoardQty*1</f>
        <v>0</v>
      </c>
      <c r="H8" s="10" t="n">
        <f aca="true">MINA(INDIRECT(ADDRESS(ROW(),COLUMN(newark_part_data)+2)),INDIRECT(ADDRESS(ROW(),COLUMN(digikey_part_data)+2)),INDIRECT(ADDRESS(ROW(),COLUMN(mouser_part_data)+2)))</f>
        <v>0</v>
      </c>
      <c r="I8" s="10" t="n">
        <f aca="false">IFERROR(G8*H8,"")</f>
        <v>0</v>
      </c>
    </row>
    <row r="9" customFormat="false" ht="15" hidden="false" customHeight="false" outlineLevel="0" collapsed="false">
      <c r="A9" s="0" t="s">
        <v>31</v>
      </c>
      <c r="B9" s="0" t="s">
        <v>32</v>
      </c>
      <c r="D9" s="0" t="s">
        <v>33</v>
      </c>
      <c r="G9" s="0" t="n">
        <f aca="false">BoardQty*5</f>
        <v>0</v>
      </c>
      <c r="H9" s="10" t="n">
        <f aca="true">MINA(INDIRECT(ADDRESS(ROW(),COLUMN(newark_part_data)+2)),INDIRECT(ADDRESS(ROW(),COLUMN(digikey_part_data)+2)),INDIRECT(ADDRESS(ROW(),COLUMN(mouser_part_data)+2)))</f>
        <v>0</v>
      </c>
      <c r="I9" s="10" t="n">
        <f aca="false">IFERROR(G9*H9,"")</f>
        <v>0</v>
      </c>
    </row>
    <row r="10" customFormat="false" ht="15" hidden="false" customHeight="false" outlineLevel="0" collapsed="false">
      <c r="A10" s="0" t="s">
        <v>34</v>
      </c>
      <c r="B10" s="0" t="s">
        <v>35</v>
      </c>
      <c r="D10" s="0" t="s">
        <v>36</v>
      </c>
      <c r="F10" s="0" t="s">
        <v>35</v>
      </c>
      <c r="G10" s="0" t="n">
        <f aca="false">BoardQty*4</f>
        <v>0</v>
      </c>
      <c r="H10" s="10" t="n">
        <f aca="true">MINA(INDIRECT(ADDRESS(ROW(),COLUMN(newark_part_data)+2)),INDIRECT(ADDRESS(ROW(),COLUMN(digikey_part_data)+2)),INDIRECT(ADDRESS(ROW(),COLUMN(mouser_part_data)+2)))</f>
        <v>0</v>
      </c>
      <c r="I10" s="10" t="n">
        <f aca="false">IFERROR(G10*H10,"")</f>
        <v>0</v>
      </c>
      <c r="P10" s="0" t="n">
        <v>650137</v>
      </c>
      <c r="R10" s="10" t="n">
        <f aca="false">IFERROR(LOOKUP(IF(Q10="",G10,Q10),{0,1,10,100,1000,2500,10000,25000,100000},{0,0.099,0.052,0.019,0.012,0.009,0.008,0.007,0.005}),"")</f>
        <v>0</v>
      </c>
      <c r="S10" s="10" t="n">
        <f aca="false">IFERROR(IF(Q10="",G10,Q10)*R10,"")</f>
        <v>0</v>
      </c>
      <c r="T10" s="0" t="s">
        <v>37</v>
      </c>
      <c r="U10" s="11" t="s">
        <v>25</v>
      </c>
    </row>
    <row r="11" customFormat="false" ht="15" hidden="false" customHeight="false" outlineLevel="0" collapsed="false">
      <c r="A11" s="0" t="s">
        <v>38</v>
      </c>
      <c r="B11" s="0" t="s">
        <v>39</v>
      </c>
      <c r="D11" s="0" t="s">
        <v>22</v>
      </c>
      <c r="F11" s="0" t="s">
        <v>23</v>
      </c>
      <c r="G11" s="0" t="n">
        <f aca="false">BoardQty*1</f>
        <v>0</v>
      </c>
      <c r="H11" s="10" t="n">
        <f aca="true">MINA(INDIRECT(ADDRESS(ROW(),COLUMN(newark_part_data)+2)),INDIRECT(ADDRESS(ROW(),COLUMN(digikey_part_data)+2)),INDIRECT(ADDRESS(ROW(),COLUMN(mouser_part_data)+2)))</f>
        <v>0</v>
      </c>
      <c r="I11" s="10" t="n">
        <f aca="false">IFERROR(G11*H11,"")</f>
        <v>0</v>
      </c>
      <c r="J11" s="0" t="n">
        <v>1816</v>
      </c>
      <c r="L11" s="10" t="n">
        <f aca="false">IFERROR(LOOKUP(IF(K11="",G11,K11),{0,1,10,50,100,250,500,1000,2500},{0,1.79,1.717,1.6698,1.5606,1.43576,1.3265,1.2393,1.1628}),"")</f>
        <v>0</v>
      </c>
      <c r="M11" s="10" t="n">
        <f aca="false">IFERROR(IF(K11="",G11,K11)*L11,"")</f>
        <v>0</v>
      </c>
      <c r="N11" s="0" t="s">
        <v>24</v>
      </c>
      <c r="O11" s="11" t="s">
        <v>25</v>
      </c>
      <c r="P11" s="0" t="n">
        <v>1643</v>
      </c>
      <c r="R11" s="10" t="n">
        <f aca="false">IFERROR(LOOKUP(IF(Q11="",G11,Q11),{0,1,10,25,50,100,200,500,1000,2000},{0,1.69,1.66,1.61,1.56,1.49,1.42,1.29,1.21,1.14}),"")</f>
        <v>0</v>
      </c>
      <c r="S11" s="10" t="n">
        <f aca="false">IFERROR(IF(Q11="",G11,Q11)*R11,"")</f>
        <v>0</v>
      </c>
      <c r="T11" s="0" t="s">
        <v>26</v>
      </c>
      <c r="U11" s="11" t="s">
        <v>25</v>
      </c>
      <c r="V11" s="0" t="n">
        <v>1638</v>
      </c>
      <c r="X11" s="10" t="n">
        <f aca="false">IFERROR(LOOKUP(IF(W11="",G11,W11),{0,1,25,50,100},{0,1.64,1.57,1.51,1.44}),"")</f>
        <v>0</v>
      </c>
      <c r="Y11" s="10" t="n">
        <f aca="false">IFERROR(IF(W11="",G11,W11)*X11,"")</f>
        <v>0</v>
      </c>
      <c r="Z11" s="0" t="s">
        <v>27</v>
      </c>
      <c r="AA11" s="11" t="s">
        <v>25</v>
      </c>
    </row>
    <row r="12" customFormat="false" ht="15" hidden="false" customHeight="false" outlineLevel="0" collapsed="false">
      <c r="A12" s="0" t="s">
        <v>40</v>
      </c>
      <c r="B12" s="0" t="s">
        <v>41</v>
      </c>
      <c r="D12" s="0" t="s">
        <v>42</v>
      </c>
      <c r="F12" s="0" t="s">
        <v>43</v>
      </c>
      <c r="G12" s="0" t="n">
        <f aca="false">BoardQty*4</f>
        <v>0</v>
      </c>
      <c r="H12" s="10" t="n">
        <f aca="true">MINA(INDIRECT(ADDRESS(ROW(),COLUMN(newark_part_data)+2)),INDIRECT(ADDRESS(ROW(),COLUMN(digikey_part_data)+2)),INDIRECT(ADDRESS(ROW(),COLUMN(mouser_part_data)+2)))</f>
        <v>0</v>
      </c>
      <c r="I12" s="10" t="n">
        <f aca="false">IFERROR(G12*H12,"")</f>
        <v>0</v>
      </c>
      <c r="P12" s="0" t="n">
        <v>25666</v>
      </c>
      <c r="R12" s="10" t="n">
        <f aca="false">IFERROR(LOOKUP(IF(Q12="",G12,Q12),{0,1,10,100,1000,2000,10000,24000,50000},{0,0.494,0.32,0.213,0.158,0.138,0.133,0.131,0.126}),"")</f>
        <v>0</v>
      </c>
      <c r="S12" s="10" t="n">
        <f aca="false">IFERROR(IF(Q12="",G12,Q12)*R12,"")</f>
        <v>0</v>
      </c>
      <c r="T12" s="0" t="s">
        <v>44</v>
      </c>
      <c r="U12" s="11" t="s">
        <v>25</v>
      </c>
      <c r="V12" s="0" t="n">
        <v>6754</v>
      </c>
      <c r="X12" s="10" t="n">
        <f aca="false">IFERROR(LOOKUP(IF(W12="",G12,W12),{0,1,10,100,1000,2000,10000},{0,0.547,0.371,0.245,0.183,0.159,0.148}),"")</f>
        <v>0</v>
      </c>
      <c r="Y12" s="10" t="n">
        <f aca="false">IFERROR(IF(W12="",G12,W12)*X12,"")</f>
        <v>0</v>
      </c>
      <c r="Z12" s="0" t="s">
        <v>45</v>
      </c>
      <c r="AA12" s="11" t="s">
        <v>25</v>
      </c>
    </row>
    <row r="13" customFormat="false" ht="15" hidden="false" customHeight="false" outlineLevel="0" collapsed="false">
      <c r="A13" s="0" t="s">
        <v>46</v>
      </c>
      <c r="B13" s="0" t="s">
        <v>47</v>
      </c>
      <c r="D13" s="0" t="s">
        <v>22</v>
      </c>
      <c r="F13" s="0" t="s">
        <v>23</v>
      </c>
      <c r="G13" s="0" t="n">
        <f aca="false">BoardQty*1</f>
        <v>0</v>
      </c>
      <c r="H13" s="10" t="n">
        <f aca="true">MINA(INDIRECT(ADDRESS(ROW(),COLUMN(newark_part_data)+2)),INDIRECT(ADDRESS(ROW(),COLUMN(digikey_part_data)+2)),INDIRECT(ADDRESS(ROW(),COLUMN(mouser_part_data)+2)))</f>
        <v>0</v>
      </c>
      <c r="I13" s="10" t="n">
        <f aca="false">IFERROR(G13*H13,"")</f>
        <v>0</v>
      </c>
      <c r="J13" s="0" t="n">
        <v>1816</v>
      </c>
      <c r="L13" s="10" t="n">
        <f aca="false">IFERROR(LOOKUP(IF(K13="",G13,K13),{0,1,10,50,100,250,500,1000,2500},{0,1.79,1.717,1.6698,1.5606,1.43576,1.3265,1.2393,1.1628}),"")</f>
        <v>0</v>
      </c>
      <c r="M13" s="10" t="n">
        <f aca="false">IFERROR(IF(K13="",G13,K13)*L13,"")</f>
        <v>0</v>
      </c>
      <c r="N13" s="0" t="s">
        <v>24</v>
      </c>
      <c r="O13" s="11" t="s">
        <v>25</v>
      </c>
      <c r="P13" s="0" t="n">
        <v>1643</v>
      </c>
      <c r="R13" s="10" t="n">
        <f aca="false">IFERROR(LOOKUP(IF(Q13="",G13,Q13),{0,1,10,25,50,100,200,500,1000,2000},{0,1.69,1.66,1.61,1.56,1.49,1.42,1.29,1.21,1.14}),"")</f>
        <v>0</v>
      </c>
      <c r="S13" s="10" t="n">
        <f aca="false">IFERROR(IF(Q13="",G13,Q13)*R13,"")</f>
        <v>0</v>
      </c>
      <c r="T13" s="0" t="s">
        <v>26</v>
      </c>
      <c r="U13" s="11" t="s">
        <v>25</v>
      </c>
      <c r="V13" s="0" t="n">
        <v>1638</v>
      </c>
      <c r="X13" s="10" t="n">
        <f aca="false">IFERROR(LOOKUP(IF(W13="",G13,W13),{0,1,25,50,100},{0,1.64,1.57,1.51,1.44}),"")</f>
        <v>0</v>
      </c>
      <c r="Y13" s="10" t="n">
        <f aca="false">IFERROR(IF(W13="",G13,W13)*X13,"")</f>
        <v>0</v>
      </c>
      <c r="Z13" s="0" t="s">
        <v>27</v>
      </c>
      <c r="AA13" s="11" t="s">
        <v>25</v>
      </c>
    </row>
    <row r="14" customFormat="false" ht="15" hidden="false" customHeight="false" outlineLevel="0" collapsed="false">
      <c r="A14" s="0" t="s">
        <v>48</v>
      </c>
      <c r="B14" s="0" t="s">
        <v>49</v>
      </c>
      <c r="D14" s="0" t="s">
        <v>50</v>
      </c>
      <c r="F14" s="0" t="s">
        <v>51</v>
      </c>
      <c r="G14" s="0" t="n">
        <f aca="false">BoardQty*4</f>
        <v>0</v>
      </c>
      <c r="H14" s="10" t="n">
        <f aca="true">MINA(INDIRECT(ADDRESS(ROW(),COLUMN(newark_part_data)+2)),INDIRECT(ADDRESS(ROW(),COLUMN(digikey_part_data)+2)),INDIRECT(ADDRESS(ROW(),COLUMN(mouser_part_data)+2)))</f>
        <v>0</v>
      </c>
      <c r="I14" s="10" t="n">
        <f aca="false">IFERROR(G14*H14,"")</f>
        <v>0</v>
      </c>
      <c r="J14" s="0" t="n">
        <v>12000</v>
      </c>
      <c r="L14" s="10" t="n">
        <f aca="false">IFERROR(LOOKUP(IF(K14="",G14,K14),{0,1,10,25,50,100,250,500,1000,2500,5000,10000,25000,50000,125000},{0,0.1,0.071,0.0516,0.0394,0.0291,0.02216,0.01774,0.01306,0.01134,0.00851,0.00739,0.0065,0.00596,0.00584}),"")</f>
        <v>0</v>
      </c>
      <c r="M14" s="10" t="n">
        <f aca="false">IFERROR(IF(K14="",G14,K14)*L14,"")</f>
        <v>0</v>
      </c>
      <c r="N14" s="0" t="s">
        <v>52</v>
      </c>
      <c r="O14" s="11" t="s">
        <v>25</v>
      </c>
      <c r="P14" s="0" t="n">
        <v>14202</v>
      </c>
      <c r="R14" s="10" t="n">
        <f aca="false">IFERROR(LOOKUP(IF(Q14="",G14,Q14),{0,1,100,500,1000,2000,5000,10000,25000},{0,0.104,0.023,0.019,0.013,0.011,0.01,0.008,0.007}),"")</f>
        <v>0</v>
      </c>
      <c r="S14" s="10" t="n">
        <f aca="false">IFERROR(IF(Q14="",G14,Q14)*R14,"")</f>
        <v>0</v>
      </c>
      <c r="T14" s="0" t="s">
        <v>53</v>
      </c>
      <c r="U14" s="11" t="s">
        <v>25</v>
      </c>
      <c r="V14" s="0" t="n">
        <v>7385</v>
      </c>
      <c r="X14" s="10" t="n">
        <f aca="false">IFERROR(LOOKUP(IF(W14="",G14,W14),{0,1,100,500,1000,2000,5000,10000,25000},{0,0.1,0.022,0.018,0.013,0.011,0.009,0.007,0.006}),"")</f>
        <v>0</v>
      </c>
      <c r="Y14" s="10" t="n">
        <f aca="false">IFERROR(IF(W14="",G14,W14)*X14,"")</f>
        <v>0</v>
      </c>
      <c r="Z14" s="0" t="s">
        <v>54</v>
      </c>
      <c r="AA14" s="11" t="s">
        <v>25</v>
      </c>
    </row>
    <row r="15" customFormat="false" ht="15" hidden="false" customHeight="false" outlineLevel="0" collapsed="false">
      <c r="A15" s="0" t="s">
        <v>55</v>
      </c>
      <c r="B15" s="0" t="s">
        <v>56</v>
      </c>
      <c r="D15" s="0" t="s">
        <v>57</v>
      </c>
      <c r="F15" s="0" t="s">
        <v>58</v>
      </c>
      <c r="G15" s="0" t="n">
        <f aca="false">BoardQty*4</f>
        <v>0</v>
      </c>
      <c r="H15" s="10" t="n">
        <f aca="true">MINA(INDIRECT(ADDRESS(ROW(),COLUMN(newark_part_data)+2)),INDIRECT(ADDRESS(ROW(),COLUMN(digikey_part_data)+2)),INDIRECT(ADDRESS(ROW(),COLUMN(mouser_part_data)+2)))</f>
        <v>0</v>
      </c>
      <c r="I15" s="10" t="n">
        <f aca="false">IFERROR(G15*H15,"")</f>
        <v>0</v>
      </c>
      <c r="J15" s="0" t="n">
        <v>3026</v>
      </c>
      <c r="L15" s="10" t="n">
        <f aca="false">IFERROR(LOOKUP(IF(K15="",G15,K15),{0,1,10,25,50,100,250,500,1000,5000},{0,4.38,4.104,3.6484,3.4658,3.2834,2.91856,2.73616,2.55374,2.46254}),"")</f>
        <v>0</v>
      </c>
      <c r="M15" s="10" t="n">
        <f aca="false">IFERROR(IF(K15="",G15,K15)*L15,"")</f>
        <v>0</v>
      </c>
      <c r="N15" s="0" t="s">
        <v>59</v>
      </c>
      <c r="O15" s="11" t="s">
        <v>25</v>
      </c>
      <c r="P15" s="0" t="n">
        <v>569</v>
      </c>
      <c r="R15" s="10" t="n">
        <f aca="false">IFERROR(LOOKUP(IF(Q15="",G15,Q15),{0,1,25,50,100,200,500,1000,2000},{0,3.72,3.3,3.18,3.06,2.86,2.75,2.56,2.54}),"")</f>
        <v>0</v>
      </c>
      <c r="S15" s="10" t="n">
        <f aca="false">IFERROR(IF(Q15="",G15,Q15)*R15,"")</f>
        <v>0</v>
      </c>
      <c r="T15" s="0" t="s">
        <v>60</v>
      </c>
      <c r="U15" s="11" t="s">
        <v>25</v>
      </c>
      <c r="AA15" s="11" t="s">
        <v>25</v>
      </c>
    </row>
    <row r="16" customFormat="false" ht="15" hidden="false" customHeight="false" outlineLevel="0" collapsed="false">
      <c r="A16" s="0" t="s">
        <v>61</v>
      </c>
      <c r="B16" s="0" t="s">
        <v>62</v>
      </c>
      <c r="D16" s="0" t="s">
        <v>50</v>
      </c>
      <c r="F16" s="0" t="s">
        <v>63</v>
      </c>
      <c r="G16" s="0" t="n">
        <f aca="false">BoardQty*4</f>
        <v>0</v>
      </c>
      <c r="H16" s="10" t="n">
        <f aca="true">MINA(INDIRECT(ADDRESS(ROW(),COLUMN(newark_part_data)+2)),INDIRECT(ADDRESS(ROW(),COLUMN(digikey_part_data)+2)),INDIRECT(ADDRESS(ROW(),COLUMN(mouser_part_data)+2)))</f>
        <v>0</v>
      </c>
      <c r="I16" s="10" t="n">
        <f aca="false">IFERROR(G16*H16,"")</f>
        <v>0</v>
      </c>
      <c r="J16" s="0" t="n">
        <v>3067</v>
      </c>
      <c r="L16" s="10" t="n">
        <f aca="false">IFERROR(LOOKUP(IF(K16="",G16,K16),{0,1,10,25,50,100,250,500,1000},{0,0.7,0.61,0.536,0.4898,0.425,0.3696,0.30676,0.252}),"")</f>
        <v>0</v>
      </c>
      <c r="M16" s="10" t="n">
        <f aca="false">IFERROR(IF(K16="",G16,K16)*L16,"")</f>
        <v>0</v>
      </c>
      <c r="N16" s="0" t="s">
        <v>64</v>
      </c>
      <c r="O16" s="11" t="s">
        <v>25</v>
      </c>
      <c r="P16" s="0" t="n">
        <v>1982</v>
      </c>
      <c r="R16" s="10" t="n">
        <f aca="false">IFERROR(LOOKUP(IF(Q16="",G16,Q16),{0,1,5,10,25,50,100,200,500,1000},{0,0.691,0.64,0.602,0.529,0.483,0.42,0.364,0.302,0.265}),"")</f>
        <v>0</v>
      </c>
      <c r="S16" s="10" t="n">
        <f aca="false">IFERROR(IF(Q16="",G16,Q16)*R16,"")</f>
        <v>0</v>
      </c>
      <c r="T16" s="0" t="s">
        <v>65</v>
      </c>
      <c r="U16" s="11" t="s">
        <v>25</v>
      </c>
      <c r="V16" s="0" t="n">
        <v>2717</v>
      </c>
      <c r="X16" s="10" t="n">
        <f aca="false">IFERROR(LOOKUP(IF(W16="",G16,W16),{0,1,5,10,25,50,100,200,500},{0,0.7,0.649,0.609,0.536,0.49,0.425,0.37,0.307}),"")</f>
        <v>0</v>
      </c>
      <c r="Y16" s="10" t="n">
        <f aca="false">IFERROR(IF(W16="",G16,W16)*X16,"")</f>
        <v>0</v>
      </c>
      <c r="Z16" s="0" t="s">
        <v>66</v>
      </c>
      <c r="AA16" s="11" t="s">
        <v>25</v>
      </c>
    </row>
    <row r="17" customFormat="false" ht="15" hidden="false" customHeight="false" outlineLevel="0" collapsed="false">
      <c r="A17" s="0" t="s">
        <v>67</v>
      </c>
      <c r="B17" s="0" t="s">
        <v>68</v>
      </c>
      <c r="D17" s="0" t="s">
        <v>69</v>
      </c>
      <c r="F17" s="0" t="s">
        <v>70</v>
      </c>
      <c r="G17" s="0" t="n">
        <f aca="false">BoardQty*1</f>
        <v>0</v>
      </c>
      <c r="H17" s="10" t="n">
        <f aca="true">MINA(INDIRECT(ADDRESS(ROW(),COLUMN(newark_part_data)+2)),INDIRECT(ADDRESS(ROW(),COLUMN(digikey_part_data)+2)),INDIRECT(ADDRESS(ROW(),COLUMN(mouser_part_data)+2)))</f>
        <v>0</v>
      </c>
      <c r="I17" s="10" t="n">
        <f aca="false">IFERROR(G17*H17,"")</f>
        <v>0</v>
      </c>
      <c r="U17" s="11" t="s">
        <v>25</v>
      </c>
      <c r="V17" s="0" t="n">
        <v>3000</v>
      </c>
      <c r="X17" s="10" t="n">
        <f aca="false">IFERROR(LOOKUP(IF(W17="",G17,W17),{0,1,10,100,500,1000,2000,5000},{0,2.41,2.22,1.88,1.52,1.34,1.27,1.22}),"")</f>
        <v>0</v>
      </c>
      <c r="Y17" s="10" t="n">
        <f aca="false">IFERROR(IF(W17="",G17,W17)*X17,"")</f>
        <v>0</v>
      </c>
      <c r="Z17" s="0" t="s">
        <v>71</v>
      </c>
      <c r="AA17" s="11" t="s">
        <v>25</v>
      </c>
    </row>
    <row r="18" customFormat="false" ht="15" hidden="false" customHeight="false" outlineLevel="0" collapsed="false">
      <c r="A18" s="0" t="s">
        <v>72</v>
      </c>
      <c r="B18" s="0" t="s">
        <v>73</v>
      </c>
      <c r="D18" s="0" t="s">
        <v>22</v>
      </c>
      <c r="F18" s="0" t="s">
        <v>23</v>
      </c>
      <c r="G18" s="0" t="n">
        <f aca="false">BoardQty*1</f>
        <v>0</v>
      </c>
      <c r="H18" s="10" t="n">
        <f aca="true">MINA(INDIRECT(ADDRESS(ROW(),COLUMN(newark_part_data)+2)),INDIRECT(ADDRESS(ROW(),COLUMN(digikey_part_data)+2)),INDIRECT(ADDRESS(ROW(),COLUMN(mouser_part_data)+2)))</f>
        <v>0</v>
      </c>
      <c r="I18" s="10" t="n">
        <f aca="false">IFERROR(G18*H18,"")</f>
        <v>0</v>
      </c>
      <c r="J18" s="0" t="n">
        <v>1816</v>
      </c>
      <c r="L18" s="10" t="n">
        <f aca="false">IFERROR(LOOKUP(IF(K18="",G18,K18),{0,1,10,50,100,250,500,1000,2500},{0,1.79,1.717,1.6698,1.5606,1.43576,1.3265,1.2393,1.1628}),"")</f>
        <v>0</v>
      </c>
      <c r="M18" s="10" t="n">
        <f aca="false">IFERROR(IF(K18="",G18,K18)*L18,"")</f>
        <v>0</v>
      </c>
      <c r="N18" s="0" t="s">
        <v>24</v>
      </c>
      <c r="O18" s="11" t="s">
        <v>25</v>
      </c>
      <c r="P18" s="0" t="n">
        <v>1643</v>
      </c>
      <c r="R18" s="10" t="n">
        <f aca="false">IFERROR(LOOKUP(IF(Q18="",G18,Q18),{0,1,10,25,50,100,200,500,1000,2000},{0,1.69,1.66,1.61,1.56,1.49,1.42,1.29,1.21,1.14}),"")</f>
        <v>0</v>
      </c>
      <c r="S18" s="10" t="n">
        <f aca="false">IFERROR(IF(Q18="",G18,Q18)*R18,"")</f>
        <v>0</v>
      </c>
      <c r="T18" s="0" t="s">
        <v>26</v>
      </c>
      <c r="U18" s="11" t="s">
        <v>25</v>
      </c>
      <c r="V18" s="0" t="n">
        <v>1638</v>
      </c>
      <c r="X18" s="10" t="n">
        <f aca="false">IFERROR(LOOKUP(IF(W18="",G18,W18),{0,1,25,50,100},{0,1.64,1.57,1.51,1.44}),"")</f>
        <v>0</v>
      </c>
      <c r="Y18" s="10" t="n">
        <f aca="false">IFERROR(IF(W18="",G18,W18)*X18,"")</f>
        <v>0</v>
      </c>
      <c r="Z18" s="0" t="s">
        <v>27</v>
      </c>
      <c r="AA18" s="11" t="s">
        <v>25</v>
      </c>
    </row>
    <row r="19" customFormat="false" ht="15" hidden="false" customHeight="false" outlineLevel="0" collapsed="false">
      <c r="A19" s="0" t="s">
        <v>74</v>
      </c>
      <c r="B19" s="0" t="s">
        <v>75</v>
      </c>
      <c r="D19" s="0" t="s">
        <v>76</v>
      </c>
      <c r="F19" s="0" t="s">
        <v>75</v>
      </c>
      <c r="G19" s="0" t="n">
        <f aca="false">BoardQty*4</f>
        <v>0</v>
      </c>
      <c r="H19" s="10" t="n">
        <f aca="true">MINA(INDIRECT(ADDRESS(ROW(),COLUMN(newark_part_data)+2)),INDIRECT(ADDRESS(ROW(),COLUMN(digikey_part_data)+2)),INDIRECT(ADDRESS(ROW(),COLUMN(mouser_part_data)+2)))</f>
        <v>0</v>
      </c>
      <c r="I19" s="10" t="n">
        <f aca="false">IFERROR(G19*H19,"")</f>
        <v>0</v>
      </c>
      <c r="J19" s="0" t="n">
        <v>13237</v>
      </c>
      <c r="L19" s="10" t="n">
        <f aca="false">IFERROR(LOOKUP(IF(K19="",G19,K19),{0,1,10,25,100,250,500,1000,2500,5000},{0,0.52,0.395,0.3072,0.2327,0.16464,0.1317,0.10097,0.0878,0.07902}),"")</f>
        <v>0</v>
      </c>
      <c r="M19" s="10" t="n">
        <f aca="false">IFERROR(IF(K19="",G19,K19)*L19,"")</f>
        <v>0</v>
      </c>
      <c r="N19" s="0" t="s">
        <v>77</v>
      </c>
      <c r="O19" s="11" t="s">
        <v>25</v>
      </c>
      <c r="P19" s="0" t="n">
        <v>32026</v>
      </c>
      <c r="R19" s="10" t="n">
        <f aca="false">IFERROR(LOOKUP(IF(Q19="",G19,Q19),{0,1,10,100,1000,2500,10000,25000,50000,100000},{0,0.479,0.301,0.11,0.099,0.075,0.066,0.063,0.056,0.053}),"")</f>
        <v>0</v>
      </c>
      <c r="S19" s="10" t="n">
        <f aca="false">IFERROR(IF(Q19="",G19,Q19)*R19,"")</f>
        <v>0</v>
      </c>
      <c r="T19" s="0" t="s">
        <v>78</v>
      </c>
      <c r="U19" s="11" t="s">
        <v>25</v>
      </c>
      <c r="V19" s="0" t="n">
        <v>11470</v>
      </c>
      <c r="X19" s="10" t="n">
        <f aca="false">IFERROR(LOOKUP(IF(W19="",G19,W19),{0,1,10,100,1000},{0,0.2,0.137,0.057,0.039}),"")</f>
        <v>0</v>
      </c>
      <c r="Y19" s="10" t="n">
        <f aca="false">IFERROR(IF(W19="",G19,W19)*X19,"")</f>
        <v>0</v>
      </c>
      <c r="Z19" s="0" t="s">
        <v>79</v>
      </c>
      <c r="AA19" s="11" t="s">
        <v>25</v>
      </c>
    </row>
    <row r="20" customFormat="false" ht="15" hidden="false" customHeight="false" outlineLevel="0" collapsed="false">
      <c r="A20" s="0" t="s">
        <v>80</v>
      </c>
      <c r="B20" s="0" t="s">
        <v>81</v>
      </c>
      <c r="D20" s="0" t="s">
        <v>82</v>
      </c>
      <c r="G20" s="0" t="n">
        <f aca="false">BoardQty*2</f>
        <v>0</v>
      </c>
      <c r="H20" s="10" t="n">
        <f aca="true">MINA(INDIRECT(ADDRESS(ROW(),COLUMN(newark_part_data)+2)),INDIRECT(ADDRESS(ROW(),COLUMN(digikey_part_data)+2)),INDIRECT(ADDRESS(ROW(),COLUMN(mouser_part_data)+2)))</f>
        <v>0</v>
      </c>
      <c r="I20" s="10" t="n">
        <f aca="false">IFERROR(G20*H20,"")</f>
        <v>0</v>
      </c>
    </row>
    <row r="22" customFormat="false" ht="15" hidden="false" customHeight="false" outlineLevel="0" collapsed="false">
      <c r="K22" s="0" t="str">
        <f aca="false" t="array" ref="K22:K22">IFERROR(CONCATENATE(TEXT(INDEX($K$7:$K$20,SMALL(IF($N$7:$N$20&lt;&gt;"",IF($K$7:$K$20&lt;&gt;"",ROW($K$7:$K$20)-MIN(ROW($K$7:$K$20))+1,""),""),ROW()-ROW(A$22)+1)),"##0"),","),"")</f>
        <v/>
      </c>
      <c r="L22" s="0" t="str">
        <f aca="false" t="array" ref="L22:L22">IFERROR(CONCATENATE((INDEX($N$7:$N$20,SMALL(IF($N$7:$N$20&lt;&gt;"",IF($K$7:$K$20&lt;&gt;"",ROW($K$7:$K$20)-MIN(ROW($K$7:$K$20))+1,""),""),ROW()-ROW(A$22)+1))),","),"")</f>
        <v/>
      </c>
      <c r="M22" s="0" t="str">
        <f aca="false" t="array" ref="M22:M22">IFERROR(CONCATENATE((INDEX($A$7:$A$20,SMALL(IF($N$7:$N$20&lt;&gt;"",IF($K$7:$K$20&lt;&gt;"",ROW($K$7:$K$20)-MIN(ROW($K$7:$K$20))+1,""),""),ROW()-ROW(A$22)+1))),),"")</f>
        <v/>
      </c>
      <c r="Q22" s="0" t="str">
        <f aca="false" t="array" ref="Q22:Q22">IFERROR(CONCATENATE((INDEX($T$7:$T$20,SMALL(IF($T$7:$T$20&lt;&gt;"",IF($Q$7:$Q$20&lt;&gt;"",ROW($Q$7:$Q$20)-MIN(ROW($Q$7:$Q$20))+1,""),""),ROW()-ROW(A$22)+1)))," "),"")</f>
        <v/>
      </c>
      <c r="R22" s="0" t="str">
        <f aca="false" t="array" ref="R22:R22">IFERROR(CONCATENATE(TEXT(INDEX($Q$7:$Q$20,SMALL(IF($T$7:$T$20&lt;&gt;"",IF($Q$7:$Q$20&lt;&gt;"",ROW($Q$7:$Q$20)-MIN(ROW($Q$7:$Q$20))+1,""),""),ROW()-ROW(A$22)+1)),"##0")," "),"")</f>
        <v/>
      </c>
      <c r="S22" s="0" t="str">
        <f aca="false" t="array" ref="S22:S22">IFERROR(CONCATENATE((INDEX($A$7:$A$20,SMALL(IF($T$7:$T$20&lt;&gt;"",IF($Q$7:$Q$20&lt;&gt;"",ROW($Q$7:$Q$20)-MIN(ROW($Q$7:$Q$20))+1,""),""),ROW()-ROW(A$22)+1))),),"")</f>
        <v/>
      </c>
      <c r="W22" s="0" t="str">
        <f aca="false" t="array" ref="W22:W22">IFERROR(CONCATENATE((INDEX($Z$7:$Z$20,SMALL(IF($Z$7:$Z$20&lt;&gt;"",IF($W$7:$W$20&lt;&gt;"",ROW($W$7:$W$20)-MIN(ROW($W$7:$W$20))+1,""),""),ROW()-ROW(A$22)+1))),","),"")</f>
        <v/>
      </c>
      <c r="X22" s="0" t="str">
        <f aca="false" t="array" ref="X22:X22">IFERROR(CONCATENATE(TEXT(INDEX($W$7:$W$20,SMALL(IF($Z$7:$Z$20&lt;&gt;"",IF($W$7:$W$20&lt;&gt;"",ROW($W$7:$W$20)-MIN(ROW($W$7:$W$20))+1,""),""),ROW()-ROW(A$22)+1)),"##0"),","),"")</f>
        <v/>
      </c>
      <c r="Y22" s="0" t="str">
        <f aca="false" t="array" ref="Y22:Y22">IFERROR(CONCATENATE((INDEX($A$7:$A$20,SMALL(IF($Z$7:$Z$20&lt;&gt;"",IF($W$7:$W$20&lt;&gt;"",ROW($W$7:$W$20)-MIN(ROW($W$7:$W$20))+1,""),""),ROW()-ROW(A$22)+1))),),"")</f>
        <v/>
      </c>
    </row>
    <row r="23" customFormat="false" ht="15" hidden="false" customHeight="false" outlineLevel="0" collapsed="false">
      <c r="K23" s="0" t="str">
        <f aca="false" t="array" ref="K23:K23">IFERROR(CONCATENATE(TEXT(INDEX($K$7:$K$20,SMALL(IF($N$7:$N$20&lt;&gt;"",IF($K$7:$K$20&lt;&gt;"",ROW($K$7:$K$20)-MIN(ROW($K$7:$K$20))+1,""),""),ROW()-ROW(A$22)+1)),"##0"),","),"")</f>
        <v/>
      </c>
      <c r="L23" s="0" t="str">
        <f aca="false" t="array" ref="L23:L23">IFERROR(CONCATENATE((INDEX($N$7:$N$20,SMALL(IF($N$7:$N$20&lt;&gt;"",IF($K$7:$K$20&lt;&gt;"",ROW($K$7:$K$20)-MIN(ROW($K$7:$K$20))+1,""),""),ROW()-ROW(A$22)+1))),","),"")</f>
        <v/>
      </c>
      <c r="M23" s="0" t="str">
        <f aca="false" t="array" ref="M23:M23">IFERROR(CONCATENATE((INDEX($A$7:$A$20,SMALL(IF($N$7:$N$20&lt;&gt;"",IF($K$7:$K$20&lt;&gt;"",ROW($K$7:$K$20)-MIN(ROW($K$7:$K$20))+1,""),""),ROW()-ROW(A$22)+1))),),"")</f>
        <v/>
      </c>
      <c r="Q23" s="0" t="str">
        <f aca="false" t="array" ref="Q23:Q23">IFERROR(CONCATENATE((INDEX($T$7:$T$20,SMALL(IF($T$7:$T$20&lt;&gt;"",IF($Q$7:$Q$20&lt;&gt;"",ROW($Q$7:$Q$20)-MIN(ROW($Q$7:$Q$20))+1,""),""),ROW()-ROW(A$22)+1)))," "),"")</f>
        <v/>
      </c>
      <c r="R23" s="0" t="str">
        <f aca="false" t="array" ref="R23:R23">IFERROR(CONCATENATE(TEXT(INDEX($Q$7:$Q$20,SMALL(IF($T$7:$T$20&lt;&gt;"",IF($Q$7:$Q$20&lt;&gt;"",ROW($Q$7:$Q$20)-MIN(ROW($Q$7:$Q$20))+1,""),""),ROW()-ROW(A$22)+1)),"##0")," "),"")</f>
        <v/>
      </c>
      <c r="S23" s="0" t="str">
        <f aca="false" t="array" ref="S23:S23">IFERROR(CONCATENATE((INDEX($A$7:$A$20,SMALL(IF($T$7:$T$20&lt;&gt;"",IF($Q$7:$Q$20&lt;&gt;"",ROW($Q$7:$Q$20)-MIN(ROW($Q$7:$Q$20))+1,""),""),ROW()-ROW(A$22)+1))),),"")</f>
        <v/>
      </c>
      <c r="W23" s="0" t="str">
        <f aca="false" t="array" ref="W23:W23">IFERROR(CONCATENATE((INDEX($Z$7:$Z$20,SMALL(IF($Z$7:$Z$20&lt;&gt;"",IF($W$7:$W$20&lt;&gt;"",ROW($W$7:$W$20)-MIN(ROW($W$7:$W$20))+1,""),""),ROW()-ROW(A$22)+1))),","),"")</f>
        <v/>
      </c>
      <c r="X23" s="0" t="str">
        <f aca="false" t="array" ref="X23:X23">IFERROR(CONCATENATE(TEXT(INDEX($W$7:$W$20,SMALL(IF($Z$7:$Z$20&lt;&gt;"",IF($W$7:$W$20&lt;&gt;"",ROW($W$7:$W$20)-MIN(ROW($W$7:$W$20))+1,""),""),ROW()-ROW(A$22)+1)),"##0"),","),"")</f>
        <v/>
      </c>
      <c r="Y23" s="0" t="str">
        <f aca="false" t="array" ref="Y23:Y23">IFERROR(CONCATENATE((INDEX($A$7:$A$20,SMALL(IF($Z$7:$Z$20&lt;&gt;"",IF($W$7:$W$20&lt;&gt;"",ROW($W$7:$W$20)-MIN(ROW($W$7:$W$20))+1,""),""),ROW()-ROW(A$22)+1))),),"")</f>
        <v/>
      </c>
    </row>
    <row r="24" customFormat="false" ht="15" hidden="false" customHeight="false" outlineLevel="0" collapsed="false">
      <c r="K24" s="0" t="str">
        <f aca="false" t="array" ref="K24:K24">IFERROR(CONCATENATE(TEXT(INDEX($K$7:$K$20,SMALL(IF($N$7:$N$20&lt;&gt;"",IF($K$7:$K$20&lt;&gt;"",ROW($K$7:$K$20)-MIN(ROW($K$7:$K$20))+1,""),""),ROW()-ROW(A$22)+1)),"##0"),","),"")</f>
        <v/>
      </c>
      <c r="L24" s="0" t="str">
        <f aca="false" t="array" ref="L24:L24">IFERROR(CONCATENATE((INDEX($N$7:$N$20,SMALL(IF($N$7:$N$20&lt;&gt;"",IF($K$7:$K$20&lt;&gt;"",ROW($K$7:$K$20)-MIN(ROW($K$7:$K$20))+1,""),""),ROW()-ROW(A$22)+1))),","),"")</f>
        <v/>
      </c>
      <c r="M24" s="0" t="str">
        <f aca="false" t="array" ref="M24:M24">IFERROR(CONCATENATE((INDEX($A$7:$A$20,SMALL(IF($N$7:$N$20&lt;&gt;"",IF($K$7:$K$20&lt;&gt;"",ROW($K$7:$K$20)-MIN(ROW($K$7:$K$20))+1,""),""),ROW()-ROW(A$22)+1))),),"")</f>
        <v/>
      </c>
      <c r="Q24" s="0" t="str">
        <f aca="false" t="array" ref="Q24:Q24">IFERROR(CONCATENATE((INDEX($T$7:$T$20,SMALL(IF($T$7:$T$20&lt;&gt;"",IF($Q$7:$Q$20&lt;&gt;"",ROW($Q$7:$Q$20)-MIN(ROW($Q$7:$Q$20))+1,""),""),ROW()-ROW(A$22)+1)))," "),"")</f>
        <v/>
      </c>
      <c r="R24" s="0" t="str">
        <f aca="false" t="array" ref="R24:R24">IFERROR(CONCATENATE(TEXT(INDEX($Q$7:$Q$20,SMALL(IF($T$7:$T$20&lt;&gt;"",IF($Q$7:$Q$20&lt;&gt;"",ROW($Q$7:$Q$20)-MIN(ROW($Q$7:$Q$20))+1,""),""),ROW()-ROW(A$22)+1)),"##0")," "),"")</f>
        <v/>
      </c>
      <c r="S24" s="0" t="str">
        <f aca="false" t="array" ref="S24:S24">IFERROR(CONCATENATE((INDEX($A$7:$A$20,SMALL(IF($T$7:$T$20&lt;&gt;"",IF($Q$7:$Q$20&lt;&gt;"",ROW($Q$7:$Q$20)-MIN(ROW($Q$7:$Q$20))+1,""),""),ROW()-ROW(A$22)+1))),),"")</f>
        <v/>
      </c>
      <c r="W24" s="0" t="str">
        <f aca="false" t="array" ref="W24:W24">IFERROR(CONCATENATE((INDEX($Z$7:$Z$20,SMALL(IF($Z$7:$Z$20&lt;&gt;"",IF($W$7:$W$20&lt;&gt;"",ROW($W$7:$W$20)-MIN(ROW($W$7:$W$20))+1,""),""),ROW()-ROW(A$22)+1))),","),"")</f>
        <v/>
      </c>
      <c r="X24" s="0" t="str">
        <f aca="false" t="array" ref="X24:X24">IFERROR(CONCATENATE(TEXT(INDEX($W$7:$W$20,SMALL(IF($Z$7:$Z$20&lt;&gt;"",IF($W$7:$W$20&lt;&gt;"",ROW($W$7:$W$20)-MIN(ROW($W$7:$W$20))+1,""),""),ROW()-ROW(A$22)+1)),"##0"),","),"")</f>
        <v/>
      </c>
      <c r="Y24" s="0" t="str">
        <f aca="false" t="array" ref="Y24:Y24">IFERROR(CONCATENATE((INDEX($A$7:$A$20,SMALL(IF($Z$7:$Z$20&lt;&gt;"",IF($W$7:$W$20&lt;&gt;"",ROW($W$7:$W$20)-MIN(ROW($W$7:$W$20))+1,""),""),ROW()-ROW(A$22)+1))),),"")</f>
        <v/>
      </c>
    </row>
    <row r="25" customFormat="false" ht="15" hidden="false" customHeight="false" outlineLevel="0" collapsed="false">
      <c r="K25" s="0" t="str">
        <f aca="false" t="array" ref="K25:K25">IFERROR(CONCATENATE(TEXT(INDEX($K$7:$K$20,SMALL(IF($N$7:$N$20&lt;&gt;"",IF($K$7:$K$20&lt;&gt;"",ROW($K$7:$K$20)-MIN(ROW($K$7:$K$20))+1,""),""),ROW()-ROW(A$22)+1)),"##0"),","),"")</f>
        <v/>
      </c>
      <c r="L25" s="0" t="str">
        <f aca="false" t="array" ref="L25:L25">IFERROR(CONCATENATE((INDEX($N$7:$N$20,SMALL(IF($N$7:$N$20&lt;&gt;"",IF($K$7:$K$20&lt;&gt;"",ROW($K$7:$K$20)-MIN(ROW($K$7:$K$20))+1,""),""),ROW()-ROW(A$22)+1))),","),"")</f>
        <v/>
      </c>
      <c r="M25" s="0" t="str">
        <f aca="false" t="array" ref="M25:M25">IFERROR(CONCATENATE((INDEX($A$7:$A$20,SMALL(IF($N$7:$N$20&lt;&gt;"",IF($K$7:$K$20&lt;&gt;"",ROW($K$7:$K$20)-MIN(ROW($K$7:$K$20))+1,""),""),ROW()-ROW(A$22)+1))),),"")</f>
        <v/>
      </c>
      <c r="Q25" s="0" t="str">
        <f aca="false" t="array" ref="Q25:Q25">IFERROR(CONCATENATE((INDEX($T$7:$T$20,SMALL(IF($T$7:$T$20&lt;&gt;"",IF($Q$7:$Q$20&lt;&gt;"",ROW($Q$7:$Q$20)-MIN(ROW($Q$7:$Q$20))+1,""),""),ROW()-ROW(A$22)+1)))," "),"")</f>
        <v/>
      </c>
      <c r="R25" s="0" t="str">
        <f aca="false" t="array" ref="R25:R25">IFERROR(CONCATENATE(TEXT(INDEX($Q$7:$Q$20,SMALL(IF($T$7:$T$20&lt;&gt;"",IF($Q$7:$Q$20&lt;&gt;"",ROW($Q$7:$Q$20)-MIN(ROW($Q$7:$Q$20))+1,""),""),ROW()-ROW(A$22)+1)),"##0")," "),"")</f>
        <v/>
      </c>
      <c r="S25" s="0" t="str">
        <f aca="false" t="array" ref="S25:S25">IFERROR(CONCATENATE((INDEX($A$7:$A$20,SMALL(IF($T$7:$T$20&lt;&gt;"",IF($Q$7:$Q$20&lt;&gt;"",ROW($Q$7:$Q$20)-MIN(ROW($Q$7:$Q$20))+1,""),""),ROW()-ROW(A$22)+1))),),"")</f>
        <v/>
      </c>
      <c r="W25" s="0" t="str">
        <f aca="false" t="array" ref="W25:W25">IFERROR(CONCATENATE((INDEX($Z$7:$Z$20,SMALL(IF($Z$7:$Z$20&lt;&gt;"",IF($W$7:$W$20&lt;&gt;"",ROW($W$7:$W$20)-MIN(ROW($W$7:$W$20))+1,""),""),ROW()-ROW(A$22)+1))),","),"")</f>
        <v/>
      </c>
      <c r="X25" s="0" t="str">
        <f aca="false" t="array" ref="X25:X25">IFERROR(CONCATENATE(TEXT(INDEX($W$7:$W$20,SMALL(IF($Z$7:$Z$20&lt;&gt;"",IF($W$7:$W$20&lt;&gt;"",ROW($W$7:$W$20)-MIN(ROW($W$7:$W$20))+1,""),""),ROW()-ROW(A$22)+1)),"##0"),","),"")</f>
        <v/>
      </c>
      <c r="Y25" s="0" t="str">
        <f aca="false" t="array" ref="Y25:Y25">IFERROR(CONCATENATE((INDEX($A$7:$A$20,SMALL(IF($Z$7:$Z$20&lt;&gt;"",IF($W$7:$W$20&lt;&gt;"",ROW($W$7:$W$20)-MIN(ROW($W$7:$W$20))+1,""),""),ROW()-ROW(A$22)+1))),),"")</f>
        <v/>
      </c>
    </row>
    <row r="26" customFormat="false" ht="15" hidden="false" customHeight="false" outlineLevel="0" collapsed="false">
      <c r="K26" s="0" t="str">
        <f aca="false" t="array" ref="K26:K26">IFERROR(CONCATENATE(TEXT(INDEX($K$7:$K$20,SMALL(IF($N$7:$N$20&lt;&gt;"",IF($K$7:$K$20&lt;&gt;"",ROW($K$7:$K$20)-MIN(ROW($K$7:$K$20))+1,""),""),ROW()-ROW(A$22)+1)),"##0"),","),"")</f>
        <v/>
      </c>
      <c r="L26" s="0" t="str">
        <f aca="false" t="array" ref="L26:L26">IFERROR(CONCATENATE((INDEX($N$7:$N$20,SMALL(IF($N$7:$N$20&lt;&gt;"",IF($K$7:$K$20&lt;&gt;"",ROW($K$7:$K$20)-MIN(ROW($K$7:$K$20))+1,""),""),ROW()-ROW(A$22)+1))),","),"")</f>
        <v/>
      </c>
      <c r="M26" s="0" t="str">
        <f aca="false" t="array" ref="M26:M26">IFERROR(CONCATENATE((INDEX($A$7:$A$20,SMALL(IF($N$7:$N$20&lt;&gt;"",IF($K$7:$K$20&lt;&gt;"",ROW($K$7:$K$20)-MIN(ROW($K$7:$K$20))+1,""),""),ROW()-ROW(A$22)+1))),),"")</f>
        <v/>
      </c>
      <c r="Q26" s="0" t="str">
        <f aca="false" t="array" ref="Q26:Q26">IFERROR(CONCATENATE((INDEX($T$7:$T$20,SMALL(IF($T$7:$T$20&lt;&gt;"",IF($Q$7:$Q$20&lt;&gt;"",ROW($Q$7:$Q$20)-MIN(ROW($Q$7:$Q$20))+1,""),""),ROW()-ROW(A$22)+1)))," "),"")</f>
        <v/>
      </c>
      <c r="R26" s="0" t="str">
        <f aca="false" t="array" ref="R26:R26">IFERROR(CONCATENATE(TEXT(INDEX($Q$7:$Q$20,SMALL(IF($T$7:$T$20&lt;&gt;"",IF($Q$7:$Q$20&lt;&gt;"",ROW($Q$7:$Q$20)-MIN(ROW($Q$7:$Q$20))+1,""),""),ROW()-ROW(A$22)+1)),"##0")," "),"")</f>
        <v/>
      </c>
      <c r="S26" s="0" t="str">
        <f aca="false" t="array" ref="S26:S26">IFERROR(CONCATENATE((INDEX($A$7:$A$20,SMALL(IF($T$7:$T$20&lt;&gt;"",IF($Q$7:$Q$20&lt;&gt;"",ROW($Q$7:$Q$20)-MIN(ROW($Q$7:$Q$20))+1,""),""),ROW()-ROW(A$22)+1))),),"")</f>
        <v/>
      </c>
      <c r="W26" s="0" t="str">
        <f aca="false" t="array" ref="W26:W26">IFERROR(CONCATENATE((INDEX($Z$7:$Z$20,SMALL(IF($Z$7:$Z$20&lt;&gt;"",IF($W$7:$W$20&lt;&gt;"",ROW($W$7:$W$20)-MIN(ROW($W$7:$W$20))+1,""),""),ROW()-ROW(A$22)+1))),","),"")</f>
        <v/>
      </c>
      <c r="X26" s="0" t="str">
        <f aca="false" t="array" ref="X26:X26">IFERROR(CONCATENATE(TEXT(INDEX($W$7:$W$20,SMALL(IF($Z$7:$Z$20&lt;&gt;"",IF($W$7:$W$20&lt;&gt;"",ROW($W$7:$W$20)-MIN(ROW($W$7:$W$20))+1,""),""),ROW()-ROW(A$22)+1)),"##0"),","),"")</f>
        <v/>
      </c>
      <c r="Y26" s="0" t="str">
        <f aca="false" t="array" ref="Y26:Y26">IFERROR(CONCATENATE((INDEX($A$7:$A$20,SMALL(IF($Z$7:$Z$20&lt;&gt;"",IF($W$7:$W$20&lt;&gt;"",ROW($W$7:$W$20)-MIN(ROW($W$7:$W$20))+1,""),""),ROW()-ROW(A$22)+1))),),"")</f>
        <v/>
      </c>
    </row>
    <row r="27" customFormat="false" ht="15" hidden="false" customHeight="false" outlineLevel="0" collapsed="false">
      <c r="K27" s="0" t="str">
        <f aca="false" t="array" ref="K27:K27">IFERROR(CONCATENATE(TEXT(INDEX($K$7:$K$20,SMALL(IF($N$7:$N$20&lt;&gt;"",IF($K$7:$K$20&lt;&gt;"",ROW($K$7:$K$20)-MIN(ROW($K$7:$K$20))+1,""),""),ROW()-ROW(A$22)+1)),"##0"),","),"")</f>
        <v/>
      </c>
      <c r="L27" s="0" t="str">
        <f aca="false" t="array" ref="L27:L27">IFERROR(CONCATENATE((INDEX($N$7:$N$20,SMALL(IF($N$7:$N$20&lt;&gt;"",IF($K$7:$K$20&lt;&gt;"",ROW($K$7:$K$20)-MIN(ROW($K$7:$K$20))+1,""),""),ROW()-ROW(A$22)+1))),","),"")</f>
        <v/>
      </c>
      <c r="M27" s="0" t="str">
        <f aca="false" t="array" ref="M27:M27">IFERROR(CONCATENATE((INDEX($A$7:$A$20,SMALL(IF($N$7:$N$20&lt;&gt;"",IF($K$7:$K$20&lt;&gt;"",ROW($K$7:$K$20)-MIN(ROW($K$7:$K$20))+1,""),""),ROW()-ROW(A$22)+1))),),"")</f>
        <v/>
      </c>
      <c r="Q27" s="0" t="str">
        <f aca="false" t="array" ref="Q27:Q27">IFERROR(CONCATENATE((INDEX($T$7:$T$20,SMALL(IF($T$7:$T$20&lt;&gt;"",IF($Q$7:$Q$20&lt;&gt;"",ROW($Q$7:$Q$20)-MIN(ROW($Q$7:$Q$20))+1,""),""),ROW()-ROW(A$22)+1)))," "),"")</f>
        <v/>
      </c>
      <c r="R27" s="0" t="str">
        <f aca="false" t="array" ref="R27:R27">IFERROR(CONCATENATE(TEXT(INDEX($Q$7:$Q$20,SMALL(IF($T$7:$T$20&lt;&gt;"",IF($Q$7:$Q$20&lt;&gt;"",ROW($Q$7:$Q$20)-MIN(ROW($Q$7:$Q$20))+1,""),""),ROW()-ROW(A$22)+1)),"##0")," "),"")</f>
        <v/>
      </c>
      <c r="S27" s="0" t="str">
        <f aca="false" t="array" ref="S27:S27">IFERROR(CONCATENATE((INDEX($A$7:$A$20,SMALL(IF($T$7:$T$20&lt;&gt;"",IF($Q$7:$Q$20&lt;&gt;"",ROW($Q$7:$Q$20)-MIN(ROW($Q$7:$Q$20))+1,""),""),ROW()-ROW(A$22)+1))),),"")</f>
        <v/>
      </c>
      <c r="W27" s="0" t="str">
        <f aca="false" t="array" ref="W27:W27">IFERROR(CONCATENATE((INDEX($Z$7:$Z$20,SMALL(IF($Z$7:$Z$20&lt;&gt;"",IF($W$7:$W$20&lt;&gt;"",ROW($W$7:$W$20)-MIN(ROW($W$7:$W$20))+1,""),""),ROW()-ROW(A$22)+1))),","),"")</f>
        <v/>
      </c>
      <c r="X27" s="0" t="str">
        <f aca="false" t="array" ref="X27:X27">IFERROR(CONCATENATE(TEXT(INDEX($W$7:$W$20,SMALL(IF($Z$7:$Z$20&lt;&gt;"",IF($W$7:$W$20&lt;&gt;"",ROW($W$7:$W$20)-MIN(ROW($W$7:$W$20))+1,""),""),ROW()-ROW(A$22)+1)),"##0"),","),"")</f>
        <v/>
      </c>
      <c r="Y27" s="0" t="str">
        <f aca="false" t="array" ref="Y27:Y27">IFERROR(CONCATENATE((INDEX($A$7:$A$20,SMALL(IF($Z$7:$Z$20&lt;&gt;"",IF($W$7:$W$20&lt;&gt;"",ROW($W$7:$W$20)-MIN(ROW($W$7:$W$20))+1,""),""),ROW()-ROW(A$22)+1))),),"")</f>
        <v/>
      </c>
    </row>
    <row r="28" customFormat="false" ht="15" hidden="false" customHeight="false" outlineLevel="0" collapsed="false">
      <c r="K28" s="0" t="str">
        <f aca="false" t="array" ref="K28:K28">IFERROR(CONCATENATE(TEXT(INDEX($K$7:$K$20,SMALL(IF($N$7:$N$20&lt;&gt;"",IF($K$7:$K$20&lt;&gt;"",ROW($K$7:$K$20)-MIN(ROW($K$7:$K$20))+1,""),""),ROW()-ROW(A$22)+1)),"##0"),","),"")</f>
        <v/>
      </c>
      <c r="L28" s="0" t="str">
        <f aca="false" t="array" ref="L28:L28">IFERROR(CONCATENATE((INDEX($N$7:$N$20,SMALL(IF($N$7:$N$20&lt;&gt;"",IF($K$7:$K$20&lt;&gt;"",ROW($K$7:$K$20)-MIN(ROW($K$7:$K$20))+1,""),""),ROW()-ROW(A$22)+1))),","),"")</f>
        <v/>
      </c>
      <c r="M28" s="0" t="str">
        <f aca="false" t="array" ref="M28:M28">IFERROR(CONCATENATE((INDEX($A$7:$A$20,SMALL(IF($N$7:$N$20&lt;&gt;"",IF($K$7:$K$20&lt;&gt;"",ROW($K$7:$K$20)-MIN(ROW($K$7:$K$20))+1,""),""),ROW()-ROW(A$22)+1))),),"")</f>
        <v/>
      </c>
      <c r="Q28" s="0" t="str">
        <f aca="false" t="array" ref="Q28:Q28">IFERROR(CONCATENATE((INDEX($T$7:$T$20,SMALL(IF($T$7:$T$20&lt;&gt;"",IF($Q$7:$Q$20&lt;&gt;"",ROW($Q$7:$Q$20)-MIN(ROW($Q$7:$Q$20))+1,""),""),ROW()-ROW(A$22)+1)))," "),"")</f>
        <v/>
      </c>
      <c r="R28" s="0" t="str">
        <f aca="false" t="array" ref="R28:R28">IFERROR(CONCATENATE(TEXT(INDEX($Q$7:$Q$20,SMALL(IF($T$7:$T$20&lt;&gt;"",IF($Q$7:$Q$20&lt;&gt;"",ROW($Q$7:$Q$20)-MIN(ROW($Q$7:$Q$20))+1,""),""),ROW()-ROW(A$22)+1)),"##0")," "),"")</f>
        <v/>
      </c>
      <c r="S28" s="0" t="str">
        <f aca="false" t="array" ref="S28:S28">IFERROR(CONCATENATE((INDEX($A$7:$A$20,SMALL(IF($T$7:$T$20&lt;&gt;"",IF($Q$7:$Q$20&lt;&gt;"",ROW($Q$7:$Q$20)-MIN(ROW($Q$7:$Q$20))+1,""),""),ROW()-ROW(A$22)+1))),),"")</f>
        <v/>
      </c>
      <c r="W28" s="0" t="str">
        <f aca="false" t="array" ref="W28:W28">IFERROR(CONCATENATE((INDEX($Z$7:$Z$20,SMALL(IF($Z$7:$Z$20&lt;&gt;"",IF($W$7:$W$20&lt;&gt;"",ROW($W$7:$W$20)-MIN(ROW($W$7:$W$20))+1,""),""),ROW()-ROW(A$22)+1))),","),"")</f>
        <v/>
      </c>
      <c r="X28" s="0" t="str">
        <f aca="false" t="array" ref="X28:X28">IFERROR(CONCATENATE(TEXT(INDEX($W$7:$W$20,SMALL(IF($Z$7:$Z$20&lt;&gt;"",IF($W$7:$W$20&lt;&gt;"",ROW($W$7:$W$20)-MIN(ROW($W$7:$W$20))+1,""),""),ROW()-ROW(A$22)+1)),"##0"),","),"")</f>
        <v/>
      </c>
      <c r="Y28" s="0" t="str">
        <f aca="false" t="array" ref="Y28:Y28">IFERROR(CONCATENATE((INDEX($A$7:$A$20,SMALL(IF($Z$7:$Z$20&lt;&gt;"",IF($W$7:$W$20&lt;&gt;"",ROW($W$7:$W$20)-MIN(ROW($W$7:$W$20))+1,""),""),ROW()-ROW(A$22)+1))),),"")</f>
        <v/>
      </c>
    </row>
    <row r="29" customFormat="false" ht="15" hidden="false" customHeight="false" outlineLevel="0" collapsed="false">
      <c r="K29" s="0" t="str">
        <f aca="false" t="array" ref="K29:K29">IFERROR(CONCATENATE(TEXT(INDEX($K$7:$K$20,SMALL(IF($N$7:$N$20&lt;&gt;"",IF($K$7:$K$20&lt;&gt;"",ROW($K$7:$K$20)-MIN(ROW($K$7:$K$20))+1,""),""),ROW()-ROW(A$22)+1)),"##0"),","),"")</f>
        <v/>
      </c>
      <c r="L29" s="0" t="str">
        <f aca="false" t="array" ref="L29:L29">IFERROR(CONCATENATE((INDEX($N$7:$N$20,SMALL(IF($N$7:$N$20&lt;&gt;"",IF($K$7:$K$20&lt;&gt;"",ROW($K$7:$K$20)-MIN(ROW($K$7:$K$20))+1,""),""),ROW()-ROW(A$22)+1))),","),"")</f>
        <v/>
      </c>
      <c r="M29" s="0" t="str">
        <f aca="false" t="array" ref="M29:M29">IFERROR(CONCATENATE((INDEX($A$7:$A$20,SMALL(IF($N$7:$N$20&lt;&gt;"",IF($K$7:$K$20&lt;&gt;"",ROW($K$7:$K$20)-MIN(ROW($K$7:$K$20))+1,""),""),ROW()-ROW(A$22)+1))),),"")</f>
        <v/>
      </c>
      <c r="Q29" s="0" t="str">
        <f aca="false" t="array" ref="Q29:Q29">IFERROR(CONCATENATE((INDEX($T$7:$T$20,SMALL(IF($T$7:$T$20&lt;&gt;"",IF($Q$7:$Q$20&lt;&gt;"",ROW($Q$7:$Q$20)-MIN(ROW($Q$7:$Q$20))+1,""),""),ROW()-ROW(A$22)+1)))," "),"")</f>
        <v/>
      </c>
      <c r="R29" s="0" t="str">
        <f aca="false" t="array" ref="R29:R29">IFERROR(CONCATENATE(TEXT(INDEX($Q$7:$Q$20,SMALL(IF($T$7:$T$20&lt;&gt;"",IF($Q$7:$Q$20&lt;&gt;"",ROW($Q$7:$Q$20)-MIN(ROW($Q$7:$Q$20))+1,""),""),ROW()-ROW(A$22)+1)),"##0")," "),"")</f>
        <v/>
      </c>
      <c r="S29" s="0" t="str">
        <f aca="false" t="array" ref="S29:S29">IFERROR(CONCATENATE((INDEX($A$7:$A$20,SMALL(IF($T$7:$T$20&lt;&gt;"",IF($Q$7:$Q$20&lt;&gt;"",ROW($Q$7:$Q$20)-MIN(ROW($Q$7:$Q$20))+1,""),""),ROW()-ROW(A$22)+1))),),"")</f>
        <v/>
      </c>
      <c r="W29" s="0" t="str">
        <f aca="false" t="array" ref="W29:W29">IFERROR(CONCATENATE((INDEX($Z$7:$Z$20,SMALL(IF($Z$7:$Z$20&lt;&gt;"",IF($W$7:$W$20&lt;&gt;"",ROW($W$7:$W$20)-MIN(ROW($W$7:$W$20))+1,""),""),ROW()-ROW(A$22)+1))),","),"")</f>
        <v/>
      </c>
      <c r="X29" s="0" t="str">
        <f aca="false" t="array" ref="X29:X29">IFERROR(CONCATENATE(TEXT(INDEX($W$7:$W$20,SMALL(IF($Z$7:$Z$20&lt;&gt;"",IF($W$7:$W$20&lt;&gt;"",ROW($W$7:$W$20)-MIN(ROW($W$7:$W$20))+1,""),""),ROW()-ROW(A$22)+1)),"##0"),","),"")</f>
        <v/>
      </c>
      <c r="Y29" s="0" t="str">
        <f aca="false" t="array" ref="Y29:Y29">IFERROR(CONCATENATE((INDEX($A$7:$A$20,SMALL(IF($Z$7:$Z$20&lt;&gt;"",IF($W$7:$W$20&lt;&gt;"",ROW($W$7:$W$20)-MIN(ROW($W$7:$W$20))+1,""),""),ROW()-ROW(A$22)+1))),),"")</f>
        <v/>
      </c>
    </row>
    <row r="30" customFormat="false" ht="15" hidden="false" customHeight="false" outlineLevel="0" collapsed="false">
      <c r="K30" s="0" t="str">
        <f aca="false" t="array" ref="K30:K30">IFERROR(CONCATENATE(TEXT(INDEX($K$7:$K$20,SMALL(IF($N$7:$N$20&lt;&gt;"",IF($K$7:$K$20&lt;&gt;"",ROW($K$7:$K$20)-MIN(ROW($K$7:$K$20))+1,""),""),ROW()-ROW(A$22)+1)),"##0"),","),"")</f>
        <v/>
      </c>
      <c r="L30" s="0" t="str">
        <f aca="false" t="array" ref="L30:L30">IFERROR(CONCATENATE((INDEX($N$7:$N$20,SMALL(IF($N$7:$N$20&lt;&gt;"",IF($K$7:$K$20&lt;&gt;"",ROW($K$7:$K$20)-MIN(ROW($K$7:$K$20))+1,""),""),ROW()-ROW(A$22)+1))),","),"")</f>
        <v/>
      </c>
      <c r="M30" s="0" t="str">
        <f aca="false" t="array" ref="M30:M30">IFERROR(CONCATENATE((INDEX($A$7:$A$20,SMALL(IF($N$7:$N$20&lt;&gt;"",IF($K$7:$K$20&lt;&gt;"",ROW($K$7:$K$20)-MIN(ROW($K$7:$K$20))+1,""),""),ROW()-ROW(A$22)+1))),),"")</f>
        <v/>
      </c>
      <c r="Q30" s="0" t="str">
        <f aca="false" t="array" ref="Q30:Q30">IFERROR(CONCATENATE((INDEX($T$7:$T$20,SMALL(IF($T$7:$T$20&lt;&gt;"",IF($Q$7:$Q$20&lt;&gt;"",ROW($Q$7:$Q$20)-MIN(ROW($Q$7:$Q$20))+1,""),""),ROW()-ROW(A$22)+1)))," "),"")</f>
        <v/>
      </c>
      <c r="R30" s="0" t="str">
        <f aca="false" t="array" ref="R30:R30">IFERROR(CONCATENATE(TEXT(INDEX($Q$7:$Q$20,SMALL(IF($T$7:$T$20&lt;&gt;"",IF($Q$7:$Q$20&lt;&gt;"",ROW($Q$7:$Q$20)-MIN(ROW($Q$7:$Q$20))+1,""),""),ROW()-ROW(A$22)+1)),"##0")," "),"")</f>
        <v/>
      </c>
      <c r="S30" s="0" t="str">
        <f aca="false" t="array" ref="S30:S30">IFERROR(CONCATENATE((INDEX($A$7:$A$20,SMALL(IF($T$7:$T$20&lt;&gt;"",IF($Q$7:$Q$20&lt;&gt;"",ROW($Q$7:$Q$20)-MIN(ROW($Q$7:$Q$20))+1,""),""),ROW()-ROW(A$22)+1))),),"")</f>
        <v/>
      </c>
      <c r="W30" s="0" t="str">
        <f aca="false" t="array" ref="W30:W30">IFERROR(CONCATENATE((INDEX($Z$7:$Z$20,SMALL(IF($Z$7:$Z$20&lt;&gt;"",IF($W$7:$W$20&lt;&gt;"",ROW($W$7:$W$20)-MIN(ROW($W$7:$W$20))+1,""),""),ROW()-ROW(A$22)+1))),","),"")</f>
        <v/>
      </c>
      <c r="X30" s="0" t="str">
        <f aca="false" t="array" ref="X30:X30">IFERROR(CONCATENATE(TEXT(INDEX($W$7:$W$20,SMALL(IF($Z$7:$Z$20&lt;&gt;"",IF($W$7:$W$20&lt;&gt;"",ROW($W$7:$W$20)-MIN(ROW($W$7:$W$20))+1,""),""),ROW()-ROW(A$22)+1)),"##0"),","),"")</f>
        <v/>
      </c>
      <c r="Y30" s="0" t="str">
        <f aca="false" t="array" ref="Y30:Y30">IFERROR(CONCATENATE((INDEX($A$7:$A$20,SMALL(IF($Z$7:$Z$20&lt;&gt;"",IF($W$7:$W$20&lt;&gt;"",ROW($W$7:$W$20)-MIN(ROW($W$7:$W$20))+1,""),""),ROW()-ROW(A$22)+1))),),"")</f>
        <v/>
      </c>
    </row>
    <row r="31" customFormat="false" ht="15" hidden="false" customHeight="false" outlineLevel="0" collapsed="false">
      <c r="K31" s="0" t="str">
        <f aca="false" t="array" ref="K31:K31">IFERROR(CONCATENATE(TEXT(INDEX($K$7:$K$20,SMALL(IF($N$7:$N$20&lt;&gt;"",IF($K$7:$K$20&lt;&gt;"",ROW($K$7:$K$20)-MIN(ROW($K$7:$K$20))+1,""),""),ROW()-ROW(A$22)+1)),"##0"),","),"")</f>
        <v/>
      </c>
      <c r="L31" s="0" t="str">
        <f aca="false" t="array" ref="L31:L31">IFERROR(CONCATENATE((INDEX($N$7:$N$20,SMALL(IF($N$7:$N$20&lt;&gt;"",IF($K$7:$K$20&lt;&gt;"",ROW($K$7:$K$20)-MIN(ROW($K$7:$K$20))+1,""),""),ROW()-ROW(A$22)+1))),","),"")</f>
        <v/>
      </c>
      <c r="M31" s="0" t="str">
        <f aca="false" t="array" ref="M31:M31">IFERROR(CONCATENATE((INDEX($A$7:$A$20,SMALL(IF($N$7:$N$20&lt;&gt;"",IF($K$7:$K$20&lt;&gt;"",ROW($K$7:$K$20)-MIN(ROW($K$7:$K$20))+1,""),""),ROW()-ROW(A$22)+1))),),"")</f>
        <v/>
      </c>
      <c r="Q31" s="0" t="str">
        <f aca="false" t="array" ref="Q31:Q31">IFERROR(CONCATENATE((INDEX($T$7:$T$20,SMALL(IF($T$7:$T$20&lt;&gt;"",IF($Q$7:$Q$20&lt;&gt;"",ROW($Q$7:$Q$20)-MIN(ROW($Q$7:$Q$20))+1,""),""),ROW()-ROW(A$22)+1)))," "),"")</f>
        <v/>
      </c>
      <c r="R31" s="0" t="str">
        <f aca="false" t="array" ref="R31:R31">IFERROR(CONCATENATE(TEXT(INDEX($Q$7:$Q$20,SMALL(IF($T$7:$T$20&lt;&gt;"",IF($Q$7:$Q$20&lt;&gt;"",ROW($Q$7:$Q$20)-MIN(ROW($Q$7:$Q$20))+1,""),""),ROW()-ROW(A$22)+1)),"##0")," "),"")</f>
        <v/>
      </c>
      <c r="S31" s="0" t="str">
        <f aca="false" t="array" ref="S31:S31">IFERROR(CONCATENATE((INDEX($A$7:$A$20,SMALL(IF($T$7:$T$20&lt;&gt;"",IF($Q$7:$Q$20&lt;&gt;"",ROW($Q$7:$Q$20)-MIN(ROW($Q$7:$Q$20))+1,""),""),ROW()-ROW(A$22)+1))),),"")</f>
        <v/>
      </c>
      <c r="W31" s="0" t="str">
        <f aca="false" t="array" ref="W31:W31">IFERROR(CONCATENATE((INDEX($Z$7:$Z$20,SMALL(IF($Z$7:$Z$20&lt;&gt;"",IF($W$7:$W$20&lt;&gt;"",ROW($W$7:$W$20)-MIN(ROW($W$7:$W$20))+1,""),""),ROW()-ROW(A$22)+1))),","),"")</f>
        <v/>
      </c>
      <c r="X31" s="0" t="str">
        <f aca="false" t="array" ref="X31:X31">IFERROR(CONCATENATE(TEXT(INDEX($W$7:$W$20,SMALL(IF($Z$7:$Z$20&lt;&gt;"",IF($W$7:$W$20&lt;&gt;"",ROW($W$7:$W$20)-MIN(ROW($W$7:$W$20))+1,""),""),ROW()-ROW(A$22)+1)),"##0"),","),"")</f>
        <v/>
      </c>
      <c r="Y31" s="0" t="str">
        <f aca="false" t="array" ref="Y31:Y31">IFERROR(CONCATENATE((INDEX($A$7:$A$20,SMALL(IF($Z$7:$Z$20&lt;&gt;"",IF($W$7:$W$20&lt;&gt;"",ROW($W$7:$W$20)-MIN(ROW($W$7:$W$20))+1,""),""),ROW()-ROW(A$22)+1))),),"")</f>
        <v/>
      </c>
    </row>
    <row r="32" customFormat="false" ht="15" hidden="false" customHeight="false" outlineLevel="0" collapsed="false">
      <c r="K32" s="0" t="str">
        <f aca="false" t="array" ref="K32:K32">IFERROR(CONCATENATE(TEXT(INDEX($K$7:$K$20,SMALL(IF($N$7:$N$20&lt;&gt;"",IF($K$7:$K$20&lt;&gt;"",ROW($K$7:$K$20)-MIN(ROW($K$7:$K$20))+1,""),""),ROW()-ROW(A$22)+1)),"##0"),","),"")</f>
        <v/>
      </c>
      <c r="L32" s="0" t="str">
        <f aca="false" t="array" ref="L32:L32">IFERROR(CONCATENATE((INDEX($N$7:$N$20,SMALL(IF($N$7:$N$20&lt;&gt;"",IF($K$7:$K$20&lt;&gt;"",ROW($K$7:$K$20)-MIN(ROW($K$7:$K$20))+1,""),""),ROW()-ROW(A$22)+1))),","),"")</f>
        <v/>
      </c>
      <c r="M32" s="0" t="str">
        <f aca="false" t="array" ref="M32:M32">IFERROR(CONCATENATE((INDEX($A$7:$A$20,SMALL(IF($N$7:$N$20&lt;&gt;"",IF($K$7:$K$20&lt;&gt;"",ROW($K$7:$K$20)-MIN(ROW($K$7:$K$20))+1,""),""),ROW()-ROW(A$22)+1))),),"")</f>
        <v/>
      </c>
      <c r="Q32" s="0" t="str">
        <f aca="false" t="array" ref="Q32:Q32">IFERROR(CONCATENATE((INDEX($T$7:$T$20,SMALL(IF($T$7:$T$20&lt;&gt;"",IF($Q$7:$Q$20&lt;&gt;"",ROW($Q$7:$Q$20)-MIN(ROW($Q$7:$Q$20))+1,""),""),ROW()-ROW(A$22)+1)))," "),"")</f>
        <v/>
      </c>
      <c r="R32" s="0" t="str">
        <f aca="false" t="array" ref="R32:R32">IFERROR(CONCATENATE(TEXT(INDEX($Q$7:$Q$20,SMALL(IF($T$7:$T$20&lt;&gt;"",IF($Q$7:$Q$20&lt;&gt;"",ROW($Q$7:$Q$20)-MIN(ROW($Q$7:$Q$20))+1,""),""),ROW()-ROW(A$22)+1)),"##0")," "),"")</f>
        <v/>
      </c>
      <c r="S32" s="0" t="str">
        <f aca="false" t="array" ref="S32:S32">IFERROR(CONCATENATE((INDEX($A$7:$A$20,SMALL(IF($T$7:$T$20&lt;&gt;"",IF($Q$7:$Q$20&lt;&gt;"",ROW($Q$7:$Q$20)-MIN(ROW($Q$7:$Q$20))+1,""),""),ROW()-ROW(A$22)+1))),),"")</f>
        <v/>
      </c>
      <c r="W32" s="0" t="str">
        <f aca="false" t="array" ref="W32:W32">IFERROR(CONCATENATE((INDEX($Z$7:$Z$20,SMALL(IF($Z$7:$Z$20&lt;&gt;"",IF($W$7:$W$20&lt;&gt;"",ROW($W$7:$W$20)-MIN(ROW($W$7:$W$20))+1,""),""),ROW()-ROW(A$22)+1))),","),"")</f>
        <v/>
      </c>
      <c r="X32" s="0" t="str">
        <f aca="false" t="array" ref="X32:X32">IFERROR(CONCATENATE(TEXT(INDEX($W$7:$W$20,SMALL(IF($Z$7:$Z$20&lt;&gt;"",IF($W$7:$W$20&lt;&gt;"",ROW($W$7:$W$20)-MIN(ROW($W$7:$W$20))+1,""),""),ROW()-ROW(A$22)+1)),"##0"),","),"")</f>
        <v/>
      </c>
      <c r="Y32" s="0" t="str">
        <f aca="false" t="array" ref="Y32:Y32">IFERROR(CONCATENATE((INDEX($A$7:$A$20,SMALL(IF($Z$7:$Z$20&lt;&gt;"",IF($W$7:$W$20&lt;&gt;"",ROW($W$7:$W$20)-MIN(ROW($W$7:$W$20))+1,""),""),ROW()-ROW(A$22)+1))),),"")</f>
        <v/>
      </c>
    </row>
    <row r="33" customFormat="false" ht="15" hidden="false" customHeight="false" outlineLevel="0" collapsed="false">
      <c r="K33" s="0" t="str">
        <f aca="false" t="array" ref="K33:K33">IFERROR(CONCATENATE(TEXT(INDEX($K$7:$K$20,SMALL(IF($N$7:$N$20&lt;&gt;"",IF($K$7:$K$20&lt;&gt;"",ROW($K$7:$K$20)-MIN(ROW($K$7:$K$20))+1,""),""),ROW()-ROW(A$22)+1)),"##0"),","),"")</f>
        <v/>
      </c>
      <c r="L33" s="0" t="str">
        <f aca="false" t="array" ref="L33:L33">IFERROR(CONCATENATE((INDEX($N$7:$N$20,SMALL(IF($N$7:$N$20&lt;&gt;"",IF($K$7:$K$20&lt;&gt;"",ROW($K$7:$K$20)-MIN(ROW($K$7:$K$20))+1,""),""),ROW()-ROW(A$22)+1))),","),"")</f>
        <v/>
      </c>
      <c r="M33" s="0" t="str">
        <f aca="false" t="array" ref="M33:M33">IFERROR(CONCATENATE((INDEX($A$7:$A$20,SMALL(IF($N$7:$N$20&lt;&gt;"",IF($K$7:$K$20&lt;&gt;"",ROW($K$7:$K$20)-MIN(ROW($K$7:$K$20))+1,""),""),ROW()-ROW(A$22)+1))),),"")</f>
        <v/>
      </c>
      <c r="Q33" s="0" t="str">
        <f aca="false" t="array" ref="Q33:Q33">IFERROR(CONCATENATE((INDEX($T$7:$T$20,SMALL(IF($T$7:$T$20&lt;&gt;"",IF($Q$7:$Q$20&lt;&gt;"",ROW($Q$7:$Q$20)-MIN(ROW($Q$7:$Q$20))+1,""),""),ROW()-ROW(A$22)+1)))," "),"")</f>
        <v/>
      </c>
      <c r="R33" s="0" t="str">
        <f aca="false" t="array" ref="R33:R33">IFERROR(CONCATENATE(TEXT(INDEX($Q$7:$Q$20,SMALL(IF($T$7:$T$20&lt;&gt;"",IF($Q$7:$Q$20&lt;&gt;"",ROW($Q$7:$Q$20)-MIN(ROW($Q$7:$Q$20))+1,""),""),ROW()-ROW(A$22)+1)),"##0")," "),"")</f>
        <v/>
      </c>
      <c r="S33" s="0" t="str">
        <f aca="false" t="array" ref="S33:S33">IFERROR(CONCATENATE((INDEX($A$7:$A$20,SMALL(IF($T$7:$T$20&lt;&gt;"",IF($Q$7:$Q$20&lt;&gt;"",ROW($Q$7:$Q$20)-MIN(ROW($Q$7:$Q$20))+1,""),""),ROW()-ROW(A$22)+1))),),"")</f>
        <v/>
      </c>
      <c r="W33" s="0" t="str">
        <f aca="false" t="array" ref="W33:W33">IFERROR(CONCATENATE((INDEX($Z$7:$Z$20,SMALL(IF($Z$7:$Z$20&lt;&gt;"",IF($W$7:$W$20&lt;&gt;"",ROW($W$7:$W$20)-MIN(ROW($W$7:$W$20))+1,""),""),ROW()-ROW(A$22)+1))),","),"")</f>
        <v/>
      </c>
      <c r="X33" s="0" t="str">
        <f aca="false" t="array" ref="X33:X33">IFERROR(CONCATENATE(TEXT(INDEX($W$7:$W$20,SMALL(IF($Z$7:$Z$20&lt;&gt;"",IF($W$7:$W$20&lt;&gt;"",ROW($W$7:$W$20)-MIN(ROW($W$7:$W$20))+1,""),""),ROW()-ROW(A$22)+1)),"##0"),","),"")</f>
        <v/>
      </c>
      <c r="Y33" s="0" t="str">
        <f aca="false" t="array" ref="Y33:Y33">IFERROR(CONCATENATE((INDEX($A$7:$A$20,SMALL(IF($Z$7:$Z$20&lt;&gt;"",IF($W$7:$W$20&lt;&gt;"",ROW($W$7:$W$20)-MIN(ROW($W$7:$W$20))+1,""),""),ROW()-ROW(A$22)+1))),),"")</f>
        <v/>
      </c>
    </row>
    <row r="34" customFormat="false" ht="15" hidden="false" customHeight="false" outlineLevel="0" collapsed="false">
      <c r="K34" s="0" t="str">
        <f aca="false" t="array" ref="K34:K34">IFERROR(CONCATENATE(TEXT(INDEX($K$7:$K$20,SMALL(IF($N$7:$N$20&lt;&gt;"",IF($K$7:$K$20&lt;&gt;"",ROW($K$7:$K$20)-MIN(ROW($K$7:$K$20))+1,""),""),ROW()-ROW(A$22)+1)),"##0"),","),"")</f>
        <v/>
      </c>
      <c r="L34" s="0" t="str">
        <f aca="false" t="array" ref="L34:L34">IFERROR(CONCATENATE((INDEX($N$7:$N$20,SMALL(IF($N$7:$N$20&lt;&gt;"",IF($K$7:$K$20&lt;&gt;"",ROW($K$7:$K$20)-MIN(ROW($K$7:$K$20))+1,""),""),ROW()-ROW(A$22)+1))),","),"")</f>
        <v/>
      </c>
      <c r="M34" s="0" t="str">
        <f aca="false" t="array" ref="M34:M34">IFERROR(CONCATENATE((INDEX($A$7:$A$20,SMALL(IF($N$7:$N$20&lt;&gt;"",IF($K$7:$K$20&lt;&gt;"",ROW($K$7:$K$20)-MIN(ROW($K$7:$K$20))+1,""),""),ROW()-ROW(A$22)+1))),),"")</f>
        <v/>
      </c>
      <c r="Q34" s="0" t="str">
        <f aca="false" t="array" ref="Q34:Q34">IFERROR(CONCATENATE((INDEX($T$7:$T$20,SMALL(IF($T$7:$T$20&lt;&gt;"",IF($Q$7:$Q$20&lt;&gt;"",ROW($Q$7:$Q$20)-MIN(ROW($Q$7:$Q$20))+1,""),""),ROW()-ROW(A$22)+1)))," "),"")</f>
        <v/>
      </c>
      <c r="R34" s="0" t="str">
        <f aca="false" t="array" ref="R34:R34">IFERROR(CONCATENATE(TEXT(INDEX($Q$7:$Q$20,SMALL(IF($T$7:$T$20&lt;&gt;"",IF($Q$7:$Q$20&lt;&gt;"",ROW($Q$7:$Q$20)-MIN(ROW($Q$7:$Q$20))+1,""),""),ROW()-ROW(A$22)+1)),"##0")," "),"")</f>
        <v/>
      </c>
      <c r="S34" s="0" t="str">
        <f aca="false" t="array" ref="S34:S34">IFERROR(CONCATENATE((INDEX($A$7:$A$20,SMALL(IF($T$7:$T$20&lt;&gt;"",IF($Q$7:$Q$20&lt;&gt;"",ROW($Q$7:$Q$20)-MIN(ROW($Q$7:$Q$20))+1,""),""),ROW()-ROW(A$22)+1))),),"")</f>
        <v/>
      </c>
      <c r="W34" s="0" t="str">
        <f aca="false" t="array" ref="W34:W34">IFERROR(CONCATENATE((INDEX($Z$7:$Z$20,SMALL(IF($Z$7:$Z$20&lt;&gt;"",IF($W$7:$W$20&lt;&gt;"",ROW($W$7:$W$20)-MIN(ROW($W$7:$W$20))+1,""),""),ROW()-ROW(A$22)+1))),","),"")</f>
        <v/>
      </c>
      <c r="X34" s="0" t="str">
        <f aca="false" t="array" ref="X34:X34">IFERROR(CONCATENATE(TEXT(INDEX($W$7:$W$20,SMALL(IF($Z$7:$Z$20&lt;&gt;"",IF($W$7:$W$20&lt;&gt;"",ROW($W$7:$W$20)-MIN(ROW($W$7:$W$20))+1,""),""),ROW()-ROW(A$22)+1)),"##0"),","),"")</f>
        <v/>
      </c>
      <c r="Y34" s="0" t="str">
        <f aca="false" t="array" ref="Y34:Y34">IFERROR(CONCATENATE((INDEX($A$7:$A$20,SMALL(IF($Z$7:$Z$20&lt;&gt;"",IF($W$7:$W$20&lt;&gt;"",ROW($W$7:$W$20)-MIN(ROW($W$7:$W$20))+1,""),""),ROW()-ROW(A$22)+1))),),"")</f>
        <v/>
      </c>
    </row>
    <row r="35" customFormat="false" ht="15" hidden="false" customHeight="false" outlineLevel="0" collapsed="false">
      <c r="K35" s="0" t="str">
        <f aca="false" t="array" ref="K35:K35">IFERROR(CONCATENATE(TEXT(INDEX($K$7:$K$20,SMALL(IF($N$7:$N$20&lt;&gt;"",IF($K$7:$K$20&lt;&gt;"",ROW($K$7:$K$20)-MIN(ROW($K$7:$K$20))+1,""),""),ROW()-ROW(A$22)+1)),"##0"),","),"")</f>
        <v/>
      </c>
      <c r="L35" s="0" t="str">
        <f aca="false" t="array" ref="L35:L35">IFERROR(CONCATENATE((INDEX($N$7:$N$20,SMALL(IF($N$7:$N$20&lt;&gt;"",IF($K$7:$K$20&lt;&gt;"",ROW($K$7:$K$20)-MIN(ROW($K$7:$K$20))+1,""),""),ROW()-ROW(A$22)+1))),","),"")</f>
        <v/>
      </c>
      <c r="M35" s="0" t="str">
        <f aca="false" t="array" ref="M35:M35">IFERROR(CONCATENATE((INDEX($A$7:$A$20,SMALL(IF($N$7:$N$20&lt;&gt;"",IF($K$7:$K$20&lt;&gt;"",ROW($K$7:$K$20)-MIN(ROW($K$7:$K$20))+1,""),""),ROW()-ROW(A$22)+1))),),"")</f>
        <v/>
      </c>
      <c r="Q35" s="0" t="str">
        <f aca="false" t="array" ref="Q35:Q35">IFERROR(CONCATENATE((INDEX($T$7:$T$20,SMALL(IF($T$7:$T$20&lt;&gt;"",IF($Q$7:$Q$20&lt;&gt;"",ROW($Q$7:$Q$20)-MIN(ROW($Q$7:$Q$20))+1,""),""),ROW()-ROW(A$22)+1)))," "),"")</f>
        <v/>
      </c>
      <c r="R35" s="0" t="str">
        <f aca="false" t="array" ref="R35:R35">IFERROR(CONCATENATE(TEXT(INDEX($Q$7:$Q$20,SMALL(IF($T$7:$T$20&lt;&gt;"",IF($Q$7:$Q$20&lt;&gt;"",ROW($Q$7:$Q$20)-MIN(ROW($Q$7:$Q$20))+1,""),""),ROW()-ROW(A$22)+1)),"##0")," "),"")</f>
        <v/>
      </c>
      <c r="S35" s="0" t="str">
        <f aca="false" t="array" ref="S35:S35">IFERROR(CONCATENATE((INDEX($A$7:$A$20,SMALL(IF($T$7:$T$20&lt;&gt;"",IF($Q$7:$Q$20&lt;&gt;"",ROW($Q$7:$Q$20)-MIN(ROW($Q$7:$Q$20))+1,""),""),ROW()-ROW(A$22)+1))),),"")</f>
        <v/>
      </c>
      <c r="W35" s="0" t="str">
        <f aca="false" t="array" ref="W35:W35">IFERROR(CONCATENATE((INDEX($Z$7:$Z$20,SMALL(IF($Z$7:$Z$20&lt;&gt;"",IF($W$7:$W$20&lt;&gt;"",ROW($W$7:$W$20)-MIN(ROW($W$7:$W$20))+1,""),""),ROW()-ROW(A$22)+1))),","),"")</f>
        <v/>
      </c>
      <c r="X35" s="0" t="str">
        <f aca="false" t="array" ref="X35:X35">IFERROR(CONCATENATE(TEXT(INDEX($W$7:$W$20,SMALL(IF($Z$7:$Z$20&lt;&gt;"",IF($W$7:$W$20&lt;&gt;"",ROW($W$7:$W$20)-MIN(ROW($W$7:$W$20))+1,""),""),ROW()-ROW(A$22)+1)),"##0"),","),"")</f>
        <v/>
      </c>
      <c r="Y35" s="0" t="str">
        <f aca="false" t="array" ref="Y35:Y35">IFERROR(CONCATENATE((INDEX($A$7:$A$20,SMALL(IF($Z$7:$Z$20&lt;&gt;"",IF($W$7:$W$20&lt;&gt;"",ROW($W$7:$W$20)-MIN(ROW($W$7:$W$20))+1,""),""),ROW()-ROW(A$22)+1))),),"")</f>
        <v/>
      </c>
    </row>
  </sheetData>
  <mergeCells count="4">
    <mergeCell ref="A5:I5"/>
    <mergeCell ref="J5:O5"/>
    <mergeCell ref="P5:U5"/>
    <mergeCell ref="V5:AA5"/>
  </mergeCells>
  <conditionalFormatting sqref="L11">
    <cfRule type="cellIs" priority="2" operator="lessThanOrEqual" aboveAverage="0" equalAverage="0" bottom="0" percent="0" rank="0" text="" dxfId="0">
      <formula>H11</formula>
    </cfRule>
  </conditionalFormatting>
  <conditionalFormatting sqref="L13">
    <cfRule type="cellIs" priority="3" operator="lessThanOrEqual" aboveAverage="0" equalAverage="0" bottom="0" percent="0" rank="0" text="" dxfId="0">
      <formula>H13</formula>
    </cfRule>
  </conditionalFormatting>
  <conditionalFormatting sqref="L14">
    <cfRule type="cellIs" priority="4" operator="lessThanOrEqual" aboveAverage="0" equalAverage="0" bottom="0" percent="0" rank="0" text="" dxfId="0">
      <formula>H14</formula>
    </cfRule>
  </conditionalFormatting>
  <conditionalFormatting sqref="L15">
    <cfRule type="cellIs" priority="5" operator="lessThanOrEqual" aboveAverage="0" equalAverage="0" bottom="0" percent="0" rank="0" text="" dxfId="0">
      <formula>H15</formula>
    </cfRule>
  </conditionalFormatting>
  <conditionalFormatting sqref="L16">
    <cfRule type="cellIs" priority="6" operator="lessThanOrEqual" aboveAverage="0" equalAverage="0" bottom="0" percent="0" rank="0" text="" dxfId="0">
      <formula>H16</formula>
    </cfRule>
  </conditionalFormatting>
  <conditionalFormatting sqref="L18">
    <cfRule type="cellIs" priority="7" operator="lessThanOrEqual" aboveAverage="0" equalAverage="0" bottom="0" percent="0" rank="0" text="" dxfId="0">
      <formula>H18</formula>
    </cfRule>
  </conditionalFormatting>
  <conditionalFormatting sqref="L19">
    <cfRule type="cellIs" priority="8" operator="lessThanOrEqual" aboveAverage="0" equalAverage="0" bottom="0" percent="0" rank="0" text="" dxfId="0">
      <formula>H19</formula>
    </cfRule>
  </conditionalFormatting>
  <conditionalFormatting sqref="L7">
    <cfRule type="cellIs" priority="9" operator="lessThanOrEqual" aboveAverage="0" equalAverage="0" bottom="0" percent="0" rank="0" text="" dxfId="0">
      <formula>H7</formula>
    </cfRule>
  </conditionalFormatting>
  <conditionalFormatting sqref="M11">
    <cfRule type="cellIs" priority="10" operator="lessThanOrEqual" aboveAverage="0" equalAverage="0" bottom="0" percent="0" rank="0" text="" dxfId="0">
      <formula>I11</formula>
    </cfRule>
  </conditionalFormatting>
  <conditionalFormatting sqref="M13">
    <cfRule type="cellIs" priority="11" operator="lessThanOrEqual" aboveAverage="0" equalAverage="0" bottom="0" percent="0" rank="0" text="" dxfId="0">
      <formula>I13</formula>
    </cfRule>
  </conditionalFormatting>
  <conditionalFormatting sqref="M14">
    <cfRule type="cellIs" priority="12" operator="lessThanOrEqual" aboveAverage="0" equalAverage="0" bottom="0" percent="0" rank="0" text="" dxfId="0">
      <formula>I14</formula>
    </cfRule>
  </conditionalFormatting>
  <conditionalFormatting sqref="M15">
    <cfRule type="cellIs" priority="13" operator="lessThanOrEqual" aboveAverage="0" equalAverage="0" bottom="0" percent="0" rank="0" text="" dxfId="0">
      <formula>I15</formula>
    </cfRule>
  </conditionalFormatting>
  <conditionalFormatting sqref="M16">
    <cfRule type="cellIs" priority="14" operator="lessThanOrEqual" aboveAverage="0" equalAverage="0" bottom="0" percent="0" rank="0" text="" dxfId="0">
      <formula>I16</formula>
    </cfRule>
  </conditionalFormatting>
  <conditionalFormatting sqref="M18">
    <cfRule type="cellIs" priority="15" operator="lessThanOrEqual" aboveAverage="0" equalAverage="0" bottom="0" percent="0" rank="0" text="" dxfId="0">
      <formula>I18</formula>
    </cfRule>
  </conditionalFormatting>
  <conditionalFormatting sqref="M19">
    <cfRule type="cellIs" priority="16" operator="lessThanOrEqual" aboveAverage="0" equalAverage="0" bottom="0" percent="0" rank="0" text="" dxfId="0">
      <formula>I19</formula>
    </cfRule>
  </conditionalFormatting>
  <conditionalFormatting sqref="M7">
    <cfRule type="cellIs" priority="17" operator="lessThanOrEqual" aboveAverage="0" equalAverage="0" bottom="0" percent="0" rank="0" text="" dxfId="0">
      <formula>I7</formula>
    </cfRule>
  </conditionalFormatting>
  <conditionalFormatting sqref="R10">
    <cfRule type="cellIs" priority="18" operator="lessThanOrEqual" aboveAverage="0" equalAverage="0" bottom="0" percent="0" rank="0" text="" dxfId="0">
      <formula>H10</formula>
    </cfRule>
  </conditionalFormatting>
  <conditionalFormatting sqref="R11">
    <cfRule type="cellIs" priority="19" operator="lessThanOrEqual" aboveAverage="0" equalAverage="0" bottom="0" percent="0" rank="0" text="" dxfId="0">
      <formula>H11</formula>
    </cfRule>
  </conditionalFormatting>
  <conditionalFormatting sqref="R12">
    <cfRule type="cellIs" priority="20" operator="lessThanOrEqual" aboveAverage="0" equalAverage="0" bottom="0" percent="0" rank="0" text="" dxfId="0">
      <formula>H12</formula>
    </cfRule>
  </conditionalFormatting>
  <conditionalFormatting sqref="R13">
    <cfRule type="cellIs" priority="21" operator="lessThanOrEqual" aboveAverage="0" equalAverage="0" bottom="0" percent="0" rank="0" text="" dxfId="0">
      <formula>H13</formula>
    </cfRule>
  </conditionalFormatting>
  <conditionalFormatting sqref="R14">
    <cfRule type="cellIs" priority="22" operator="lessThanOrEqual" aboveAverage="0" equalAverage="0" bottom="0" percent="0" rank="0" text="" dxfId="0">
      <formula>H14</formula>
    </cfRule>
  </conditionalFormatting>
  <conditionalFormatting sqref="R15">
    <cfRule type="cellIs" priority="23" operator="lessThanOrEqual" aboveAverage="0" equalAverage="0" bottom="0" percent="0" rank="0" text="" dxfId="0">
      <formula>H15</formula>
    </cfRule>
  </conditionalFormatting>
  <conditionalFormatting sqref="R16">
    <cfRule type="cellIs" priority="24" operator="lessThanOrEqual" aboveAverage="0" equalAverage="0" bottom="0" percent="0" rank="0" text="" dxfId="0">
      <formula>H16</formula>
    </cfRule>
  </conditionalFormatting>
  <conditionalFormatting sqref="R18">
    <cfRule type="cellIs" priority="25" operator="lessThanOrEqual" aboveAverage="0" equalAverage="0" bottom="0" percent="0" rank="0" text="" dxfId="0">
      <formula>H18</formula>
    </cfRule>
  </conditionalFormatting>
  <conditionalFormatting sqref="R19">
    <cfRule type="cellIs" priority="26" operator="lessThanOrEqual" aboveAverage="0" equalAverage="0" bottom="0" percent="0" rank="0" text="" dxfId="0">
      <formula>H19</formula>
    </cfRule>
  </conditionalFormatting>
  <conditionalFormatting sqref="R7">
    <cfRule type="cellIs" priority="27" operator="lessThanOrEqual" aboveAverage="0" equalAverage="0" bottom="0" percent="0" rank="0" text="" dxfId="0">
      <formula>H7</formula>
    </cfRule>
  </conditionalFormatting>
  <conditionalFormatting sqref="S10">
    <cfRule type="cellIs" priority="28" operator="lessThanOrEqual" aboveAverage="0" equalAverage="0" bottom="0" percent="0" rank="0" text="" dxfId="0">
      <formula>I10</formula>
    </cfRule>
  </conditionalFormatting>
  <conditionalFormatting sqref="S11">
    <cfRule type="cellIs" priority="29" operator="lessThanOrEqual" aboveAverage="0" equalAverage="0" bottom="0" percent="0" rank="0" text="" dxfId="0">
      <formula>I11</formula>
    </cfRule>
  </conditionalFormatting>
  <conditionalFormatting sqref="S12">
    <cfRule type="cellIs" priority="30" operator="lessThanOrEqual" aboveAverage="0" equalAverage="0" bottom="0" percent="0" rank="0" text="" dxfId="0">
      <formula>I12</formula>
    </cfRule>
  </conditionalFormatting>
  <conditionalFormatting sqref="S13">
    <cfRule type="cellIs" priority="31" operator="lessThanOrEqual" aboveAverage="0" equalAverage="0" bottom="0" percent="0" rank="0" text="" dxfId="0">
      <formula>I13</formula>
    </cfRule>
  </conditionalFormatting>
  <conditionalFormatting sqref="S14">
    <cfRule type="cellIs" priority="32" operator="lessThanOrEqual" aboveAverage="0" equalAverage="0" bottom="0" percent="0" rank="0" text="" dxfId="0">
      <formula>I14</formula>
    </cfRule>
  </conditionalFormatting>
  <conditionalFormatting sqref="S15">
    <cfRule type="cellIs" priority="33" operator="lessThanOrEqual" aboveAverage="0" equalAverage="0" bottom="0" percent="0" rank="0" text="" dxfId="0">
      <formula>I15</formula>
    </cfRule>
  </conditionalFormatting>
  <conditionalFormatting sqref="S16">
    <cfRule type="cellIs" priority="34" operator="lessThanOrEqual" aboveAverage="0" equalAverage="0" bottom="0" percent="0" rank="0" text="" dxfId="0">
      <formula>I16</formula>
    </cfRule>
  </conditionalFormatting>
  <conditionalFormatting sqref="S18">
    <cfRule type="cellIs" priority="35" operator="lessThanOrEqual" aboveAverage="0" equalAverage="0" bottom="0" percent="0" rank="0" text="" dxfId="0">
      <formula>I18</formula>
    </cfRule>
  </conditionalFormatting>
  <conditionalFormatting sqref="S19">
    <cfRule type="cellIs" priority="36" operator="lessThanOrEqual" aboveAverage="0" equalAverage="0" bottom="0" percent="0" rank="0" text="" dxfId="0">
      <formula>I19</formula>
    </cfRule>
  </conditionalFormatting>
  <conditionalFormatting sqref="S7">
    <cfRule type="cellIs" priority="37" operator="lessThanOrEqual" aboveAverage="0" equalAverage="0" bottom="0" percent="0" rank="0" text="" dxfId="0">
      <formula>I7</formula>
    </cfRule>
  </conditionalFormatting>
  <conditionalFormatting sqref="X11">
    <cfRule type="cellIs" priority="38" operator="lessThanOrEqual" aboveAverage="0" equalAverage="0" bottom="0" percent="0" rank="0" text="" dxfId="0">
      <formula>H11</formula>
    </cfRule>
  </conditionalFormatting>
  <conditionalFormatting sqref="X12">
    <cfRule type="cellIs" priority="39" operator="lessThanOrEqual" aboveAverage="0" equalAverage="0" bottom="0" percent="0" rank="0" text="" dxfId="0">
      <formula>H12</formula>
    </cfRule>
  </conditionalFormatting>
  <conditionalFormatting sqref="X13">
    <cfRule type="cellIs" priority="40" operator="lessThanOrEqual" aboveAverage="0" equalAverage="0" bottom="0" percent="0" rank="0" text="" dxfId="0">
      <formula>H13</formula>
    </cfRule>
  </conditionalFormatting>
  <conditionalFormatting sqref="X14">
    <cfRule type="cellIs" priority="41" operator="lessThanOrEqual" aboveAverage="0" equalAverage="0" bottom="0" percent="0" rank="0" text="" dxfId="0">
      <formula>H14</formula>
    </cfRule>
  </conditionalFormatting>
  <conditionalFormatting sqref="X16">
    <cfRule type="cellIs" priority="42" operator="lessThanOrEqual" aboveAverage="0" equalAverage="0" bottom="0" percent="0" rank="0" text="" dxfId="0">
      <formula>H16</formula>
    </cfRule>
  </conditionalFormatting>
  <conditionalFormatting sqref="X17">
    <cfRule type="cellIs" priority="43" operator="lessThanOrEqual" aboveAverage="0" equalAverage="0" bottom="0" percent="0" rank="0" text="" dxfId="0">
      <formula>H17</formula>
    </cfRule>
  </conditionalFormatting>
  <conditionalFormatting sqref="X18">
    <cfRule type="cellIs" priority="44" operator="lessThanOrEqual" aboveAverage="0" equalAverage="0" bottom="0" percent="0" rank="0" text="" dxfId="0">
      <formula>H18</formula>
    </cfRule>
  </conditionalFormatting>
  <conditionalFormatting sqref="X19">
    <cfRule type="cellIs" priority="45" operator="lessThanOrEqual" aboveAverage="0" equalAverage="0" bottom="0" percent="0" rank="0" text="" dxfId="0">
      <formula>H19</formula>
    </cfRule>
  </conditionalFormatting>
  <conditionalFormatting sqref="X7">
    <cfRule type="cellIs" priority="46" operator="lessThanOrEqual" aboveAverage="0" equalAverage="0" bottom="0" percent="0" rank="0" text="" dxfId="0">
      <formula>H7</formula>
    </cfRule>
  </conditionalFormatting>
  <conditionalFormatting sqref="Y11">
    <cfRule type="cellIs" priority="47" operator="lessThanOrEqual" aboveAverage="0" equalAverage="0" bottom="0" percent="0" rank="0" text="" dxfId="0">
      <formula>I11</formula>
    </cfRule>
  </conditionalFormatting>
  <conditionalFormatting sqref="Y12">
    <cfRule type="cellIs" priority="48" operator="lessThanOrEqual" aboveAverage="0" equalAverage="0" bottom="0" percent="0" rank="0" text="" dxfId="0">
      <formula>I12</formula>
    </cfRule>
  </conditionalFormatting>
  <conditionalFormatting sqref="Y13">
    <cfRule type="cellIs" priority="49" operator="lessThanOrEqual" aboveAverage="0" equalAverage="0" bottom="0" percent="0" rank="0" text="" dxfId="0">
      <formula>I13</formula>
    </cfRule>
  </conditionalFormatting>
  <conditionalFormatting sqref="Y14">
    <cfRule type="cellIs" priority="50" operator="lessThanOrEqual" aboveAverage="0" equalAverage="0" bottom="0" percent="0" rank="0" text="" dxfId="0">
      <formula>I14</formula>
    </cfRule>
  </conditionalFormatting>
  <conditionalFormatting sqref="Y16">
    <cfRule type="cellIs" priority="51" operator="lessThanOrEqual" aboveAverage="0" equalAverage="0" bottom="0" percent="0" rank="0" text="" dxfId="0">
      <formula>I16</formula>
    </cfRule>
  </conditionalFormatting>
  <conditionalFormatting sqref="Y17">
    <cfRule type="cellIs" priority="52" operator="lessThanOrEqual" aboveAverage="0" equalAverage="0" bottom="0" percent="0" rank="0" text="" dxfId="0">
      <formula>I17</formula>
    </cfRule>
  </conditionalFormatting>
  <conditionalFormatting sqref="Y18">
    <cfRule type="cellIs" priority="53" operator="lessThanOrEqual" aboveAverage="0" equalAverage="0" bottom="0" percent="0" rank="0" text="" dxfId="0">
      <formula>I18</formula>
    </cfRule>
  </conditionalFormatting>
  <conditionalFormatting sqref="Y19">
    <cfRule type="cellIs" priority="54" operator="lessThanOrEqual" aboveAverage="0" equalAverage="0" bottom="0" percent="0" rank="0" text="" dxfId="0">
      <formula>I19</formula>
    </cfRule>
  </conditionalFormatting>
  <conditionalFormatting sqref="Y7">
    <cfRule type="cellIs" priority="55" operator="lessThanOrEqual" aboveAverage="0" equalAverage="0" bottom="0" percent="0" rank="0" text="" dxfId="0">
      <formula>I7</formula>
    </cfRule>
  </conditionalFormatting>
  <hyperlinks>
    <hyperlink ref="O7" r:id="rId2" display="Link"/>
    <hyperlink ref="U7" r:id="rId3" display="Link"/>
    <hyperlink ref="AA7" r:id="rId4" display="Link"/>
    <hyperlink ref="U10" r:id="rId5" display="Link"/>
    <hyperlink ref="O11" r:id="rId6" display="Link"/>
    <hyperlink ref="U11" r:id="rId7" display="Link"/>
    <hyperlink ref="AA11" r:id="rId8" display="Link"/>
    <hyperlink ref="U12" r:id="rId9" display="Link"/>
    <hyperlink ref="AA12" r:id="rId10" display="Link"/>
    <hyperlink ref="O13" r:id="rId11" display="Link"/>
    <hyperlink ref="U13" r:id="rId12" display="Link"/>
    <hyperlink ref="AA13" r:id="rId13" display="Link"/>
    <hyperlink ref="O14" r:id="rId14" display="Link"/>
    <hyperlink ref="U14" r:id="rId15" display="Link"/>
    <hyperlink ref="AA14" r:id="rId16" display="Link"/>
    <hyperlink ref="O15" r:id="rId17" display="Link"/>
    <hyperlink ref="U15" r:id="rId18" display="Link"/>
    <hyperlink ref="AA15" r:id="rId19" display="Link"/>
    <hyperlink ref="O16" r:id="rId20" display="Link"/>
    <hyperlink ref="U16" r:id="rId21" display="Link"/>
    <hyperlink ref="AA16" r:id="rId22" display="Link"/>
    <hyperlink ref="U17" r:id="rId23" display="Link"/>
    <hyperlink ref="AA17" r:id="rId24" display="Link"/>
    <hyperlink ref="O18" r:id="rId25" display="Link"/>
    <hyperlink ref="U18" r:id="rId26" display="Link"/>
    <hyperlink ref="AA18" r:id="rId27" display="Link"/>
    <hyperlink ref="O19" r:id="rId28" display="Link"/>
    <hyperlink ref="U19" r:id="rId29" display="Link"/>
    <hyperlink ref="AA19" r:id="rId30" display="Lin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2016-10-24T16:26:49Z</dcterms:created>
  <dc:creator/>
  <dc:description/>
  <dc:language>en-US</dc:language>
  <cp:lastModifiedBy/>
  <dcterms:modified xsi:type="dcterms:W3CDTF">2016-10-24T12:38:25Z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