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from home\Software study\Exercise\Reading files\File2\"/>
    </mc:Choice>
  </mc:AlternateContent>
  <xr:revisionPtr revIDLastSave="0" documentId="13_ncr:1_{53BA04E9-96E1-4230-AF7F-760A6CBF864A}" xr6:coauthVersionLast="47" xr6:coauthVersionMax="47" xr10:uidLastSave="{00000000-0000-0000-0000-000000000000}"/>
  <bookViews>
    <workbookView xWindow="-108" yWindow="-108" windowWidth="23256" windowHeight="12756" firstSheet="1" activeTab="1" xr2:uid="{4B439C4D-E8C2-4972-9DE0-785CE031E39E}"/>
  </bookViews>
  <sheets>
    <sheet name="Section_prop" sheetId="1" state="hidden" r:id="rId1"/>
    <sheet name="CHS" sheetId="9" r:id="rId2"/>
    <sheet name="RHS_Section_prop" sheetId="20" state="hidden" r:id="rId3"/>
    <sheet name="CHS_SUMMARY" sheetId="17" state="hidden" r:id="rId4"/>
    <sheet name="RHS" sheetId="19" state="hidden" r:id="rId5"/>
    <sheet name="RHS_SUMMARY" sheetId="21" state="hidden" r:id="rId6"/>
    <sheet name="R0" sheetId="22" state="hidden" r:id="rId7"/>
    <sheet name="R1" sheetId="24" state="hidden" r:id="rId8"/>
    <sheet name="R1_Old" sheetId="23" state="hidden" r:id="rId9"/>
    <sheet name="Cost comp NB125" sheetId="18" state="hidden" r:id="rId10"/>
    <sheet name="Script_CHS" sheetId="11" state="hidden" r:id="rId11"/>
    <sheet name="Design_summary" sheetId="4" state="hidden" r:id="rId12"/>
  </sheets>
  <definedNames>
    <definedName name="INPUT" localSheetId="1">CHS!$X$4:$AO$5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8" i="9" l="1"/>
  <c r="F97" i="9"/>
  <c r="L197" i="19" l="1"/>
  <c r="L188" i="19"/>
  <c r="D197" i="19"/>
  <c r="D188" i="19"/>
  <c r="P65" i="9" l="1"/>
  <c r="D130" i="19" l="1"/>
  <c r="F12" i="19"/>
  <c r="Q152" i="19"/>
  <c r="O150" i="19"/>
  <c r="L160" i="19" s="1"/>
  <c r="D10" i="19" l="1"/>
  <c r="B106" i="20"/>
  <c r="C106" i="20"/>
  <c r="D106" i="20"/>
  <c r="E106" i="20"/>
  <c r="F106" i="20"/>
  <c r="G106" i="20"/>
  <c r="H106" i="20"/>
  <c r="D12" i="19"/>
  <c r="D11" i="19"/>
  <c r="I11" i="21"/>
  <c r="J11" i="21" s="1"/>
  <c r="K11" i="21"/>
  <c r="AB28" i="19" s="1"/>
  <c r="L11" i="21"/>
  <c r="AB29" i="19" s="1"/>
  <c r="M11" i="21"/>
  <c r="AB30" i="19" s="1"/>
  <c r="P11" i="21"/>
  <c r="R11" i="21"/>
  <c r="T11" i="21"/>
  <c r="BA11" i="21" s="1"/>
  <c r="Y11" i="21"/>
  <c r="Z11" i="21"/>
  <c r="AA11" i="21"/>
  <c r="AB11" i="21"/>
  <c r="AD11" i="21"/>
  <c r="AE11" i="21"/>
  <c r="AG11" i="21"/>
  <c r="BG11" i="21" s="1"/>
  <c r="AH11" i="21"/>
  <c r="BH11" i="21" s="1"/>
  <c r="AJ11" i="21"/>
  <c r="AK11" i="21"/>
  <c r="AL11" i="21"/>
  <c r="AN11" i="21"/>
  <c r="AP11" i="21"/>
  <c r="AQ11" i="21"/>
  <c r="AR11" i="21"/>
  <c r="AS11" i="21"/>
  <c r="AW11" i="21"/>
  <c r="AZ11" i="21"/>
  <c r="BB11" i="21"/>
  <c r="BC11" i="21"/>
  <c r="BD11" i="21"/>
  <c r="BE11" i="21"/>
  <c r="BI11" i="21"/>
  <c r="I12" i="21"/>
  <c r="J12" i="21" s="1"/>
  <c r="K12" i="21"/>
  <c r="AC28" i="19" s="1"/>
  <c r="L12" i="21"/>
  <c r="AC29" i="19" s="1"/>
  <c r="M12" i="21"/>
  <c r="AC30" i="19" s="1"/>
  <c r="P12" i="21"/>
  <c r="R12" i="21"/>
  <c r="T12" i="21"/>
  <c r="BA12" i="21" s="1"/>
  <c r="Y12" i="21"/>
  <c r="Z12" i="21"/>
  <c r="AA12" i="21"/>
  <c r="AB12" i="21"/>
  <c r="AD12" i="21"/>
  <c r="AE12" i="21"/>
  <c r="AG12" i="21"/>
  <c r="BG12" i="21" s="1"/>
  <c r="AH12" i="21"/>
  <c r="BH12" i="21" s="1"/>
  <c r="AJ12" i="21"/>
  <c r="AK12" i="21"/>
  <c r="AL12" i="21"/>
  <c r="AN12" i="21"/>
  <c r="AP12" i="21"/>
  <c r="AQ12" i="21"/>
  <c r="AR12" i="21"/>
  <c r="AS12" i="21"/>
  <c r="AW12" i="21"/>
  <c r="AZ12" i="21"/>
  <c r="BB12" i="21"/>
  <c r="BC12" i="21"/>
  <c r="BD12" i="21"/>
  <c r="BE12" i="21"/>
  <c r="BI12" i="21"/>
  <c r="K10" i="21"/>
  <c r="BJ10" i="21" s="1"/>
  <c r="AB31" i="19"/>
  <c r="AB33" i="19"/>
  <c r="AB34" i="19"/>
  <c r="AC33" i="19"/>
  <c r="AC34" i="19"/>
  <c r="B104" i="20"/>
  <c r="C104" i="20"/>
  <c r="D104" i="20"/>
  <c r="E104" i="20"/>
  <c r="F104" i="20"/>
  <c r="G104" i="20"/>
  <c r="H104" i="20"/>
  <c r="B105" i="20"/>
  <c r="C105" i="20"/>
  <c r="D105" i="20"/>
  <c r="E105" i="20"/>
  <c r="F105" i="20"/>
  <c r="G105" i="20"/>
  <c r="H105" i="20"/>
  <c r="B102" i="20"/>
  <c r="C102" i="20"/>
  <c r="D102" i="20"/>
  <c r="E102" i="20"/>
  <c r="F102" i="20"/>
  <c r="G102" i="20"/>
  <c r="H102" i="20"/>
  <c r="D103" i="20"/>
  <c r="B103" i="20"/>
  <c r="H103" i="20"/>
  <c r="G103" i="20"/>
  <c r="F103" i="20"/>
  <c r="E103" i="20"/>
  <c r="C103" i="20"/>
  <c r="AB23" i="19"/>
  <c r="AC23" i="19"/>
  <c r="AB24" i="19"/>
  <c r="AC24" i="19"/>
  <c r="AB25" i="19"/>
  <c r="AC25" i="19"/>
  <c r="AB26" i="19"/>
  <c r="AC26" i="19"/>
  <c r="AB27" i="19"/>
  <c r="AC27" i="19"/>
  <c r="AB32" i="19"/>
  <c r="AC32" i="19"/>
  <c r="AB36" i="19"/>
  <c r="AB38" i="19"/>
  <c r="AB40" i="19"/>
  <c r="AC40" i="19"/>
  <c r="AB41" i="19"/>
  <c r="AC41" i="19"/>
  <c r="AB42" i="19"/>
  <c r="AC42" i="19"/>
  <c r="O31" i="24"/>
  <c r="P31" i="24"/>
  <c r="O32" i="24"/>
  <c r="P32" i="24"/>
  <c r="O33" i="24"/>
  <c r="P33" i="24"/>
  <c r="N32" i="24"/>
  <c r="N33" i="24"/>
  <c r="N29" i="24"/>
  <c r="O29" i="24"/>
  <c r="P29" i="24"/>
  <c r="N30" i="24"/>
  <c r="O30" i="24"/>
  <c r="P30" i="24"/>
  <c r="O28" i="24"/>
  <c r="P28" i="24"/>
  <c r="N31" i="24"/>
  <c r="N28" i="24"/>
  <c r="N26" i="24"/>
  <c r="O26" i="24"/>
  <c r="P26" i="24"/>
  <c r="N27" i="24"/>
  <c r="O27" i="24"/>
  <c r="P27" i="24"/>
  <c r="O25" i="24"/>
  <c r="P25" i="24"/>
  <c r="N25" i="24"/>
  <c r="N23" i="24"/>
  <c r="O23" i="24"/>
  <c r="P23" i="24"/>
  <c r="N24" i="24"/>
  <c r="O24" i="24"/>
  <c r="P24" i="24"/>
  <c r="O22" i="24"/>
  <c r="P22" i="24"/>
  <c r="N22" i="24"/>
  <c r="E11" i="24"/>
  <c r="F11" i="24"/>
  <c r="G11" i="24"/>
  <c r="H11" i="24"/>
  <c r="I11" i="24"/>
  <c r="J11" i="24"/>
  <c r="K11" i="24"/>
  <c r="L11" i="24"/>
  <c r="M11" i="24"/>
  <c r="D11" i="24"/>
  <c r="D23" i="24"/>
  <c r="E23" i="24"/>
  <c r="F23" i="24"/>
  <c r="G23" i="24"/>
  <c r="H23" i="24"/>
  <c r="I23" i="24"/>
  <c r="J23" i="24"/>
  <c r="K23" i="24"/>
  <c r="L23" i="24"/>
  <c r="M23" i="24"/>
  <c r="D24" i="24"/>
  <c r="E24" i="24"/>
  <c r="F24" i="24"/>
  <c r="G24" i="24"/>
  <c r="H24" i="24"/>
  <c r="I24" i="24"/>
  <c r="J24" i="24"/>
  <c r="K24" i="24"/>
  <c r="L24" i="24"/>
  <c r="M24" i="24"/>
  <c r="M22" i="24"/>
  <c r="L22" i="24"/>
  <c r="K22" i="24"/>
  <c r="J22" i="24"/>
  <c r="I22" i="24"/>
  <c r="H22" i="24"/>
  <c r="G22" i="24"/>
  <c r="F22" i="24"/>
  <c r="E22" i="24"/>
  <c r="D22" i="24"/>
  <c r="M10" i="24"/>
  <c r="L10" i="24"/>
  <c r="K10" i="24"/>
  <c r="J10" i="24"/>
  <c r="I10" i="24"/>
  <c r="H10" i="24"/>
  <c r="G10" i="24"/>
  <c r="F10" i="24"/>
  <c r="E10" i="24"/>
  <c r="D10" i="24"/>
  <c r="D15" i="24"/>
  <c r="D19" i="24" s="1"/>
  <c r="E15" i="24"/>
  <c r="E19" i="24" s="1"/>
  <c r="F15" i="24"/>
  <c r="F19" i="24" s="1"/>
  <c r="G15" i="24"/>
  <c r="G19" i="24" s="1"/>
  <c r="H15" i="24"/>
  <c r="I15" i="24"/>
  <c r="I20" i="24" s="1"/>
  <c r="J15" i="24"/>
  <c r="J19" i="24" s="1"/>
  <c r="K15" i="24"/>
  <c r="K19" i="24" s="1"/>
  <c r="L15" i="24"/>
  <c r="M15" i="24"/>
  <c r="M19" i="24" s="1"/>
  <c r="H19" i="24"/>
  <c r="L19" i="24"/>
  <c r="D20" i="24"/>
  <c r="H20" i="24"/>
  <c r="L20" i="24"/>
  <c r="D21" i="24"/>
  <c r="G21" i="24"/>
  <c r="H21" i="24"/>
  <c r="I21" i="24"/>
  <c r="K21" i="24"/>
  <c r="L21" i="24"/>
  <c r="K25" i="23"/>
  <c r="L23" i="23"/>
  <c r="J23" i="23"/>
  <c r="K23" i="23"/>
  <c r="BI10" i="21"/>
  <c r="BI9" i="21"/>
  <c r="BE10" i="21"/>
  <c r="BD10" i="21"/>
  <c r="BC10" i="21"/>
  <c r="BE9" i="21"/>
  <c r="BD9" i="21"/>
  <c r="BC9" i="21"/>
  <c r="BB10" i="21"/>
  <c r="BB9" i="21"/>
  <c r="AZ10" i="21"/>
  <c r="AZ9" i="21"/>
  <c r="J12" i="23"/>
  <c r="L24" i="23" s="1"/>
  <c r="G12" i="23"/>
  <c r="K24" i="23" s="1"/>
  <c r="K12" i="23"/>
  <c r="L25" i="23" s="1"/>
  <c r="I12" i="23"/>
  <c r="H12" i="23"/>
  <c r="F12" i="23"/>
  <c r="E12" i="23"/>
  <c r="J24" i="23" s="1"/>
  <c r="J25" i="23" s="1"/>
  <c r="D12" i="23"/>
  <c r="C12" i="23"/>
  <c r="I24" i="23" s="1"/>
  <c r="B12" i="23"/>
  <c r="I23" i="23" s="1"/>
  <c r="D4" i="20" l="1"/>
  <c r="D6" i="20"/>
  <c r="D8" i="20"/>
  <c r="D5" i="20"/>
  <c r="D9" i="20"/>
  <c r="D109" i="20"/>
  <c r="BK11" i="21"/>
  <c r="BJ11" i="21"/>
  <c r="BK12" i="21"/>
  <c r="BJ12" i="21"/>
  <c r="AF12" i="21"/>
  <c r="AU12" i="21"/>
  <c r="AF11" i="21"/>
  <c r="AC11" i="21"/>
  <c r="AC12" i="21"/>
  <c r="BF11" i="21"/>
  <c r="BF12" i="21"/>
  <c r="AT12" i="21"/>
  <c r="AU11" i="21"/>
  <c r="AT11" i="21"/>
  <c r="AC38" i="19"/>
  <c r="AC39" i="19"/>
  <c r="AC35" i="19"/>
  <c r="AC31" i="19"/>
  <c r="AC37" i="19"/>
  <c r="AB39" i="19"/>
  <c r="AC36" i="19"/>
  <c r="AB35" i="19"/>
  <c r="AB37" i="19"/>
  <c r="M21" i="24"/>
  <c r="M20" i="24"/>
  <c r="E20" i="24"/>
  <c r="I19" i="24"/>
  <c r="O19" i="24" s="1"/>
  <c r="E21" i="24"/>
  <c r="P21" i="24"/>
  <c r="F20" i="24"/>
  <c r="J21" i="24"/>
  <c r="F21" i="24"/>
  <c r="N21" i="24"/>
  <c r="N19" i="24"/>
  <c r="O21" i="24"/>
  <c r="J20" i="24"/>
  <c r="K20" i="24"/>
  <c r="G20" i="24"/>
  <c r="P19" i="24"/>
  <c r="B29" i="23"/>
  <c r="B30" i="23"/>
  <c r="B31" i="23"/>
  <c r="C30" i="23"/>
  <c r="I25" i="23"/>
  <c r="C29" i="23"/>
  <c r="C31" i="23"/>
  <c r="G11" i="22"/>
  <c r="H11" i="22"/>
  <c r="I11" i="22"/>
  <c r="J11" i="22"/>
  <c r="K11" i="22"/>
  <c r="F11" i="22"/>
  <c r="D11" i="22"/>
  <c r="E11" i="22"/>
  <c r="C11" i="22"/>
  <c r="B11" i="22"/>
  <c r="L9" i="21"/>
  <c r="M9" i="21"/>
  <c r="BK9" i="21" s="1"/>
  <c r="L10" i="21"/>
  <c r="M10" i="21"/>
  <c r="BK10" i="21" s="1"/>
  <c r="K9" i="21"/>
  <c r="BJ9" i="21" s="1"/>
  <c r="AW10" i="21"/>
  <c r="AS10" i="21"/>
  <c r="AR10" i="21"/>
  <c r="AQ10" i="21"/>
  <c r="AP10" i="21"/>
  <c r="AN10" i="21"/>
  <c r="AL10" i="21"/>
  <c r="AK10" i="21"/>
  <c r="AJ10" i="21"/>
  <c r="AH10" i="21"/>
  <c r="BH10" i="21" s="1"/>
  <c r="AG10" i="21"/>
  <c r="BG10" i="21" s="1"/>
  <c r="AE10" i="21"/>
  <c r="AD10" i="21"/>
  <c r="AB10" i="21"/>
  <c r="AA10" i="21"/>
  <c r="Z10" i="21"/>
  <c r="Y10" i="21"/>
  <c r="T10" i="21"/>
  <c r="BA10" i="21" s="1"/>
  <c r="R10" i="21"/>
  <c r="P10" i="21"/>
  <c r="AW9" i="21"/>
  <c r="AS9" i="21"/>
  <c r="AR9" i="21"/>
  <c r="AQ9" i="21"/>
  <c r="AP9" i="21"/>
  <c r="AN9" i="21"/>
  <c r="AL9" i="21"/>
  <c r="AK9" i="21"/>
  <c r="AJ9" i="21"/>
  <c r="AH9" i="21"/>
  <c r="BH9" i="21" s="1"/>
  <c r="AG9" i="21"/>
  <c r="BG9" i="21" s="1"/>
  <c r="AE9" i="21"/>
  <c r="AD9" i="21"/>
  <c r="AB9" i="21"/>
  <c r="AA9" i="21"/>
  <c r="Z9" i="21"/>
  <c r="Y9" i="21"/>
  <c r="T9" i="21"/>
  <c r="BA9" i="21" s="1"/>
  <c r="R9" i="21"/>
  <c r="P9" i="21"/>
  <c r="AA23" i="19"/>
  <c r="AA24" i="19"/>
  <c r="AA25" i="19"/>
  <c r="AA26" i="19"/>
  <c r="AA27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D174" i="19" s="1"/>
  <c r="Z24" i="19"/>
  <c r="D4" i="19" s="1"/>
  <c r="Z25" i="19"/>
  <c r="D5" i="19" s="1"/>
  <c r="Z26" i="19"/>
  <c r="D6" i="19" s="1"/>
  <c r="Z27" i="19"/>
  <c r="D7" i="19" s="1"/>
  <c r="Z31" i="19"/>
  <c r="Z32" i="19"/>
  <c r="D17" i="19" s="1"/>
  <c r="Z33" i="19"/>
  <c r="D25" i="19" s="1"/>
  <c r="Z34" i="19"/>
  <c r="D27" i="19" s="1"/>
  <c r="Z35" i="19"/>
  <c r="Z36" i="19"/>
  <c r="Z37" i="19"/>
  <c r="Z38" i="19"/>
  <c r="Z39" i="19"/>
  <c r="Z40" i="19"/>
  <c r="D149" i="19" s="1"/>
  <c r="Z41" i="19"/>
  <c r="D139" i="19" s="1"/>
  <c r="Z23" i="19"/>
  <c r="D3" i="19" s="1"/>
  <c r="L181" i="19" l="1"/>
  <c r="N182" i="19" s="1"/>
  <c r="D181" i="19"/>
  <c r="F182" i="19" s="1"/>
  <c r="D34" i="19"/>
  <c r="D137" i="19" s="1"/>
  <c r="D32" i="19"/>
  <c r="D15" i="19"/>
  <c r="I152" i="19"/>
  <c r="L165" i="19"/>
  <c r="L180" i="19" s="1"/>
  <c r="D43" i="19"/>
  <c r="D33" i="19"/>
  <c r="L137" i="19" s="1"/>
  <c r="P156" i="19" s="1"/>
  <c r="L153" i="19" s="1"/>
  <c r="D31" i="19"/>
  <c r="N20" i="24"/>
  <c r="O20" i="24"/>
  <c r="P20" i="24"/>
  <c r="D29" i="23"/>
  <c r="D30" i="23"/>
  <c r="D31" i="23"/>
  <c r="BF10" i="21"/>
  <c r="BF9" i="21"/>
  <c r="D133" i="19"/>
  <c r="AT9" i="21"/>
  <c r="AU10" i="21"/>
  <c r="AT10" i="21"/>
  <c r="AF10" i="21"/>
  <c r="AC10" i="21"/>
  <c r="AU9" i="21"/>
  <c r="Z42" i="19"/>
  <c r="AF9" i="21"/>
  <c r="AC9" i="21"/>
  <c r="L133" i="19" l="1"/>
  <c r="D42" i="19"/>
  <c r="L134" i="19" s="1"/>
  <c r="D99" i="19"/>
  <c r="D41" i="19"/>
  <c r="N94" i="19" s="1"/>
  <c r="AA30" i="19"/>
  <c r="Z30" i="19"/>
  <c r="Z29" i="19"/>
  <c r="AA28" i="19"/>
  <c r="Z28" i="19"/>
  <c r="AA29" i="19"/>
  <c r="I10" i="21"/>
  <c r="J10" i="21" s="1"/>
  <c r="I9" i="21"/>
  <c r="J9" i="21" s="1"/>
  <c r="D12" i="20"/>
  <c r="B84" i="20"/>
  <c r="G58" i="20"/>
  <c r="E58" i="20" s="1"/>
  <c r="N53" i="20"/>
  <c r="E52" i="20"/>
  <c r="E39" i="20"/>
  <c r="D39" i="20"/>
  <c r="L77" i="20"/>
  <c r="P55" i="20"/>
  <c r="N18" i="20"/>
  <c r="N48" i="20"/>
  <c r="G150" i="19"/>
  <c r="D132" i="19"/>
  <c r="D123" i="19"/>
  <c r="D115" i="19"/>
  <c r="AB141" i="19"/>
  <c r="AB139" i="19"/>
  <c r="D100" i="19"/>
  <c r="X93" i="19"/>
  <c r="Y96" i="19" s="1"/>
  <c r="AC96" i="19" s="1"/>
  <c r="S92" i="19"/>
  <c r="S91" i="19"/>
  <c r="S90" i="19"/>
  <c r="S89" i="19"/>
  <c r="S87" i="19"/>
  <c r="D86" i="19"/>
  <c r="S85" i="19"/>
  <c r="S84" i="19"/>
  <c r="D55" i="19"/>
  <c r="D46" i="19"/>
  <c r="D45" i="19"/>
  <c r="D166" i="19" s="1"/>
  <c r="K28" i="19"/>
  <c r="K26" i="19"/>
  <c r="K25" i="19"/>
  <c r="K24" i="19"/>
  <c r="K23" i="19"/>
  <c r="K22" i="19"/>
  <c r="Q20" i="19"/>
  <c r="Q19" i="19"/>
  <c r="K19" i="19"/>
  <c r="Q18" i="19"/>
  <c r="Q17" i="19"/>
  <c r="Q16" i="19"/>
  <c r="K16" i="19"/>
  <c r="Q15" i="19"/>
  <c r="K15" i="19"/>
  <c r="O8" i="19"/>
  <c r="F11" i="18"/>
  <c r="F8" i="18"/>
  <c r="F9" i="18"/>
  <c r="F10" i="18"/>
  <c r="F7" i="18"/>
  <c r="F5" i="18"/>
  <c r="F4" i="18"/>
  <c r="F3" i="18"/>
  <c r="D165" i="19" l="1"/>
  <c r="D180" i="19"/>
  <c r="N95" i="19"/>
  <c r="D159" i="19"/>
  <c r="L159" i="19"/>
  <c r="L166" i="19"/>
  <c r="D134" i="19"/>
  <c r="I155" i="19"/>
  <c r="L132" i="19"/>
  <c r="Q155" i="19" s="1"/>
  <c r="L150" i="19" s="1"/>
  <c r="L151" i="19" s="1"/>
  <c r="D143" i="19"/>
  <c r="L143" i="19"/>
  <c r="L136" i="19"/>
  <c r="H157" i="19"/>
  <c r="D153" i="19" s="1"/>
  <c r="F25" i="19"/>
  <c r="L138" i="19"/>
  <c r="D102" i="19"/>
  <c r="D104" i="19"/>
  <c r="F41" i="19"/>
  <c r="D18" i="19"/>
  <c r="K62" i="19"/>
  <c r="K61" i="19"/>
  <c r="K60" i="19"/>
  <c r="N16" i="20"/>
  <c r="N17" i="20" s="1"/>
  <c r="N19" i="20" s="1"/>
  <c r="R23" i="20"/>
  <c r="D20" i="19"/>
  <c r="K18" i="19" s="1"/>
  <c r="F33" i="19"/>
  <c r="D19" i="19"/>
  <c r="D85" i="19" s="1"/>
  <c r="D80" i="19" s="1"/>
  <c r="K17" i="19"/>
  <c r="D16" i="19"/>
  <c r="I31" i="19" s="1"/>
  <c r="D22" i="19"/>
  <c r="D21" i="19" s="1"/>
  <c r="F34" i="19"/>
  <c r="D122" i="19"/>
  <c r="O19" i="19"/>
  <c r="D11" i="20"/>
  <c r="B87" i="20" s="1"/>
  <c r="F5" i="20"/>
  <c r="B83" i="20"/>
  <c r="B82" i="20"/>
  <c r="B96" i="20" s="1"/>
  <c r="L76" i="20"/>
  <c r="L87" i="20" s="1"/>
  <c r="F6" i="20"/>
  <c r="N11" i="20"/>
  <c r="N25" i="20" s="1"/>
  <c r="B85" i="20"/>
  <c r="D53" i="20"/>
  <c r="D58" i="20"/>
  <c r="D14" i="20"/>
  <c r="D109" i="19"/>
  <c r="D160" i="19"/>
  <c r="AB146" i="19"/>
  <c r="AC146" i="19"/>
  <c r="D136" i="19"/>
  <c r="AO5" i="9"/>
  <c r="AO4" i="9"/>
  <c r="W6" i="17"/>
  <c r="V6" i="17"/>
  <c r="AE6" i="17"/>
  <c r="AD6" i="17"/>
  <c r="AC6" i="17"/>
  <c r="AB6" i="17"/>
  <c r="AA6" i="17"/>
  <c r="Z6" i="17"/>
  <c r="Y6" i="17"/>
  <c r="X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A6" i="17"/>
  <c r="BB42" i="9"/>
  <c r="W11" i="17" s="1"/>
  <c r="BB43" i="9"/>
  <c r="W12" i="17" s="1"/>
  <c r="BA43" i="9"/>
  <c r="V12" i="17" s="1"/>
  <c r="AZ43" i="9"/>
  <c r="AY43" i="9"/>
  <c r="AH12" i="17" s="1"/>
  <c r="AX43" i="9"/>
  <c r="AE12" i="17" s="1"/>
  <c r="AW43" i="9"/>
  <c r="AD12" i="17" s="1"/>
  <c r="AV43" i="9"/>
  <c r="AC12" i="17" s="1"/>
  <c r="AU43" i="9"/>
  <c r="AB12" i="17" s="1"/>
  <c r="AT43" i="9"/>
  <c r="AS43" i="9"/>
  <c r="Z12" i="17" s="1"/>
  <c r="AL12" i="17" s="1"/>
  <c r="AR43" i="9"/>
  <c r="AQ43" i="9"/>
  <c r="AP43" i="9"/>
  <c r="AO43" i="9"/>
  <c r="AN43" i="9"/>
  <c r="AM43" i="9"/>
  <c r="S12" i="17" s="1"/>
  <c r="AK12" i="17" s="1"/>
  <c r="AL43" i="9"/>
  <c r="AK43" i="9"/>
  <c r="AJ43" i="9"/>
  <c r="AI43" i="9"/>
  <c r="O12" i="17" s="1"/>
  <c r="AH43" i="9"/>
  <c r="N12" i="17" s="1"/>
  <c r="AG43" i="9"/>
  <c r="AF43" i="9"/>
  <c r="AE43" i="9"/>
  <c r="AD43" i="9"/>
  <c r="AC43" i="9"/>
  <c r="H12" i="17" s="1"/>
  <c r="AB43" i="9"/>
  <c r="G12" i="17" s="1"/>
  <c r="AA43" i="9"/>
  <c r="I12" i="17" s="1"/>
  <c r="Z43" i="9"/>
  <c r="Y43" i="9"/>
  <c r="X43" i="9"/>
  <c r="BA42" i="9"/>
  <c r="V11" i="17" s="1"/>
  <c r="AZ42" i="9"/>
  <c r="AY42" i="9"/>
  <c r="AH11" i="17" s="1"/>
  <c r="AX42" i="9"/>
  <c r="AE11" i="17" s="1"/>
  <c r="AW42" i="9"/>
  <c r="AD11" i="17" s="1"/>
  <c r="AV42" i="9"/>
  <c r="AC11" i="17" s="1"/>
  <c r="AU42" i="9"/>
  <c r="AB11" i="17" s="1"/>
  <c r="AT42" i="9"/>
  <c r="AS42" i="9"/>
  <c r="Z11" i="17" s="1"/>
  <c r="AL11" i="17" s="1"/>
  <c r="AR42" i="9"/>
  <c r="AQ42" i="9"/>
  <c r="AP42" i="9"/>
  <c r="AO42" i="9"/>
  <c r="AN42" i="9"/>
  <c r="AM42" i="9"/>
  <c r="S11" i="17" s="1"/>
  <c r="AK11" i="17" s="1"/>
  <c r="AL42" i="9"/>
  <c r="AK42" i="9"/>
  <c r="AJ42" i="9"/>
  <c r="AI42" i="9"/>
  <c r="O11" i="17" s="1"/>
  <c r="AH42" i="9"/>
  <c r="N11" i="17" s="1"/>
  <c r="AG42" i="9"/>
  <c r="AF42" i="9"/>
  <c r="AE42" i="9"/>
  <c r="AD42" i="9"/>
  <c r="AC42" i="9"/>
  <c r="H11" i="17" s="1"/>
  <c r="AB42" i="9"/>
  <c r="G11" i="17" s="1"/>
  <c r="AA42" i="9"/>
  <c r="I11" i="17" s="1"/>
  <c r="Z42" i="9"/>
  <c r="Y42" i="9"/>
  <c r="X42" i="9"/>
  <c r="O78" i="9"/>
  <c r="R75" i="9"/>
  <c r="O75" i="9"/>
  <c r="S73" i="9"/>
  <c r="S72" i="9"/>
  <c r="O74" i="9" s="1"/>
  <c r="L164" i="19" l="1"/>
  <c r="L179" i="19" s="1"/>
  <c r="L184" i="19" s="1"/>
  <c r="L185" i="19"/>
  <c r="K58" i="19"/>
  <c r="K57" i="19"/>
  <c r="D150" i="19"/>
  <c r="L141" i="19"/>
  <c r="L155" i="19"/>
  <c r="L169" i="19" s="1"/>
  <c r="O154" i="19"/>
  <c r="L152" i="19" s="1"/>
  <c r="D51" i="19"/>
  <c r="Q11" i="17"/>
  <c r="R12" i="17"/>
  <c r="R11" i="17"/>
  <c r="Q12" i="17"/>
  <c r="P12" i="17"/>
  <c r="P11" i="17"/>
  <c r="D61" i="19"/>
  <c r="D54" i="19"/>
  <c r="D56" i="19" s="1"/>
  <c r="D63" i="19"/>
  <c r="O17" i="19"/>
  <c r="D116" i="19"/>
  <c r="D114" i="19"/>
  <c r="O23" i="19"/>
  <c r="O18" i="19"/>
  <c r="O25" i="19"/>
  <c r="O16" i="19"/>
  <c r="F3" i="19"/>
  <c r="P10" i="19" s="1"/>
  <c r="O24" i="19"/>
  <c r="O26" i="19"/>
  <c r="K47" i="19"/>
  <c r="F27" i="19"/>
  <c r="K41" i="19" s="1"/>
  <c r="O28" i="19"/>
  <c r="O15" i="19"/>
  <c r="O22" i="19"/>
  <c r="P9" i="19"/>
  <c r="D124" i="19"/>
  <c r="D126" i="19" s="1"/>
  <c r="K39" i="19"/>
  <c r="F107" i="19"/>
  <c r="E19" i="20"/>
  <c r="E20" i="20" s="1"/>
  <c r="E47" i="20" s="1"/>
  <c r="E21" i="20"/>
  <c r="E24" i="20" s="1"/>
  <c r="B97" i="20"/>
  <c r="D19" i="20"/>
  <c r="D20" i="20" s="1"/>
  <c r="D47" i="20" s="1"/>
  <c r="G60" i="20"/>
  <c r="L80" i="20"/>
  <c r="D93" i="20"/>
  <c r="C91" i="20"/>
  <c r="C93" i="20"/>
  <c r="B91" i="20"/>
  <c r="B93" i="20"/>
  <c r="D91" i="20"/>
  <c r="E53" i="20"/>
  <c r="D21" i="20"/>
  <c r="N42" i="20"/>
  <c r="N21" i="20"/>
  <c r="E29" i="20"/>
  <c r="E30" i="20" s="1"/>
  <c r="D29" i="20"/>
  <c r="D30" i="20" s="1"/>
  <c r="N26" i="20"/>
  <c r="N27" i="20" s="1"/>
  <c r="R4" i="20" s="1"/>
  <c r="N20" i="20"/>
  <c r="D121" i="19"/>
  <c r="D113" i="19"/>
  <c r="AM11" i="17"/>
  <c r="AM12" i="17"/>
  <c r="Y77" i="9"/>
  <c r="V77" i="9"/>
  <c r="O76" i="9"/>
  <c r="D151" i="19" l="1"/>
  <c r="K40" i="19"/>
  <c r="D57" i="19"/>
  <c r="D93" i="19" s="1"/>
  <c r="F31" i="19"/>
  <c r="F32" i="19"/>
  <c r="E23" i="20"/>
  <c r="E36" i="20" s="1"/>
  <c r="E38" i="20" s="1"/>
  <c r="E40" i="20" s="1"/>
  <c r="E41" i="20" s="1"/>
  <c r="E42" i="20" s="1"/>
  <c r="E43" i="20" s="1"/>
  <c r="D64" i="19"/>
  <c r="D118" i="19"/>
  <c r="F118" i="19" s="1"/>
  <c r="K13" i="19"/>
  <c r="H34" i="19"/>
  <c r="K44" i="19" s="1"/>
  <c r="D131" i="19"/>
  <c r="D140" i="19" s="1"/>
  <c r="D83" i="19"/>
  <c r="AB138" i="19"/>
  <c r="AB142" i="19" s="1"/>
  <c r="V89" i="19"/>
  <c r="H33" i="19"/>
  <c r="K43" i="19" s="1"/>
  <c r="X94" i="19"/>
  <c r="X95" i="19" s="1"/>
  <c r="D138" i="19"/>
  <c r="D179" i="19" s="1"/>
  <c r="D78" i="19"/>
  <c r="O10" i="19"/>
  <c r="Q10" i="19" s="1"/>
  <c r="R10" i="19" s="1"/>
  <c r="K14" i="19"/>
  <c r="K50" i="19" s="1"/>
  <c r="D73" i="19"/>
  <c r="O9" i="19"/>
  <c r="S9" i="19" s="1"/>
  <c r="V88" i="19"/>
  <c r="F126" i="19"/>
  <c r="D23" i="20"/>
  <c r="D54" i="20" s="1"/>
  <c r="D55" i="20" s="1"/>
  <c r="D56" i="20" s="1"/>
  <c r="D57" i="20" s="1"/>
  <c r="D59" i="20" s="1"/>
  <c r="D60" i="20" s="1"/>
  <c r="D61" i="20" s="1"/>
  <c r="D62" i="20" s="1"/>
  <c r="C97" i="20"/>
  <c r="D97" i="20"/>
  <c r="D24" i="20"/>
  <c r="D22" i="20"/>
  <c r="N31" i="20"/>
  <c r="N33" i="20" s="1"/>
  <c r="N35" i="20" s="1"/>
  <c r="N36" i="20" s="1"/>
  <c r="N37" i="20" s="1"/>
  <c r="N38" i="20" s="1"/>
  <c r="N49" i="20"/>
  <c r="N50" i="20" s="1"/>
  <c r="N51" i="20" s="1"/>
  <c r="N52" i="20" s="1"/>
  <c r="N54" i="20" s="1"/>
  <c r="N55" i="20" s="1"/>
  <c r="N56" i="20" s="1"/>
  <c r="N57" i="20" s="1"/>
  <c r="N58" i="20" s="1"/>
  <c r="R5" i="20" s="1"/>
  <c r="M84" i="20"/>
  <c r="L84" i="20"/>
  <c r="N84" i="20"/>
  <c r="E22" i="20"/>
  <c r="D31" i="20"/>
  <c r="H4" i="20" s="1"/>
  <c r="D111" i="20" s="1"/>
  <c r="D96" i="20"/>
  <c r="C96" i="20"/>
  <c r="I34" i="11"/>
  <c r="I37" i="11"/>
  <c r="I35" i="11"/>
  <c r="I25" i="11"/>
  <c r="N4" i="11"/>
  <c r="N5" i="11"/>
  <c r="N2" i="11"/>
  <c r="D3" i="11"/>
  <c r="D5" i="11"/>
  <c r="D6" i="11" s="1"/>
  <c r="D7" i="11"/>
  <c r="D8" i="11"/>
  <c r="D155" i="19" l="1"/>
  <c r="D169" i="19" s="1"/>
  <c r="D164" i="19"/>
  <c r="D154" i="19"/>
  <c r="D185" i="19"/>
  <c r="G154" i="19"/>
  <c r="D152" i="19" s="1"/>
  <c r="L131" i="19"/>
  <c r="K53" i="19"/>
  <c r="E54" i="20"/>
  <c r="E55" i="20" s="1"/>
  <c r="E56" i="20" s="1"/>
  <c r="E57" i="20" s="1"/>
  <c r="E59" i="20" s="1"/>
  <c r="E60" i="20" s="1"/>
  <c r="E61" i="20" s="1"/>
  <c r="E62" i="20" s="1"/>
  <c r="D63" i="20" s="1"/>
  <c r="H5" i="20" s="1"/>
  <c r="P4" i="19"/>
  <c r="K46" i="19"/>
  <c r="O13" i="19"/>
  <c r="AB137" i="19"/>
  <c r="AC142" i="19" s="1"/>
  <c r="AC94" i="19"/>
  <c r="D95" i="19"/>
  <c r="P5" i="19"/>
  <c r="W138" i="19"/>
  <c r="F29" i="19"/>
  <c r="F42" i="19"/>
  <c r="N93" i="19"/>
  <c r="S86" i="19"/>
  <c r="K27" i="19"/>
  <c r="O27" i="19" s="1"/>
  <c r="D29" i="19"/>
  <c r="AC141" i="19"/>
  <c r="F130" i="19" s="1"/>
  <c r="L130" i="19" s="1"/>
  <c r="K49" i="19"/>
  <c r="K21" i="19"/>
  <c r="O21" i="19" s="1"/>
  <c r="D87" i="19"/>
  <c r="D89" i="19" s="1"/>
  <c r="Q9" i="19"/>
  <c r="R9" i="19" s="1"/>
  <c r="D141" i="19"/>
  <c r="O14" i="19"/>
  <c r="D36" i="20"/>
  <c r="D38" i="20" s="1"/>
  <c r="D40" i="20" s="1"/>
  <c r="D41" i="20" s="1"/>
  <c r="D42" i="20" s="1"/>
  <c r="D43" i="20" s="1"/>
  <c r="D98" i="20"/>
  <c r="E35" i="20" s="1"/>
  <c r="N87" i="20"/>
  <c r="N30" i="20" s="1"/>
  <c r="M87" i="20"/>
  <c r="U9" i="19"/>
  <c r="U10" i="19"/>
  <c r="D9" i="11"/>
  <c r="D10" i="11"/>
  <c r="N3" i="11"/>
  <c r="I14" i="11"/>
  <c r="D178" i="19" l="1"/>
  <c r="D190" i="19"/>
  <c r="D191" i="19" s="1"/>
  <c r="D163" i="19"/>
  <c r="D184" i="19"/>
  <c r="D112" i="20"/>
  <c r="J7" i="20"/>
  <c r="O94" i="19"/>
  <c r="S94" i="19" s="1"/>
  <c r="N96" i="19"/>
  <c r="U169" i="19"/>
  <c r="V169" i="19" s="1"/>
  <c r="V170" i="19" s="1"/>
  <c r="K54" i="19"/>
  <c r="D135" i="19"/>
  <c r="L140" i="19"/>
  <c r="L190" i="19" s="1"/>
  <c r="L191" i="19" s="1"/>
  <c r="F101" i="19"/>
  <c r="D101" i="19" s="1"/>
  <c r="K42" i="19"/>
  <c r="D35" i="20"/>
  <c r="D44" i="20" s="1"/>
  <c r="D38" i="19"/>
  <c r="D92" i="19" s="1"/>
  <c r="O96" i="19"/>
  <c r="O95" i="19"/>
  <c r="S95" i="19" s="1"/>
  <c r="K20" i="19"/>
  <c r="O20" i="19" s="1"/>
  <c r="AC95" i="19"/>
  <c r="AA94" i="19"/>
  <c r="S88" i="19"/>
  <c r="K29" i="19"/>
  <c r="O29" i="19" s="1"/>
  <c r="D37" i="19"/>
  <c r="K45" i="19" s="1"/>
  <c r="AC143" i="19"/>
  <c r="AC144" i="19" s="1"/>
  <c r="AC145" i="19" s="1"/>
  <c r="C98" i="20"/>
  <c r="E44" i="20"/>
  <c r="E37" i="20"/>
  <c r="E46" i="20"/>
  <c r="N41" i="20"/>
  <c r="N39" i="20"/>
  <c r="N32" i="20"/>
  <c r="F158" i="9"/>
  <c r="D189" i="19" l="1"/>
  <c r="D194" i="19" s="1"/>
  <c r="Q94" i="19"/>
  <c r="W140" i="19" s="1"/>
  <c r="D158" i="19"/>
  <c r="W169" i="19"/>
  <c r="W170" i="19" s="1"/>
  <c r="X169" i="19"/>
  <c r="X170" i="19" s="1"/>
  <c r="F136" i="19"/>
  <c r="D156" i="19"/>
  <c r="L135" i="19"/>
  <c r="N136" i="19" s="1"/>
  <c r="L154" i="19"/>
  <c r="D46" i="20"/>
  <c r="D48" i="20" s="1"/>
  <c r="H3" i="20" s="1"/>
  <c r="D110" i="20" s="1"/>
  <c r="D37" i="20"/>
  <c r="D103" i="19"/>
  <c r="F57" i="19"/>
  <c r="O4" i="19"/>
  <c r="Q4" i="19" s="1"/>
  <c r="R4" i="19" s="1"/>
  <c r="S96" i="19"/>
  <c r="AB143" i="19"/>
  <c r="AB144" i="19" s="1"/>
  <c r="AB145" i="19" s="1"/>
  <c r="D88" i="19"/>
  <c r="F89" i="19" s="1"/>
  <c r="D90" i="19"/>
  <c r="D94" i="19" s="1"/>
  <c r="O5" i="19" s="1"/>
  <c r="Q5" i="19" s="1"/>
  <c r="R5" i="19" s="1"/>
  <c r="F65" i="19"/>
  <c r="D67" i="19"/>
  <c r="F67" i="19" s="1"/>
  <c r="D71" i="19"/>
  <c r="D72" i="19" s="1"/>
  <c r="N43" i="20"/>
  <c r="R3" i="20" s="1"/>
  <c r="AH6" i="17"/>
  <c r="AI6" i="17"/>
  <c r="M12" i="17"/>
  <c r="U12" i="17"/>
  <c r="D14" i="11"/>
  <c r="M11" i="17"/>
  <c r="U11" i="17"/>
  <c r="AN5" i="9"/>
  <c r="AN4" i="9"/>
  <c r="D167" i="19" l="1"/>
  <c r="D168" i="19" s="1"/>
  <c r="F159" i="19"/>
  <c r="D142" i="19"/>
  <c r="D146" i="19" s="1"/>
  <c r="L142" i="19"/>
  <c r="L144" i="19" s="1"/>
  <c r="L145" i="19" s="1" a="1"/>
  <c r="L145" i="19" s="1"/>
  <c r="D170" i="19"/>
  <c r="D172" i="19" s="1"/>
  <c r="D157" i="19"/>
  <c r="K56" i="19"/>
  <c r="L158" i="19"/>
  <c r="N159" i="19" s="1"/>
  <c r="L163" i="19"/>
  <c r="L178" i="19" s="1"/>
  <c r="L189" i="19" s="1"/>
  <c r="L194" i="19" s="1"/>
  <c r="N194" i="19" s="1"/>
  <c r="L156" i="19"/>
  <c r="D105" i="19"/>
  <c r="I114" i="19"/>
  <c r="I115" i="19" s="1"/>
  <c r="W139" i="19"/>
  <c r="W141" i="19" s="1"/>
  <c r="D74" i="19"/>
  <c r="D75" i="19" s="1"/>
  <c r="F75" i="19" s="1"/>
  <c r="D96" i="19"/>
  <c r="F96" i="19" s="1"/>
  <c r="D15" i="11"/>
  <c r="I26" i="11" s="1"/>
  <c r="D1" i="11"/>
  <c r="D13" i="11"/>
  <c r="D16" i="11"/>
  <c r="I38" i="11" s="1"/>
  <c r="AF11" i="17"/>
  <c r="AF12" i="17"/>
  <c r="AG11" i="17"/>
  <c r="AG12" i="17"/>
  <c r="F195" i="19" l="1"/>
  <c r="L195" i="19"/>
  <c r="N195" i="19"/>
  <c r="L167" i="19"/>
  <c r="L168" i="19" s="1"/>
  <c r="K48" i="19"/>
  <c r="D144" i="19"/>
  <c r="L146" i="19"/>
  <c r="N146" i="19" s="1"/>
  <c r="F146" i="19"/>
  <c r="F137" i="19"/>
  <c r="F160" i="19"/>
  <c r="F168" i="19"/>
  <c r="N168" i="19"/>
  <c r="K55" i="19"/>
  <c r="L157" i="19"/>
  <c r="N160" i="19" s="1"/>
  <c r="L170" i="19"/>
  <c r="L172" i="19" s="1"/>
  <c r="F105" i="19"/>
  <c r="K51" i="19"/>
  <c r="Q6" i="19"/>
  <c r="R6" i="19" s="1"/>
  <c r="I29" i="11"/>
  <c r="I32" i="11"/>
  <c r="I28" i="11"/>
  <c r="I33" i="11"/>
  <c r="I27" i="11"/>
  <c r="I16" i="11"/>
  <c r="AM4" i="9"/>
  <c r="AM5" i="9"/>
  <c r="AL5" i="9"/>
  <c r="AL4" i="9"/>
  <c r="F194" i="19" l="1"/>
  <c r="D195" i="19"/>
  <c r="L173" i="19"/>
  <c r="Y141" i="19"/>
  <c r="D145" i="19" a="1"/>
  <c r="D145" i="19" s="1"/>
  <c r="K52" i="19" s="1"/>
  <c r="P8" i="19"/>
  <c r="Q8" i="19" s="1"/>
  <c r="R8" i="19" s="1"/>
  <c r="F43" i="19"/>
  <c r="N137" i="19"/>
  <c r="D173" i="19"/>
  <c r="F172" i="19"/>
  <c r="F174" i="19"/>
  <c r="N172" i="19"/>
  <c r="N174" i="19"/>
  <c r="AJ5" i="9"/>
  <c r="AJ4" i="9"/>
  <c r="AG5" i="9"/>
  <c r="AH5" i="9"/>
  <c r="AI5" i="9"/>
  <c r="AH4" i="9"/>
  <c r="AI4" i="9"/>
  <c r="AG4" i="9"/>
  <c r="AB5" i="9"/>
  <c r="AB4" i="9"/>
  <c r="X5" i="9"/>
  <c r="Y5" i="9"/>
  <c r="Z5" i="9"/>
  <c r="AA5" i="9" s="1"/>
  <c r="Y4" i="9"/>
  <c r="Z4" i="9"/>
  <c r="X4" i="9"/>
  <c r="AC5" i="9"/>
  <c r="AC4" i="9"/>
  <c r="E12" i="17"/>
  <c r="F12" i="17" s="1"/>
  <c r="E11" i="17"/>
  <c r="F11" i="17" s="1"/>
  <c r="AD5" i="9"/>
  <c r="AE5" i="9"/>
  <c r="AF5" i="9"/>
  <c r="AE4" i="9"/>
  <c r="AF4" i="9"/>
  <c r="AD4" i="9"/>
  <c r="D9" i="1"/>
  <c r="D7" i="1"/>
  <c r="D8" i="1" s="1"/>
  <c r="D6" i="1"/>
  <c r="D5" i="1"/>
  <c r="V9" i="1"/>
  <c r="V8" i="1"/>
  <c r="V7" i="1"/>
  <c r="V6" i="1"/>
  <c r="V5" i="1"/>
  <c r="V4" i="1"/>
  <c r="D4" i="1"/>
  <c r="D11" i="9"/>
  <c r="P42" i="9" s="1"/>
  <c r="K59" i="19" l="1"/>
  <c r="D12" i="9"/>
  <c r="P44" i="9" s="1"/>
  <c r="D13" i="9"/>
  <c r="P43" i="9" s="1"/>
  <c r="D154" i="9"/>
  <c r="D133" i="9"/>
  <c r="D6" i="9"/>
  <c r="Z115" i="9"/>
  <c r="D4" i="9"/>
  <c r="D16" i="9"/>
  <c r="D26" i="9"/>
  <c r="D179" i="9"/>
  <c r="D39" i="9"/>
  <c r="D95" i="9" s="1"/>
  <c r="D142" i="9"/>
  <c r="AA4" i="9"/>
  <c r="D5" i="9" s="1"/>
  <c r="D3" i="9"/>
  <c r="P39" i="9" s="1"/>
  <c r="D18" i="9"/>
  <c r="D94" i="9" l="1"/>
  <c r="I81" i="9"/>
  <c r="F28" i="9"/>
  <c r="D28" i="9" s="1"/>
  <c r="D38" i="9" s="1"/>
  <c r="D97" i="9" s="1"/>
  <c r="D98" i="9" s="1"/>
  <c r="F29" i="9"/>
  <c r="I82" i="9"/>
  <c r="P46" i="9"/>
  <c r="D19" i="9"/>
  <c r="P45" i="9"/>
  <c r="P55" i="9"/>
  <c r="F111" i="9"/>
  <c r="P67" i="9"/>
  <c r="P59" i="9"/>
  <c r="I157" i="9"/>
  <c r="P61" i="9"/>
  <c r="G155" i="9"/>
  <c r="Q117" i="9"/>
  <c r="D135" i="9"/>
  <c r="D136" i="9"/>
  <c r="P47" i="9"/>
  <c r="L131" i="9"/>
  <c r="M131" i="9" s="1"/>
  <c r="P40" i="9"/>
  <c r="D7" i="9"/>
  <c r="D100" i="9" l="1"/>
  <c r="P10" i="9" s="1"/>
  <c r="F101" i="9"/>
  <c r="D99" i="9"/>
  <c r="F102" i="9"/>
  <c r="D169" i="9"/>
  <c r="I165" i="9"/>
  <c r="D8" i="9"/>
  <c r="P41" i="9" s="1"/>
  <c r="F134" i="9"/>
  <c r="I160" i="9"/>
  <c r="D165" i="9"/>
  <c r="D170" i="9"/>
  <c r="O30" i="9"/>
  <c r="O29" i="9"/>
  <c r="O28" i="9"/>
  <c r="O27" i="9"/>
  <c r="D127" i="9"/>
  <c r="Y113" i="9"/>
  <c r="Y112" i="9"/>
  <c r="Y111" i="9"/>
  <c r="Z105" i="9"/>
  <c r="D119" i="9"/>
  <c r="P64" i="9" l="1"/>
  <c r="U4" i="4"/>
  <c r="U5" i="4"/>
  <c r="U6" i="4"/>
  <c r="U7" i="4"/>
  <c r="U8" i="4"/>
  <c r="U3" i="4"/>
  <c r="I4" i="11"/>
  <c r="I21" i="11"/>
  <c r="I19" i="11"/>
  <c r="I18" i="11"/>
  <c r="I9" i="11"/>
  <c r="I7" i="11"/>
  <c r="I11" i="11"/>
  <c r="I8" i="11"/>
  <c r="D81" i="9"/>
  <c r="D51" i="9"/>
  <c r="D42" i="9"/>
  <c r="D146" i="9" s="1"/>
  <c r="D41" i="9"/>
  <c r="D164" i="9" s="1"/>
  <c r="F31" i="9"/>
  <c r="D31" i="9" s="1"/>
  <c r="F30" i="9"/>
  <c r="R31" i="9"/>
  <c r="R30" i="9"/>
  <c r="R29" i="9"/>
  <c r="R28" i="9"/>
  <c r="R27" i="9"/>
  <c r="R26" i="9"/>
  <c r="R25" i="9"/>
  <c r="R24" i="9"/>
  <c r="R23" i="9"/>
  <c r="U22" i="9"/>
  <c r="R22" i="9"/>
  <c r="D23" i="9"/>
  <c r="D22" i="9" s="1"/>
  <c r="U21" i="9"/>
  <c r="R21" i="9"/>
  <c r="O21" i="9"/>
  <c r="U20" i="9"/>
  <c r="R20" i="9"/>
  <c r="D21" i="9"/>
  <c r="O20" i="9" s="1"/>
  <c r="U19" i="9"/>
  <c r="R19" i="9"/>
  <c r="O19" i="9"/>
  <c r="D20" i="9"/>
  <c r="U18" i="9"/>
  <c r="R18" i="9"/>
  <c r="O18" i="9"/>
  <c r="U17" i="9"/>
  <c r="R17" i="9"/>
  <c r="O17" i="9"/>
  <c r="R16" i="9"/>
  <c r="D17" i="9"/>
  <c r="R15" i="9"/>
  <c r="D128" i="9"/>
  <c r="D120" i="9"/>
  <c r="O10" i="9"/>
  <c r="O16" i="9"/>
  <c r="F3" i="9"/>
  <c r="D48" i="1"/>
  <c r="D53" i="1"/>
  <c r="Q116" i="9" l="1"/>
  <c r="D139" i="9"/>
  <c r="P58" i="9" s="1"/>
  <c r="D47" i="9"/>
  <c r="D113" i="9"/>
  <c r="D125" i="9" s="1"/>
  <c r="D171" i="9"/>
  <c r="D126" i="9"/>
  <c r="D130" i="9" s="1"/>
  <c r="D118" i="9"/>
  <c r="D122" i="9" s="1"/>
  <c r="D57" i="9"/>
  <c r="D59" i="9"/>
  <c r="I17" i="11"/>
  <c r="I13" i="11"/>
  <c r="I5" i="11"/>
  <c r="D80" i="9"/>
  <c r="S17" i="9"/>
  <c r="S28" i="9"/>
  <c r="I22" i="11"/>
  <c r="S30" i="9"/>
  <c r="S18" i="9"/>
  <c r="S19" i="9"/>
  <c r="S21" i="9"/>
  <c r="S27" i="9"/>
  <c r="S20" i="9"/>
  <c r="O125" i="9" l="1"/>
  <c r="D117" i="9"/>
  <c r="F122" i="9" s="1"/>
  <c r="F130" i="9"/>
  <c r="D60" i="9"/>
  <c r="D96" i="9" s="1"/>
  <c r="S29" i="9"/>
  <c r="I83" i="9" l="1"/>
  <c r="D68" i="9"/>
  <c r="D29" i="9"/>
  <c r="D75" i="9" s="1"/>
  <c r="M132" i="9"/>
  <c r="P5" i="9"/>
  <c r="P49" i="9"/>
  <c r="P52" i="9" s="1"/>
  <c r="D90" i="9"/>
  <c r="O31" i="9"/>
  <c r="S31" i="9" s="1"/>
  <c r="O22" i="9"/>
  <c r="S22" i="9" s="1"/>
  <c r="D35" i="9"/>
  <c r="D34" i="9"/>
  <c r="D106" i="9" s="1"/>
  <c r="F106" i="9" s="1"/>
  <c r="S16" i="9"/>
  <c r="O23" i="9"/>
  <c r="S23" i="9" s="1"/>
  <c r="I86" i="9" l="1"/>
  <c r="I85" i="9" s="1"/>
  <c r="I87" i="9" s="1"/>
  <c r="D141" i="9"/>
  <c r="P60" i="9" s="1"/>
  <c r="I80" i="9"/>
  <c r="D134" i="9"/>
  <c r="G134" i="9" s="1"/>
  <c r="D140" i="9"/>
  <c r="H162" i="9" s="1"/>
  <c r="I164" i="9" s="1"/>
  <c r="O24" i="9"/>
  <c r="S24" i="9" s="1"/>
  <c r="Z106" i="9"/>
  <c r="Z113" i="9" s="1"/>
  <c r="AC113" i="9" s="1"/>
  <c r="D73" i="9"/>
  <c r="O15" i="9"/>
  <c r="S15" i="9" s="1"/>
  <c r="D78" i="9"/>
  <c r="P54" i="9"/>
  <c r="L132" i="9"/>
  <c r="P130" i="9"/>
  <c r="P131" i="9" s="1"/>
  <c r="D87" i="9"/>
  <c r="O4" i="9"/>
  <c r="D66" i="9"/>
  <c r="F60" i="9"/>
  <c r="D83" i="9"/>
  <c r="I84" i="9" l="1"/>
  <c r="D143" i="9"/>
  <c r="D160" i="9"/>
  <c r="D174" i="9" s="1"/>
  <c r="D82" i="9"/>
  <c r="D84" i="9" s="1"/>
  <c r="F84" i="9" s="1"/>
  <c r="Q130" i="9"/>
  <c r="R130" i="9" s="1"/>
  <c r="AA111" i="9"/>
  <c r="AB111" i="9" s="1"/>
  <c r="Z111" i="9"/>
  <c r="AC111" i="9" s="1"/>
  <c r="O131" i="9"/>
  <c r="Q131" i="9" s="1"/>
  <c r="R131" i="9" s="1"/>
  <c r="O132" i="9" s="1"/>
  <c r="O133" i="9" s="1"/>
  <c r="AA112" i="9"/>
  <c r="AB112" i="9" s="1"/>
  <c r="Z107" i="9"/>
  <c r="Z112" i="9"/>
  <c r="AC112" i="9" s="1"/>
  <c r="D144" i="9"/>
  <c r="N152" i="9" s="1"/>
  <c r="O152" i="9" s="1"/>
  <c r="AA113" i="9"/>
  <c r="AB113" i="9" s="1"/>
  <c r="AD113" i="9" s="1"/>
  <c r="D137" i="9"/>
  <c r="D155" i="9"/>
  <c r="D156" i="9" s="1"/>
  <c r="D158" i="9"/>
  <c r="D69" i="9"/>
  <c r="D70" i="9" s="1"/>
  <c r="R77" i="9" s="1"/>
  <c r="R78" i="9" s="1"/>
  <c r="D67" i="9"/>
  <c r="D138" i="9" l="1"/>
  <c r="F139" i="9" s="1"/>
  <c r="D159" i="9"/>
  <c r="D163" i="9" s="1"/>
  <c r="AD112" i="9"/>
  <c r="AB116" i="9" s="1"/>
  <c r="D85" i="9"/>
  <c r="D89" i="9" s="1"/>
  <c r="T120" i="9"/>
  <c r="U120" i="9" s="1"/>
  <c r="Q135" i="9"/>
  <c r="S130" i="9"/>
  <c r="AD111" i="9"/>
  <c r="Q152" i="9"/>
  <c r="Q153" i="9" s="1"/>
  <c r="P152" i="9"/>
  <c r="P153" i="9" s="1"/>
  <c r="G159" i="9"/>
  <c r="D157" i="9" s="1"/>
  <c r="F156" i="9" s="1"/>
  <c r="O153" i="9"/>
  <c r="S131" i="9"/>
  <c r="P132" i="9" s="1"/>
  <c r="F39" i="9"/>
  <c r="Q10" i="9"/>
  <c r="R10" i="9" s="1"/>
  <c r="F70" i="9"/>
  <c r="B87" i="1"/>
  <c r="B84" i="1"/>
  <c r="B83" i="1"/>
  <c r="P57" i="9" l="1"/>
  <c r="I88" i="9"/>
  <c r="I90" i="9" s="1"/>
  <c r="P68" i="9"/>
  <c r="D161" i="9"/>
  <c r="D175" i="9" s="1"/>
  <c r="D177" i="9" s="1"/>
  <c r="F177" i="9" s="1"/>
  <c r="D168" i="9"/>
  <c r="D172" i="9" s="1"/>
  <c r="D173" i="9" s="1"/>
  <c r="F173" i="9" s="1"/>
  <c r="F100" i="9"/>
  <c r="P63" i="9"/>
  <c r="F164" i="9"/>
  <c r="D145" i="9"/>
  <c r="D147" i="9" s="1"/>
  <c r="G164" i="9"/>
  <c r="Z116" i="9"/>
  <c r="AE116" i="9"/>
  <c r="AE117" i="9" s="1"/>
  <c r="P48" i="9" s="1"/>
  <c r="P51" i="9" s="1"/>
  <c r="AG117" i="9"/>
  <c r="Q132" i="9"/>
  <c r="R132" i="9" s="1"/>
  <c r="Q133" i="9"/>
  <c r="Q134" i="9" s="1"/>
  <c r="Q118" i="9" s="1"/>
  <c r="C91" i="1"/>
  <c r="D18" i="1"/>
  <c r="F55" i="1"/>
  <c r="D11" i="1"/>
  <c r="H3" i="1" s="1"/>
  <c r="H4" i="1" s="1"/>
  <c r="D16" i="1"/>
  <c r="H23" i="1"/>
  <c r="B94" i="1"/>
  <c r="D91" i="1"/>
  <c r="B91" i="1"/>
  <c r="D162" i="9" l="1"/>
  <c r="P62" i="9" s="1"/>
  <c r="D178" i="9"/>
  <c r="P66" i="9" s="1"/>
  <c r="D148" i="9" a="1"/>
  <c r="D148" i="9" s="1"/>
  <c r="D149" i="9" s="1"/>
  <c r="F149" i="9" s="1"/>
  <c r="P69" i="9"/>
  <c r="P120" i="9"/>
  <c r="P121" i="9" s="1"/>
  <c r="S132" i="9"/>
  <c r="R133" i="9"/>
  <c r="S133" i="9"/>
  <c r="D25" i="1"/>
  <c r="D26" i="1" s="1"/>
  <c r="D27" i="1" s="1"/>
  <c r="H6" i="1" s="1"/>
  <c r="E62" i="1"/>
  <c r="E64" i="1"/>
  <c r="D21" i="1"/>
  <c r="D20" i="1"/>
  <c r="D17" i="1"/>
  <c r="D42" i="1" s="1"/>
  <c r="D94" i="1"/>
  <c r="D30" i="1" s="1"/>
  <c r="D41" i="1" s="1"/>
  <c r="C94" i="1"/>
  <c r="F165" i="9" l="1"/>
  <c r="F179" i="9"/>
  <c r="P123" i="9"/>
  <c r="P125" i="9" s="1"/>
  <c r="F140" i="9"/>
  <c r="E66" i="1"/>
  <c r="H7" i="1" s="1"/>
  <c r="D31" i="1"/>
  <c r="D33" i="1" s="1"/>
  <c r="D35" i="1" s="1"/>
  <c r="D36" i="1" s="1"/>
  <c r="D37" i="1" s="1"/>
  <c r="D38" i="1" s="1"/>
  <c r="D39" i="1" s="1"/>
  <c r="D43" i="1" s="1"/>
  <c r="D49" i="1"/>
  <c r="D50" i="1" s="1"/>
  <c r="D51" i="1" s="1"/>
  <c r="D52" i="1" s="1"/>
  <c r="D54" i="1" s="1"/>
  <c r="D55" i="1" s="1"/>
  <c r="D56" i="1" s="1"/>
  <c r="D57" i="1" s="1"/>
  <c r="D58" i="1" s="1"/>
  <c r="H8" i="1" s="1"/>
  <c r="D19" i="1"/>
  <c r="P124" i="9" l="1"/>
  <c r="R124" i="9" s="1"/>
  <c r="D32" i="1"/>
  <c r="H5" i="1"/>
  <c r="P56" i="9" l="1"/>
  <c r="D105" i="9"/>
  <c r="D107" i="9" s="1"/>
  <c r="O5" i="9" l="1"/>
  <c r="Q5" i="9" s="1"/>
  <c r="R5" i="9" s="1"/>
  <c r="F107" i="9"/>
  <c r="K87" i="9"/>
  <c r="F105" i="9"/>
  <c r="O26" i="9"/>
  <c r="S26" i="9" s="1"/>
  <c r="D50" i="9"/>
  <c r="D30" i="9"/>
  <c r="O25" i="9" s="1"/>
  <c r="S25" i="9" s="1"/>
  <c r="D52" i="9" l="1"/>
  <c r="D53" i="9" s="1"/>
  <c r="P4" i="9" s="1"/>
  <c r="Q4" i="9" s="1"/>
  <c r="R4" i="9" s="1"/>
  <c r="D62" i="9" l="1"/>
  <c r="F62" i="9" s="1"/>
  <c r="D88" i="9"/>
  <c r="D91" i="9" s="1"/>
  <c r="F53" i="9"/>
  <c r="P50" i="9"/>
  <c r="P53" i="9" s="1"/>
  <c r="D108" i="9" l="1"/>
  <c r="F108" i="9" s="1"/>
  <c r="Q6" i="9"/>
  <c r="R6" i="9" s="1"/>
  <c r="F91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21" authorId="0" shapeId="0" xr:uid="{5C531194-7D11-4AA2-BDA0-63427F11000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Bolt head length factor*Dia</t>
        </r>
      </text>
    </comment>
    <comment ref="D117" authorId="0" shapeId="0" xr:uid="{9526D36C-7B28-4B62-BB18-456F5F4111D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1.25 for shop weld, 1.5 for field weld</t>
        </r>
      </text>
    </comment>
    <comment ref="D125" authorId="0" shapeId="0" xr:uid="{DB608BD5-0E00-4FA7-8637-9C90CC8E6B3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1.25 for shop weld, 1.5 for field weld</t>
        </r>
      </text>
    </comment>
    <comment ref="L131" authorId="0" shapeId="0" xr:uid="{C5A34C10-4DAE-41F1-85BA-9FBC2E230C5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Angle between bolts from CG of member</t>
        </r>
      </text>
    </comment>
    <comment ref="L132" authorId="0" shapeId="0" xr:uid="{D8315B8B-21C9-4C88-877F-B8AA566FD45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lever arm</t>
        </r>
      </text>
    </comment>
    <comment ref="M132" authorId="0" shapeId="0" xr:uid="{1384040B-587F-4104-989C-C6B711785F8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edge distance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T9" authorId="0" shapeId="0" xr:uid="{06EC20F0-09B2-4DA9-B790-81BB1E20BA7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 typical floor</t>
        </r>
      </text>
    </comment>
    <comment ref="T10" authorId="0" shapeId="0" xr:uid="{568B103B-B2C5-457E-8377-826B1281BE0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 third floor</t>
        </r>
      </text>
    </comment>
    <comment ref="F20" authorId="0" shapeId="0" xr:uid="{56F46EEB-D9D0-440A-A7FE-259F70D811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Bolt head length factor*Dia</t>
        </r>
      </text>
    </comment>
    <comment ref="F25" authorId="0" shapeId="0" xr:uid="{7C3274B7-4D25-4036-AC98-52B2E60D24F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No. of bolts possible in top/bot row</t>
        </r>
      </text>
    </comment>
    <comment ref="H33" authorId="0" shapeId="0" xr:uid="{07EBC70E-0799-4D62-90A8-6730CFF163ED}">
      <text>
        <r>
          <rPr>
            <b/>
            <sz val="9"/>
            <color indexed="81"/>
            <rFont val="Tahoma"/>
            <family val="2"/>
          </rPr>
          <t>admin:
Check for this gauge also</t>
        </r>
      </text>
    </comment>
    <comment ref="D105" authorId="0" shapeId="0" xr:uid="{2F03E512-DEDD-457B-B997-CDAD8782971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Plastic section modulus is taken</t>
        </r>
      </text>
    </comment>
    <comment ref="F107" authorId="0" shapeId="0" xr:uid="{298B1577-6AA7-4D5F-870E-41EA760867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Maximum weld thickness possible</t>
        </r>
      </text>
    </comment>
    <comment ref="D113" authorId="0" shapeId="0" xr:uid="{78C7B20A-4CE4-49EB-B678-1A655C19A8A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1.25 for shop weld, 1.5 for field weld</t>
        </r>
      </text>
    </comment>
    <comment ref="D121" authorId="0" shapeId="0" xr:uid="{10B60D0F-2BAC-49BE-BB90-F29FFF9F763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1.25 for shop weld, 1.5 for field weld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X12" authorId="0" shapeId="0" xr:uid="{28E00DC4-CD9A-4E55-83D1-B2B118965C2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 stiffner above section (Vertical Stiffener) check manually in RHS sheet</t>
        </r>
      </text>
    </comment>
  </commentList>
</comments>
</file>

<file path=xl/sharedStrings.xml><?xml version="1.0" encoding="utf-8"?>
<sst xmlns="http://schemas.openxmlformats.org/spreadsheetml/2006/main" count="2551" uniqueCount="751">
  <si>
    <t>Grade</t>
  </si>
  <si>
    <t>Width</t>
  </si>
  <si>
    <t>Depth</t>
  </si>
  <si>
    <t>Thickness</t>
  </si>
  <si>
    <t>fy</t>
  </si>
  <si>
    <t>fu</t>
  </si>
  <si>
    <t>Es</t>
  </si>
  <si>
    <t>N/mm2</t>
  </si>
  <si>
    <t>mm</t>
  </si>
  <si>
    <t>Section properties</t>
  </si>
  <si>
    <t>Area</t>
  </si>
  <si>
    <t>mm2</t>
  </si>
  <si>
    <t>I</t>
  </si>
  <si>
    <t>mm4</t>
  </si>
  <si>
    <t>Elastic section modulus</t>
  </si>
  <si>
    <t>mm3</t>
  </si>
  <si>
    <t>kNm</t>
  </si>
  <si>
    <t>Shear</t>
  </si>
  <si>
    <t>Shear area</t>
  </si>
  <si>
    <t>kN</t>
  </si>
  <si>
    <t>Moment capacity</t>
  </si>
  <si>
    <t>Length</t>
  </si>
  <si>
    <t>m</t>
  </si>
  <si>
    <t>fcr,b</t>
  </si>
  <si>
    <t>Mcr</t>
  </si>
  <si>
    <t>Bb</t>
  </si>
  <si>
    <t>Ylt</t>
  </si>
  <si>
    <t>Olt</t>
  </si>
  <si>
    <t>aLt</t>
  </si>
  <si>
    <t>Xlt</t>
  </si>
  <si>
    <t>fbd</t>
  </si>
  <si>
    <t>Md</t>
  </si>
  <si>
    <t>V</t>
  </si>
  <si>
    <t>Md final capacity</t>
  </si>
  <si>
    <t>Shear final capacity</t>
  </si>
  <si>
    <t>Description</t>
  </si>
  <si>
    <t>Denotion</t>
  </si>
  <si>
    <t>Value/Formula</t>
  </si>
  <si>
    <t>UOM</t>
  </si>
  <si>
    <t>Remarks</t>
  </si>
  <si>
    <t>L</t>
  </si>
  <si>
    <t>D</t>
  </si>
  <si>
    <t>T</t>
  </si>
  <si>
    <t>t</t>
  </si>
  <si>
    <t>S</t>
  </si>
  <si>
    <t>B</t>
  </si>
  <si>
    <t>Flange thk</t>
  </si>
  <si>
    <t>Web thk</t>
  </si>
  <si>
    <t>Yeild stress</t>
  </si>
  <si>
    <t>Ultimate stress</t>
  </si>
  <si>
    <t>Youngs modulus</t>
  </si>
  <si>
    <t>A</t>
  </si>
  <si>
    <t>Moment of Inertia</t>
  </si>
  <si>
    <t>Ze</t>
  </si>
  <si>
    <t>Plastic section modulus</t>
  </si>
  <si>
    <t>Zp</t>
  </si>
  <si>
    <t>Shape factor</t>
  </si>
  <si>
    <t>Radius of gyration</t>
  </si>
  <si>
    <t>R</t>
  </si>
  <si>
    <t>Plastic moment</t>
  </si>
  <si>
    <t>Mp</t>
  </si>
  <si>
    <t>Vcap</t>
  </si>
  <si>
    <t>Factor</t>
  </si>
  <si>
    <t>Extreme fibre bending comp.stres</t>
  </si>
  <si>
    <t>Elastic critical moment</t>
  </si>
  <si>
    <t>Non-dimensional slenderness ratio</t>
  </si>
  <si>
    <t>Imperfection parameter</t>
  </si>
  <si>
    <t>Bending stress reduction factor for lateral torsional buckling</t>
  </si>
  <si>
    <t>Bending compressive stress</t>
  </si>
  <si>
    <t>Bending strength</t>
  </si>
  <si>
    <t>Md,cap</t>
  </si>
  <si>
    <t>IS800,Pg59</t>
  </si>
  <si>
    <t>Shear capacity</t>
  </si>
  <si>
    <t>S.No</t>
  </si>
  <si>
    <t>S.No.</t>
  </si>
  <si>
    <t>CHS</t>
  </si>
  <si>
    <t>Diameter</t>
  </si>
  <si>
    <t>d</t>
  </si>
  <si>
    <t>b</t>
  </si>
  <si>
    <t>Ratio</t>
  </si>
  <si>
    <t>Class 1</t>
  </si>
  <si>
    <t>Class 2</t>
  </si>
  <si>
    <t>Class 3</t>
  </si>
  <si>
    <t>Plastic</t>
  </si>
  <si>
    <t>Compact</t>
  </si>
  <si>
    <t>Semi-compact</t>
  </si>
  <si>
    <t>e</t>
  </si>
  <si>
    <t>Class</t>
  </si>
  <si>
    <t>Type</t>
  </si>
  <si>
    <t>D/t</t>
  </si>
  <si>
    <t>42e^2</t>
  </si>
  <si>
    <t>146e^2</t>
  </si>
  <si>
    <t>52e^2</t>
  </si>
  <si>
    <t>Inner diameter</t>
  </si>
  <si>
    <t>Di</t>
  </si>
  <si>
    <t>2A/pi()</t>
  </si>
  <si>
    <t>Laterally supported</t>
  </si>
  <si>
    <t>Condition</t>
  </si>
  <si>
    <t>1.2 for sss &amp; 1.5 for cantilever</t>
  </si>
  <si>
    <t>&lt;1.2Zefy/Ymo</t>
  </si>
  <si>
    <t>0.21 for Rolled &amp; 0.49 for welded</t>
  </si>
  <si>
    <t>SHS200x12</t>
  </si>
  <si>
    <t>NB65</t>
  </si>
  <si>
    <t>NB125</t>
  </si>
  <si>
    <t>Box_ISMC_250</t>
  </si>
  <si>
    <t>Box_ISMC_400</t>
  </si>
  <si>
    <t>Box_ISMC_150</t>
  </si>
  <si>
    <t>E350</t>
  </si>
  <si>
    <t>thk</t>
  </si>
  <si>
    <t>Connecting member</t>
  </si>
  <si>
    <t>Bolt</t>
  </si>
  <si>
    <t>Dia</t>
  </si>
  <si>
    <t>Gauge</t>
  </si>
  <si>
    <t>Pitch</t>
  </si>
  <si>
    <t>Min. distance</t>
  </si>
  <si>
    <t>Edge</t>
  </si>
  <si>
    <t>End</t>
  </si>
  <si>
    <t xml:space="preserve">Shear </t>
  </si>
  <si>
    <t>Anb</t>
  </si>
  <si>
    <t>Ans</t>
  </si>
  <si>
    <t>nn</t>
  </si>
  <si>
    <t>ns</t>
  </si>
  <si>
    <t>Bearing capacity</t>
  </si>
  <si>
    <t>kb</t>
  </si>
  <si>
    <t>2.5*kb*d*t*fu</t>
  </si>
  <si>
    <t>min(e/3do,p/3do-0.25,fub/fu,1)</t>
  </si>
  <si>
    <t>Shear Capacity</t>
  </si>
  <si>
    <t>Tension Capacity</t>
  </si>
  <si>
    <t>Moment</t>
  </si>
  <si>
    <t>Combined shear&amp; tension</t>
  </si>
  <si>
    <t>(Vsb/Vdb)^2+(Tb/Tdb)^2&lt;=1</t>
  </si>
  <si>
    <t>nos</t>
  </si>
  <si>
    <t>Tension</t>
  </si>
  <si>
    <t>Prying force</t>
  </si>
  <si>
    <t>(lv/(2*le))*(Te-(B*N*f0*be*t^4)/(27*le*lv^2))</t>
  </si>
  <si>
    <t>lv</t>
  </si>
  <si>
    <t>le</t>
  </si>
  <si>
    <t>1.1*t*sqrt((B*fo)/fy)</t>
  </si>
  <si>
    <t>N</t>
  </si>
  <si>
    <t>be</t>
  </si>
  <si>
    <t>fo</t>
  </si>
  <si>
    <t>0.7*fub</t>
  </si>
  <si>
    <t>IS800, pg76</t>
  </si>
  <si>
    <t>Q</t>
  </si>
  <si>
    <t>T+Q</t>
  </si>
  <si>
    <t>Allowable prying force</t>
  </si>
  <si>
    <t>Acting prying force</t>
  </si>
  <si>
    <t>Force acting/bolt</t>
  </si>
  <si>
    <t>tmin</t>
  </si>
  <si>
    <t>Shear acting</t>
  </si>
  <si>
    <t>Tension acting</t>
  </si>
  <si>
    <t>Tension capacity</t>
  </si>
  <si>
    <t>M</t>
  </si>
  <si>
    <t>g</t>
  </si>
  <si>
    <t>a</t>
  </si>
  <si>
    <t>d0</t>
  </si>
  <si>
    <t>Ultimate strength</t>
  </si>
  <si>
    <t>fub</t>
  </si>
  <si>
    <t>Yeild strength</t>
  </si>
  <si>
    <t>fyb</t>
  </si>
  <si>
    <t>Len. of bolt</t>
  </si>
  <si>
    <t>Lb</t>
  </si>
  <si>
    <t>Net area of bolt</t>
  </si>
  <si>
    <t>Shank area of bolt</t>
  </si>
  <si>
    <t>No. of shear in net area</t>
  </si>
  <si>
    <t>No. of shear in shank area</t>
  </si>
  <si>
    <t>Tb</t>
  </si>
  <si>
    <t>Vb</t>
  </si>
  <si>
    <t>eg</t>
  </si>
  <si>
    <t>en</t>
  </si>
  <si>
    <t>p</t>
  </si>
  <si>
    <t>Distance of bolts</t>
  </si>
  <si>
    <t>Vdb</t>
  </si>
  <si>
    <t>Vsb</t>
  </si>
  <si>
    <t>Vds</t>
  </si>
  <si>
    <t>i</t>
  </si>
  <si>
    <t>ii</t>
  </si>
  <si>
    <t>Acting</t>
  </si>
  <si>
    <t>Plate</t>
  </si>
  <si>
    <t>Capacity/Required</t>
  </si>
  <si>
    <t>Utility ratio</t>
  </si>
  <si>
    <t>Status</t>
  </si>
  <si>
    <t>Thk</t>
  </si>
  <si>
    <t>Compression capacity</t>
  </si>
  <si>
    <t>Comp.Cap</t>
  </si>
  <si>
    <t>Td</t>
  </si>
  <si>
    <t>Pd</t>
  </si>
  <si>
    <t>Eff. Len factor</t>
  </si>
  <si>
    <t>K</t>
  </si>
  <si>
    <t>Radius of Gyration</t>
  </si>
  <si>
    <t>Eff.slender ratio</t>
  </si>
  <si>
    <t>KL/r</t>
  </si>
  <si>
    <t>Eff. Slender ratio</t>
  </si>
  <si>
    <t>Euler buckling stress</t>
  </si>
  <si>
    <t>fcc</t>
  </si>
  <si>
    <t>Y</t>
  </si>
  <si>
    <t>Non-dim eff. Slenderness ratio</t>
  </si>
  <si>
    <t>O</t>
  </si>
  <si>
    <t>Imperfection factor</t>
  </si>
  <si>
    <t>Imperfection factor for compression capacity</t>
  </si>
  <si>
    <t>Buckling class</t>
  </si>
  <si>
    <t>value</t>
  </si>
  <si>
    <t>c</t>
  </si>
  <si>
    <t>Design compressive stress</t>
  </si>
  <si>
    <t>fcd</t>
  </si>
  <si>
    <t>Compressive strength</t>
  </si>
  <si>
    <t>a for hot rolled, b for cold formed</t>
  </si>
  <si>
    <t>IS800,pg89,cl12.10.2.1</t>
  </si>
  <si>
    <t>Bolt grade</t>
  </si>
  <si>
    <t>&lt;=16</t>
  </si>
  <si>
    <t>&gt;16</t>
  </si>
  <si>
    <t>Plate Grade</t>
  </si>
  <si>
    <t>E165</t>
  </si>
  <si>
    <t>E250</t>
  </si>
  <si>
    <t>E300</t>
  </si>
  <si>
    <t>E410</t>
  </si>
  <si>
    <t>&lt;20</t>
  </si>
  <si>
    <t>20-40</t>
  </si>
  <si>
    <t>&gt;40</t>
  </si>
  <si>
    <t>fy, N/mm2</t>
  </si>
  <si>
    <t>fu, N/mm2</t>
  </si>
  <si>
    <t>E450D</t>
  </si>
  <si>
    <t>E450E</t>
  </si>
  <si>
    <t>0.9*fub*An/1.25</t>
  </si>
  <si>
    <t>No. of bolts in a col</t>
  </si>
  <si>
    <t>No. of cols in one location</t>
  </si>
  <si>
    <t>Tot. No. of bolts</t>
  </si>
  <si>
    <t>Bolt dia available</t>
  </si>
  <si>
    <t>Tension acting in furthest bolt</t>
  </si>
  <si>
    <t>Axial tension per bolt</t>
  </si>
  <si>
    <t>Taxial</t>
  </si>
  <si>
    <t>Tbending</t>
  </si>
  <si>
    <t>Max tension in bolt</t>
  </si>
  <si>
    <t>Tmax</t>
  </si>
  <si>
    <t>Summary</t>
  </si>
  <si>
    <t>End Plate</t>
  </si>
  <si>
    <t>Len</t>
  </si>
  <si>
    <t>No. of bolts</t>
  </si>
  <si>
    <t>FOS</t>
  </si>
  <si>
    <t>No. of bolts in top/bot row</t>
  </si>
  <si>
    <t>fub*(nn*Anb+ns*Aab)/(sqrt(3)*Ymb)</t>
  </si>
  <si>
    <t>IS 800,pg 77</t>
  </si>
  <si>
    <t>Com.shear &amp; tension using prying force</t>
  </si>
  <si>
    <t>No. of rows in top/bot</t>
  </si>
  <si>
    <t>Pass</t>
  </si>
  <si>
    <t>Result</t>
  </si>
  <si>
    <t>START</t>
  </si>
  <si>
    <t>CIRCLE</t>
  </si>
  <si>
    <t>SELECT</t>
  </si>
  <si>
    <t>NO</t>
  </si>
  <si>
    <t>POLAR</t>
  </si>
  <si>
    <t>Tb1</t>
  </si>
  <si>
    <t>Tb2</t>
  </si>
  <si>
    <t>MAX(Md*Y1/sum(Y^2),Md*X1/sum(X^2))</t>
  </si>
  <si>
    <t>Shear check</t>
  </si>
  <si>
    <t>Tension check</t>
  </si>
  <si>
    <t>Weld size</t>
  </si>
  <si>
    <t>Constant for fusion angle</t>
  </si>
  <si>
    <t>For 90 deg weld</t>
  </si>
  <si>
    <t>Ultimate stres of weld</t>
  </si>
  <si>
    <t>fuw</t>
  </si>
  <si>
    <t>Strength</t>
  </si>
  <si>
    <t>fwd</t>
  </si>
  <si>
    <t>fu/(sqrt(3)*Ymw)</t>
  </si>
  <si>
    <t>fa</t>
  </si>
  <si>
    <t>P/tt*lw</t>
  </si>
  <si>
    <t>length of weld for shear</t>
  </si>
  <si>
    <t>lw</t>
  </si>
  <si>
    <t>Throat thk</t>
  </si>
  <si>
    <t>tt</t>
  </si>
  <si>
    <t>Shear load</t>
  </si>
  <si>
    <t>Ps</t>
  </si>
  <si>
    <t>Pa</t>
  </si>
  <si>
    <t>Tot. no. of bolts</t>
  </si>
  <si>
    <t>Iy</t>
  </si>
  <si>
    <t>Ix</t>
  </si>
  <si>
    <t>Angle to hor</t>
  </si>
  <si>
    <t>nos*r^2</t>
  </si>
  <si>
    <t>Polar moment of inertia</t>
  </si>
  <si>
    <t>min</t>
  </si>
  <si>
    <t>Axial</t>
  </si>
  <si>
    <t/>
  </si>
  <si>
    <t>0,0</t>
  </si>
  <si>
    <t>Design tensile strength governed by yielding gross section</t>
  </si>
  <si>
    <t>Tdg</t>
  </si>
  <si>
    <t>Design tensile strength governed by rupture of net cross section area</t>
  </si>
  <si>
    <t>Tdn</t>
  </si>
  <si>
    <t>Design tensile strength</t>
  </si>
  <si>
    <t>min ( Tdg , Tdn)</t>
  </si>
  <si>
    <t>Ag*fy/Ymo</t>
  </si>
  <si>
    <t>0.9*An*fu/Ym1</t>
  </si>
  <si>
    <t>Tens. Cap</t>
  </si>
  <si>
    <t>ID</t>
  </si>
  <si>
    <t>Profile</t>
  </si>
  <si>
    <t>Pipe dia</t>
  </si>
  <si>
    <t>Wt of profile</t>
  </si>
  <si>
    <t>Bolt size</t>
  </si>
  <si>
    <t>fy of pipe</t>
  </si>
  <si>
    <t>fu of pipe</t>
  </si>
  <si>
    <t>fy of end plate</t>
  </si>
  <si>
    <t>fu of end plate</t>
  </si>
  <si>
    <t>No. of bolt</t>
  </si>
  <si>
    <t>Tension cap</t>
  </si>
  <si>
    <t>Shear cap/bolt</t>
  </si>
  <si>
    <t>Moment cap/bolt</t>
  </si>
  <si>
    <t>L1-h</t>
  </si>
  <si>
    <t>L2-v</t>
  </si>
  <si>
    <t>Shear cap</t>
  </si>
  <si>
    <t>Tension cap/bolt</t>
  </si>
  <si>
    <t>Moment cap</t>
  </si>
  <si>
    <t>End plate thk</t>
  </si>
  <si>
    <t>OD</t>
  </si>
  <si>
    <t>len</t>
  </si>
  <si>
    <t>Name</t>
  </si>
  <si>
    <t>Do</t>
  </si>
  <si>
    <t>Bolt dia</t>
  </si>
  <si>
    <t>Length of pipe</t>
  </si>
  <si>
    <t>kg/m</t>
  </si>
  <si>
    <t>Wt/m</t>
  </si>
  <si>
    <t>area</t>
  </si>
  <si>
    <t>Wt</t>
  </si>
  <si>
    <t>Weight</t>
  </si>
  <si>
    <t>Thickness of plate</t>
  </si>
  <si>
    <t>Depth of section</t>
  </si>
  <si>
    <t>End Plate Dia</t>
  </si>
  <si>
    <t>x</t>
  </si>
  <si>
    <t>y</t>
  </si>
  <si>
    <t>p1</t>
  </si>
  <si>
    <t>p2</t>
  </si>
  <si>
    <t>x1</t>
  </si>
  <si>
    <t>y1</t>
  </si>
  <si>
    <t>Angle of rot</t>
  </si>
  <si>
    <t>p3</t>
  </si>
  <si>
    <t>p4</t>
  </si>
  <si>
    <t>Z</t>
  </si>
  <si>
    <t>ds</t>
  </si>
  <si>
    <t>bs</t>
  </si>
  <si>
    <t>Plate moment capacity</t>
  </si>
  <si>
    <t>Tension load</t>
  </si>
  <si>
    <t>No. of stiffner</t>
  </si>
  <si>
    <t>Stiffner length</t>
  </si>
  <si>
    <t>Stiffner ht</t>
  </si>
  <si>
    <t>END PLATE</t>
  </si>
  <si>
    <t>grade</t>
  </si>
  <si>
    <t>PROFILE</t>
  </si>
  <si>
    <t>PIPE DIA</t>
  </si>
  <si>
    <t>AREA</t>
  </si>
  <si>
    <t>WT OF PROFILE</t>
  </si>
  <si>
    <t>MOM. CAP</t>
  </si>
  <si>
    <t>TENSION. CAP</t>
  </si>
  <si>
    <t>SHEAR CAP</t>
  </si>
  <si>
    <t>BOLT SIZE</t>
  </si>
  <si>
    <t>BOLT GRADE</t>
  </si>
  <si>
    <t>NO. OF BOLT</t>
  </si>
  <si>
    <t>MOM. CAP/BOLT</t>
  </si>
  <si>
    <t>TENSION CAP/BOLT</t>
  </si>
  <si>
    <t>SHEAR CAP/BOLT</t>
  </si>
  <si>
    <t>TENSION CAP</t>
  </si>
  <si>
    <t>THK</t>
  </si>
  <si>
    <t>Stiffner len</t>
  </si>
  <si>
    <t>Stiffner thk</t>
  </si>
  <si>
    <t>Section depth of rupture</t>
  </si>
  <si>
    <t>NO. OF STIFFNER</t>
  </si>
  <si>
    <t>ts</t>
  </si>
  <si>
    <t>Stiffner Len</t>
  </si>
  <si>
    <t>Stiffner Ht</t>
  </si>
  <si>
    <t>a/b</t>
  </si>
  <si>
    <t>Mom. Cap. Bolt</t>
  </si>
  <si>
    <t>Mom. Cap. Bolt/bolt</t>
  </si>
  <si>
    <t>deg</t>
  </si>
  <si>
    <t>rads</t>
  </si>
  <si>
    <t>lever arm, r</t>
  </si>
  <si>
    <t>Tensile force due to BM</t>
  </si>
  <si>
    <t>Member BM, Mp</t>
  </si>
  <si>
    <t>MOI of bolt group</t>
  </si>
  <si>
    <t>MOI of plate at rupture section</t>
  </si>
  <si>
    <t>Effective MOI of plate at rupture</t>
  </si>
  <si>
    <t>Eff. Means reduction of bolt holes in MOI</t>
  </si>
  <si>
    <t>Distance from NA</t>
  </si>
  <si>
    <t>Dis b/w bolts</t>
  </si>
  <si>
    <t>No. of bolts @ rupture section</t>
  </si>
  <si>
    <t>q</t>
  </si>
  <si>
    <t>Area of end plate</t>
  </si>
  <si>
    <t>Force on plate</t>
  </si>
  <si>
    <t>Bending stress on plate</t>
  </si>
  <si>
    <t>Thk of end plate</t>
  </si>
  <si>
    <t>Max. Cantilever portion</t>
  </si>
  <si>
    <t>Allowable bending stress</t>
  </si>
  <si>
    <t>3 Edges Fixed</t>
  </si>
  <si>
    <t>Roorks table Pg 518</t>
  </si>
  <si>
    <r>
      <t>β</t>
    </r>
    <r>
      <rPr>
        <vertAlign val="subscript"/>
        <sz val="11"/>
        <color theme="1"/>
        <rFont val="Calibri"/>
        <family val="2"/>
        <scheme val="minor"/>
      </rPr>
      <t>3</t>
    </r>
  </si>
  <si>
    <r>
      <t>β</t>
    </r>
    <r>
      <rPr>
        <vertAlign val="subscript"/>
        <sz val="11"/>
        <color theme="1"/>
        <rFont val="Calibri"/>
        <family val="2"/>
        <scheme val="minor"/>
      </rPr>
      <t>2</t>
    </r>
  </si>
  <si>
    <r>
      <t>β</t>
    </r>
    <r>
      <rPr>
        <vertAlign val="subscript"/>
        <sz val="11"/>
        <color theme="1"/>
        <rFont val="Calibri"/>
        <family val="2"/>
        <scheme val="minor"/>
      </rPr>
      <t>1</t>
    </r>
  </si>
  <si>
    <t>Requried</t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</si>
  <si>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scheme val="minor"/>
      </rPr>
      <t>, N/mm2</t>
    </r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</si>
  <si>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</si>
  <si>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>Stiffner design</t>
  </si>
  <si>
    <t>Stiff len along pipe</t>
  </si>
  <si>
    <t>Area of stiffness plate</t>
  </si>
  <si>
    <t>Asp</t>
  </si>
  <si>
    <t xml:space="preserve">mm </t>
  </si>
  <si>
    <t>Dis to equal area axis from end plate</t>
  </si>
  <si>
    <t>Zps</t>
  </si>
  <si>
    <t>Contibutary width of stiffener plate</t>
  </si>
  <si>
    <t>UDL on stiffener plate</t>
  </si>
  <si>
    <t>span of stiffener plate</t>
  </si>
  <si>
    <t>Bending Moment</t>
  </si>
  <si>
    <t>Bending stress</t>
  </si>
  <si>
    <t>Shear stress</t>
  </si>
  <si>
    <t>Allowable shear stress</t>
  </si>
  <si>
    <t>N/mm</t>
  </si>
  <si>
    <t>Load on the Weld = wsp*lsp</t>
  </si>
  <si>
    <t>Effective weld length(l)</t>
  </si>
  <si>
    <t>Min Size of weld required</t>
  </si>
  <si>
    <t>Strength of weld</t>
  </si>
  <si>
    <r>
      <t>N/mm</t>
    </r>
    <r>
      <rPr>
        <vertAlign val="superscript"/>
        <sz val="11"/>
        <color theme="1"/>
        <rFont val="Calibri"/>
        <family val="2"/>
        <scheme val="minor"/>
      </rPr>
      <t>2</t>
    </r>
  </si>
  <si>
    <t>Shear stress in the weld (q)</t>
  </si>
  <si>
    <t>Size of weld required</t>
  </si>
  <si>
    <t>Plastic Section modulus of weld(zpw)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</si>
  <si>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</si>
  <si>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Axial Stress in the weld </t>
  </si>
  <si>
    <t>due to moment(f)</t>
  </si>
  <si>
    <t>Size required</t>
  </si>
  <si>
    <t>Provided size</t>
  </si>
  <si>
    <t>Weld for stiffner</t>
  </si>
  <si>
    <t>Stiffner weld req</t>
  </si>
  <si>
    <t>Stiffner weld provide</t>
  </si>
  <si>
    <t>Allowable Bending stress on plate</t>
  </si>
  <si>
    <t>Bending stress on stiff</t>
  </si>
  <si>
    <t>Shear stress on stiff</t>
  </si>
  <si>
    <t>Allowable Bending stress on stiff</t>
  </si>
  <si>
    <t>Allowable Shear stress on stiff</t>
  </si>
  <si>
    <t>PERMISSIBLE BENDING STRESS</t>
  </si>
  <si>
    <t>BENDING STRESS ON STIFFNER</t>
  </si>
  <si>
    <t>SHEAR STRESS ON STIFFNER</t>
  </si>
  <si>
    <t>PERMISSIBLE SHEAR STRESS</t>
  </si>
  <si>
    <t>REQ WELD FOR STIFFNER</t>
  </si>
  <si>
    <t>WELD PRO FOR STIFFNER</t>
  </si>
  <si>
    <t>BENDING STRESS RATIO</t>
  </si>
  <si>
    <t>SHEAR STRESS RATIO</t>
  </si>
  <si>
    <t>should be &lt;1</t>
  </si>
  <si>
    <t>WELD FOR STIFFNER</t>
  </si>
  <si>
    <t>END PLATE CHECK</t>
  </si>
  <si>
    <t>WELD FOR SECTION</t>
  </si>
  <si>
    <t>CHECK FOR TENSION</t>
  </si>
  <si>
    <t>DESCRIPTION</t>
  </si>
  <si>
    <t>NOTATION</t>
  </si>
  <si>
    <t>FORMULA/VALUE</t>
  </si>
  <si>
    <t>REMARKS</t>
  </si>
  <si>
    <t>END PLATE THK CHECK</t>
  </si>
  <si>
    <t>BOLT CAPACITY</t>
  </si>
  <si>
    <t>END PLATE DETAILS</t>
  </si>
  <si>
    <t>FORCE ACTING IN BOLT</t>
  </si>
  <si>
    <t>BOLT DETAILS</t>
  </si>
  <si>
    <t>FORCE ACTING IN MEMBER</t>
  </si>
  <si>
    <t>CONNECTING MEMBER</t>
  </si>
  <si>
    <t>Outer diameter</t>
  </si>
  <si>
    <t>Hole diameter</t>
  </si>
  <si>
    <t>MOI of Bolt group calculation</t>
  </si>
  <si>
    <t>Moment capacity of Plate at rupture ( along bolt plane)</t>
  </si>
  <si>
    <t>Chord length calculation ( Rupture plane depth )</t>
  </si>
  <si>
    <t>Depth along 2 bolts</t>
  </si>
  <si>
    <t>Depth along 1 bolt</t>
  </si>
  <si>
    <t>BOLT</t>
  </si>
  <si>
    <t>PLATE DIA</t>
  </si>
  <si>
    <t>PLATE THK</t>
  </si>
  <si>
    <t>STIFFNER</t>
  </si>
  <si>
    <t>LENGTH</t>
  </si>
  <si>
    <t>HEIGHT</t>
  </si>
  <si>
    <t>THICK</t>
  </si>
  <si>
    <t>fyb*Asb/1.1</t>
  </si>
  <si>
    <t>6 nos of bolts</t>
  </si>
  <si>
    <t>8nos of bolts</t>
  </si>
  <si>
    <t>4 nos of bolts</t>
  </si>
  <si>
    <t>Yield strength</t>
  </si>
  <si>
    <t>Allowable stress</t>
  </si>
  <si>
    <t>Actual stress for provided thk</t>
  </si>
  <si>
    <t>Design plate thk</t>
  </si>
  <si>
    <t>Provided plate thk</t>
  </si>
  <si>
    <t>4*q*a^2/2/t^2</t>
  </si>
  <si>
    <t>Outer Diameter</t>
  </si>
  <si>
    <t>Bolt hole</t>
  </si>
  <si>
    <t>Siffner Length</t>
  </si>
  <si>
    <t>Siffner depth</t>
  </si>
  <si>
    <t>Siffner thk</t>
  </si>
  <si>
    <t>CLOSE</t>
  </si>
  <si>
    <t>YES</t>
  </si>
  <si>
    <t>Nmm</t>
  </si>
  <si>
    <t>stress</t>
  </si>
  <si>
    <t>b*d^2/6</t>
  </si>
  <si>
    <t>Z, elastic</t>
  </si>
  <si>
    <t>Bolt tension capacity</t>
  </si>
  <si>
    <t>Tension in bolt acting</t>
  </si>
  <si>
    <t>Allowable stres</t>
  </si>
  <si>
    <t>Req. thk</t>
  </si>
  <si>
    <t>Depth(thk of plate)</t>
  </si>
  <si>
    <t>Moment acting( using bolt capacity)</t>
  </si>
  <si>
    <t>Thickness required</t>
  </si>
  <si>
    <t>d,req</t>
  </si>
  <si>
    <t>End plate thk without stiffner, req</t>
  </si>
  <si>
    <t>Thk of end plate without stiffner, req</t>
  </si>
  <si>
    <t>END PLATE THK REQ</t>
  </si>
  <si>
    <t>END  P.THK REQ (STIFFNER)</t>
  </si>
  <si>
    <t>End plate thk with stiffner, req</t>
  </si>
  <si>
    <t>Thk of end plate with stiffner, req</t>
  </si>
  <si>
    <t>1nos</t>
  </si>
  <si>
    <t>kg/connection</t>
  </si>
  <si>
    <t>Outer dia</t>
  </si>
  <si>
    <t>Inner dia</t>
  </si>
  <si>
    <t>Bolt force</t>
  </si>
  <si>
    <t>kN/mm</t>
  </si>
  <si>
    <t>Udl len</t>
  </si>
  <si>
    <t>Udl,p</t>
  </si>
  <si>
    <t>Force</t>
  </si>
  <si>
    <t>lever arm</t>
  </si>
  <si>
    <t>thk req</t>
  </si>
  <si>
    <t>RATE</t>
  </si>
  <si>
    <t>AMOUNT</t>
  </si>
  <si>
    <t>WEIGHT
kgs</t>
  </si>
  <si>
    <t>WITHOUT WELDING AND SITFFNER</t>
  </si>
  <si>
    <t>MATERIAL INPUT WT</t>
  </si>
  <si>
    <t>CUTTING</t>
  </si>
  <si>
    <t>FINISHED WEIGHT</t>
  </si>
  <si>
    <t>WITH WELDING AND SITFFNER</t>
  </si>
  <si>
    <t>16+6</t>
  </si>
  <si>
    <t>kg</t>
  </si>
  <si>
    <t>Welding</t>
  </si>
  <si>
    <t>S.NO.</t>
  </si>
  <si>
    <t>W</t>
  </si>
  <si>
    <t>tf</t>
  </si>
  <si>
    <t>tw</t>
  </si>
  <si>
    <t>Ht above sec</t>
  </si>
  <si>
    <t>Deep deck depth</t>
  </si>
  <si>
    <t>Clearance</t>
  </si>
  <si>
    <t>FORCE ACTING</t>
  </si>
  <si>
    <t>Axial capacity</t>
  </si>
  <si>
    <t>SHEAR CAPACITY</t>
  </si>
  <si>
    <t>TENSION CAPACITY</t>
  </si>
  <si>
    <t>End plate</t>
  </si>
  <si>
    <t>No. of rows of bolts</t>
  </si>
  <si>
    <t>No. of bolts in the row</t>
  </si>
  <si>
    <t>Y1</t>
  </si>
  <si>
    <t>sum of Y^2</t>
  </si>
  <si>
    <t>X1</t>
  </si>
  <si>
    <t>sum of X^2</t>
  </si>
  <si>
    <t>Y2</t>
  </si>
  <si>
    <t>X2</t>
  </si>
  <si>
    <t>Y3</t>
  </si>
  <si>
    <t>X3</t>
  </si>
  <si>
    <t>Check for end plate thickness without stiffner</t>
  </si>
  <si>
    <t>Weld for end plate to member</t>
  </si>
  <si>
    <t>Tensile force</t>
  </si>
  <si>
    <t>Width of plate</t>
  </si>
  <si>
    <t>MOI</t>
  </si>
  <si>
    <t>Thk of plate</t>
  </si>
  <si>
    <t>Along width</t>
  </si>
  <si>
    <t>Along Depth</t>
  </si>
  <si>
    <t>Moment capacity of bolt</t>
  </si>
  <si>
    <t>I excluding bolt</t>
  </si>
  <si>
    <t>Bending stress in plate At rupture section</t>
  </si>
  <si>
    <t>Permissible stress in plate</t>
  </si>
  <si>
    <t>Plate thickness for end plate</t>
  </si>
  <si>
    <t>STIFFNER DESIGN</t>
  </si>
  <si>
    <t>DEPTH</t>
  </si>
  <si>
    <t>WIDTH</t>
  </si>
  <si>
    <t>FLANGE THK</t>
  </si>
  <si>
    <t>WEB THK</t>
  </si>
  <si>
    <t>SHS/RHS</t>
  </si>
  <si>
    <t>L2</t>
  </si>
  <si>
    <t>Extraplate</t>
  </si>
  <si>
    <t>Type of section</t>
  </si>
  <si>
    <t>Rolled</t>
  </si>
  <si>
    <t>taken</t>
  </si>
  <si>
    <t>left</t>
  </si>
  <si>
    <t>xx</t>
  </si>
  <si>
    <t>yy</t>
  </si>
  <si>
    <t>Load parallel to D/B</t>
  </si>
  <si>
    <t>AD/(B+D)</t>
  </si>
  <si>
    <t>AB/(B+D)</t>
  </si>
  <si>
    <t>IS800,Pg54</t>
  </si>
  <si>
    <t>Laterally Unsupported</t>
  </si>
  <si>
    <t>d/tw</t>
  </si>
  <si>
    <t>84e</t>
  </si>
  <si>
    <t>105e</t>
  </si>
  <si>
    <t>126e&lt;=42e</t>
  </si>
  <si>
    <t>b/tf</t>
  </si>
  <si>
    <t>29.3e</t>
  </si>
  <si>
    <t>33.5e</t>
  </si>
  <si>
    <t>42e</t>
  </si>
  <si>
    <t>Overall section</t>
  </si>
  <si>
    <t>SHS200X12</t>
  </si>
  <si>
    <t>BOX_ISMC250</t>
  </si>
  <si>
    <t>TF</t>
  </si>
  <si>
    <t>TW</t>
  </si>
  <si>
    <t>LEN</t>
  </si>
  <si>
    <t>S.NO</t>
  </si>
  <si>
    <t>MOMENT CAP</t>
  </si>
  <si>
    <t>AXIAL CAP</t>
  </si>
  <si>
    <t>GRADE</t>
  </si>
  <si>
    <t>DIA</t>
  </si>
  <si>
    <t>TOP BOLT POSS</t>
  </si>
  <si>
    <t>NO. OF TOP BOLTS</t>
  </si>
  <si>
    <t>COL BOLT POSS</t>
  </si>
  <si>
    <t>NO. OF COL BOLT</t>
  </si>
  <si>
    <t>TOT BOLTS</t>
  </si>
  <si>
    <t>EDGE</t>
  </si>
  <si>
    <t>END</t>
  </si>
  <si>
    <t>GAUGE</t>
  </si>
  <si>
    <t>PITCH</t>
  </si>
  <si>
    <t>REQ.  GAUGE</t>
  </si>
  <si>
    <t>REQ. PITCH</t>
  </si>
  <si>
    <t>TENS. ACTING/BOLT</t>
  </si>
  <si>
    <t>TENS. CAP/BOLT</t>
  </si>
  <si>
    <t>TENSION DEMAND RATIO</t>
  </si>
  <si>
    <t>MOM. ACTING</t>
  </si>
  <si>
    <t>BOLT MOM. DEMAND RATIO</t>
  </si>
  <si>
    <t>STIFFENER</t>
  </si>
  <si>
    <t>WELD</t>
  </si>
  <si>
    <t>END PLATE THK REQ-(STIFFENER)</t>
  </si>
  <si>
    <t>SITFFENER</t>
  </si>
  <si>
    <t>LOCATION IN SUMMARY</t>
  </si>
  <si>
    <t>LOCATION IN OUTPUT</t>
  </si>
  <si>
    <t>PROFILE PROPERTIES</t>
  </si>
  <si>
    <t>Depth of plate</t>
  </si>
  <si>
    <t>TENSION</t>
  </si>
  <si>
    <t>SHEAR</t>
  </si>
  <si>
    <t>MOMENT</t>
  </si>
  <si>
    <t>MEMBER CAPACITY</t>
  </si>
  <si>
    <t>Member</t>
  </si>
  <si>
    <t>Nos</t>
  </si>
  <si>
    <t>1*MC</t>
  </si>
  <si>
    <t>1.25*MC</t>
  </si>
  <si>
    <t>Depth/Dia</t>
  </si>
  <si>
    <t>Force taken</t>
  </si>
  <si>
    <t>RHS</t>
  </si>
  <si>
    <t>OPTION</t>
  </si>
  <si>
    <t>Wt/plate-kg</t>
  </si>
  <si>
    <t>SPLIT TYPE</t>
  </si>
  <si>
    <t>2_SPLIT</t>
  </si>
  <si>
    <t>4_SPLIT</t>
  </si>
  <si>
    <t>8_SPLIT</t>
  </si>
  <si>
    <t>2x36</t>
  </si>
  <si>
    <t>4x18</t>
  </si>
  <si>
    <t>8x9</t>
  </si>
  <si>
    <t>Ties</t>
  </si>
  <si>
    <t>Chord</t>
  </si>
  <si>
    <t>Tot</t>
  </si>
  <si>
    <t>No. of connection</t>
  </si>
  <si>
    <t>Web</t>
  </si>
  <si>
    <t>NB65 &amp; NB125</t>
  </si>
  <si>
    <t xml:space="preserve">NB65 </t>
  </si>
  <si>
    <t>Check for end plate thickness without stiffeners</t>
  </si>
  <si>
    <t>TECKNIP</t>
  </si>
  <si>
    <t>ZACOBS</t>
  </si>
  <si>
    <t>JTP</t>
  </si>
  <si>
    <t>Guvi</t>
  </si>
  <si>
    <t>Python</t>
  </si>
  <si>
    <t>Udemy</t>
  </si>
  <si>
    <t>Checked using strip of cantilever portion</t>
  </si>
  <si>
    <t>BOLT DIA</t>
  </si>
  <si>
    <t>LEVER ARM</t>
  </si>
  <si>
    <t>END PLATE WIDTH</t>
  </si>
  <si>
    <t>END PLATE DEPTH</t>
  </si>
  <si>
    <t>END PLATE THK</t>
  </si>
  <si>
    <t>R0</t>
  </si>
  <si>
    <t>R1</t>
  </si>
  <si>
    <t>R2</t>
  </si>
  <si>
    <t>WT OF PLATES</t>
  </si>
  <si>
    <t>NO. OF CONNECTION</t>
  </si>
  <si>
    <t>1.25*MC, 24mm DIA BOLT FOR RHS</t>
  </si>
  <si>
    <t>1.25*MC, 30mm DIA BOLT FOR RHS</t>
  </si>
  <si>
    <t>TOT WT/CONNECTION, mT</t>
  </si>
  <si>
    <t>REVISION</t>
  </si>
  <si>
    <t>TYPE</t>
  </si>
  <si>
    <t>MEMBER</t>
  </si>
  <si>
    <t>FORCE TAKEN</t>
  </si>
  <si>
    <t>NOS</t>
  </si>
  <si>
    <t>DEPTH/DIA</t>
  </si>
  <si>
    <t>WT/PLATE, kg</t>
  </si>
  <si>
    <t>8X9</t>
  </si>
  <si>
    <t>4X18</t>
  </si>
  <si>
    <t>2X36</t>
  </si>
  <si>
    <t>mT</t>
  </si>
  <si>
    <t>Connections Wt.</t>
  </si>
  <si>
    <t>Opt1B</t>
  </si>
  <si>
    <t>Opt1A</t>
  </si>
  <si>
    <t>Opt0</t>
  </si>
  <si>
    <t>Nos.</t>
  </si>
  <si>
    <t>No. of Connections</t>
  </si>
  <si>
    <t>Pl. Wt.</t>
  </si>
  <si>
    <t>Pl. Thk</t>
  </si>
  <si>
    <t>Pl. Width</t>
  </si>
  <si>
    <t>Pl. Depth/Dia</t>
  </si>
  <si>
    <t>No. of Bolts</t>
  </si>
  <si>
    <t>Bolt Dia.</t>
  </si>
  <si>
    <t>Design Capacity</t>
  </si>
  <si>
    <t>Options</t>
  </si>
  <si>
    <t>Member Profile</t>
  </si>
  <si>
    <t>Module</t>
  </si>
  <si>
    <t>Type of Section</t>
  </si>
  <si>
    <t>Connection comparison for floor</t>
  </si>
  <si>
    <t>3034 - HP Tetrahedron</t>
  </si>
  <si>
    <t>Bolt length</t>
  </si>
  <si>
    <t>Bolt ID</t>
  </si>
  <si>
    <t>BOX_ISMC150</t>
  </si>
  <si>
    <t>BOX_ISMC400</t>
  </si>
  <si>
    <t>Hor. Stiffener</t>
  </si>
  <si>
    <t>Verti. Stiffener</t>
  </si>
  <si>
    <t>SUMMARY</t>
  </si>
  <si>
    <t>Withour stiffener</t>
  </si>
  <si>
    <t>Stiffener provided</t>
  </si>
  <si>
    <t>Plate thk available</t>
  </si>
  <si>
    <t>To check individual design, enter id in cell "H3"</t>
  </si>
  <si>
    <t>Load on Weld</t>
  </si>
  <si>
    <t>pw</t>
  </si>
  <si>
    <t>Wsp * lsp</t>
  </si>
  <si>
    <t>Effective weld length</t>
  </si>
  <si>
    <t>Lwc</t>
  </si>
  <si>
    <t>Minimum fillet weld thickness</t>
  </si>
  <si>
    <t>IS 800, Cl. 10.5.3.1</t>
  </si>
  <si>
    <t>Maximum fillet weld thickness</t>
  </si>
  <si>
    <t>Size of the weld assumed</t>
  </si>
  <si>
    <t>s</t>
  </si>
  <si>
    <t>Area of weld</t>
  </si>
  <si>
    <t>Awc</t>
  </si>
  <si>
    <t>0.7 * s * Lwc</t>
  </si>
  <si>
    <t>Plastic Section modulus of the weld</t>
  </si>
  <si>
    <t>Zpw</t>
  </si>
  <si>
    <t>mm³</t>
  </si>
  <si>
    <t>fusp</t>
  </si>
  <si>
    <t>IS800, Cl. 10.5.10.1.1</t>
  </si>
  <si>
    <t>√3 gmw</t>
  </si>
  <si>
    <t>Shear Stress in Weld</t>
  </si>
  <si>
    <t>qw</t>
  </si>
  <si>
    <t>pw / Awc</t>
  </si>
  <si>
    <t xml:space="preserve"> Moment in the Stiffener</t>
  </si>
  <si>
    <t>Msp</t>
  </si>
  <si>
    <t>qd * lsp2/2</t>
  </si>
  <si>
    <t>Axial Stress in the weld</t>
  </si>
  <si>
    <t>faw</t>
  </si>
  <si>
    <t>Msp / Zpw</t>
  </si>
  <si>
    <t>Equivalent stress</t>
  </si>
  <si>
    <t>fe</t>
  </si>
  <si>
    <t>√(faw2+3qw2)</t>
  </si>
  <si>
    <t>≤</t>
  </si>
  <si>
    <t>(Combined Axial and shear stress)</t>
  </si>
  <si>
    <t>&lt; 1</t>
  </si>
  <si>
    <t>Weld between Column and Stiffener</t>
  </si>
  <si>
    <t>under special circumstances</t>
  </si>
  <si>
    <t>SQRT((4*D98)/(D94*(D42/1.1)))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</si>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</sst>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0.0"/>
    <numFmt numFmtId="166" formatCode="_(* #,##0_);_(* \(#,##0\);_(* &quot;-&quot;??_);_(@_)"/>
    <numFmt numFmtId="167" formatCode="_ * #,##0_ ;_ * \-#,##0_ ;_ * &quot;-&quot;??_ ;_ @_ "/>
    <numFmt numFmtId="168" formatCode="0.000"/>
    <numFmt numFmtId="169" formatCode="0.0000"/>
    <numFmt numFmtId="170" formatCode="_(* #,##0.0_);_(* \(#,##0.0\);_(* &quot;-&quot;??_);_(@_)"/>
    <numFmt numFmtId="171" formatCode="0E+00"/>
    <numFmt numFmtId="172" formatCode="_(* #,##0.0_);_(* \(#,##0.0\);_(* &quot;-&quot;?_);_(@_)"/>
    <numFmt numFmtId="173" formatCode="&quot;M&quot;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b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Palatino Linotype"/>
      <family val="1"/>
    </font>
    <font>
      <b/>
      <sz val="12"/>
      <color theme="1"/>
      <name val="Palatino Linotype"/>
      <family val="1"/>
    </font>
    <font>
      <b/>
      <sz val="14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indexed="8"/>
      <name val="Trebuchet MS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8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" fontId="2" fillId="0" borderId="1" xfId="0" applyNumberFormat="1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right" vertical="center" inden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11" fontId="0" fillId="2" borderId="1" xfId="0" applyNumberFormat="1" applyFill="1" applyBorder="1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vertical="center"/>
    </xf>
    <xf numFmtId="166" fontId="0" fillId="0" borderId="0" xfId="0" applyNumberFormat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right" vertical="center"/>
    </xf>
    <xf numFmtId="4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2" applyFont="1" applyAlignment="1">
      <alignment horizontal="left" vertical="center" wrapText="1" indent="2"/>
    </xf>
    <xf numFmtId="0" fontId="8" fillId="0" borderId="0" xfId="2" applyFont="1" applyAlignment="1">
      <alignment vertical="center"/>
    </xf>
    <xf numFmtId="164" fontId="8" fillId="0" borderId="0" xfId="3" applyFont="1" applyBorder="1" applyAlignment="1">
      <alignment horizontal="right" vertical="center"/>
    </xf>
    <xf numFmtId="0" fontId="9" fillId="5" borderId="0" xfId="2" applyFont="1" applyFill="1" applyAlignment="1">
      <alignment horizontal="left" vertical="center" wrapText="1" indent="2"/>
    </xf>
    <xf numFmtId="0" fontId="9" fillId="5" borderId="0" xfId="2" applyFont="1" applyFill="1" applyAlignment="1">
      <alignment vertical="center"/>
    </xf>
    <xf numFmtId="164" fontId="9" fillId="5" borderId="0" xfId="3" applyFont="1" applyFill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43" fontId="0" fillId="0" borderId="0" xfId="1" applyNumberFormat="1" applyFont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2" fontId="2" fillId="0" borderId="0" xfId="0" applyNumberFormat="1" applyFont="1" applyBorder="1" applyAlignment="1">
      <alignment vertical="center"/>
    </xf>
    <xf numFmtId="170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43" fontId="0" fillId="0" borderId="0" xfId="1" applyFont="1" applyBorder="1" applyAlignment="1">
      <alignment vertical="center"/>
    </xf>
    <xf numFmtId="43" fontId="0" fillId="0" borderId="0" xfId="0" applyNumberFormat="1" applyBorder="1" applyAlignment="1">
      <alignment vertical="center"/>
    </xf>
    <xf numFmtId="43" fontId="0" fillId="0" borderId="23" xfId="0" applyNumberFormat="1" applyBorder="1" applyAlignment="1">
      <alignment vertical="center"/>
    </xf>
    <xf numFmtId="0" fontId="0" fillId="0" borderId="24" xfId="0" applyBorder="1" applyAlignment="1">
      <alignment vertical="center"/>
    </xf>
    <xf numFmtId="43" fontId="0" fillId="0" borderId="10" xfId="1" applyFont="1" applyBorder="1" applyAlignment="1">
      <alignment vertical="center"/>
    </xf>
    <xf numFmtId="43" fontId="0" fillId="0" borderId="10" xfId="0" applyNumberFormat="1" applyBorder="1" applyAlignment="1">
      <alignment vertical="center"/>
    </xf>
    <xf numFmtId="43" fontId="0" fillId="0" borderId="25" xfId="0" applyNumberForma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6" fontId="2" fillId="0" borderId="3" xfId="1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vertical="center"/>
    </xf>
    <xf numFmtId="164" fontId="0" fillId="0" borderId="0" xfId="3" applyFon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1" fontId="10" fillId="3" borderId="0" xfId="0" applyNumberFormat="1" applyFont="1" applyFill="1" applyBorder="1" applyAlignment="1">
      <alignment vertical="center"/>
    </xf>
    <xf numFmtId="165" fontId="10" fillId="3" borderId="0" xfId="0" applyNumberFormat="1" applyFont="1" applyFill="1" applyBorder="1" applyAlignment="1">
      <alignment vertical="center"/>
    </xf>
    <xf numFmtId="165" fontId="0" fillId="6" borderId="0" xfId="0" applyNumberFormat="1" applyFill="1" applyBorder="1" applyAlignment="1">
      <alignment vertical="center"/>
    </xf>
    <xf numFmtId="1" fontId="0" fillId="6" borderId="0" xfId="0" applyNumberFormat="1" applyFill="1" applyBorder="1" applyAlignment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/>
    <xf numFmtId="0" fontId="0" fillId="2" borderId="0" xfId="0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 indent="2"/>
    </xf>
    <xf numFmtId="2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2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1" applyNumberFormat="1" applyFont="1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43" fontId="0" fillId="0" borderId="0" xfId="1" applyNumberFormat="1" applyFont="1" applyBorder="1" applyAlignment="1">
      <alignment vertical="center"/>
    </xf>
    <xf numFmtId="2" fontId="0" fillId="3" borderId="0" xfId="0" applyNumberForma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0" fillId="0" borderId="3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0" xfId="0" applyBorder="1"/>
    <xf numFmtId="164" fontId="0" fillId="0" borderId="0" xfId="3" applyFont="1" applyBorder="1"/>
    <xf numFmtId="2" fontId="0" fillId="0" borderId="0" xfId="0" applyNumberFormat="1" applyBorder="1"/>
    <xf numFmtId="164" fontId="0" fillId="9" borderId="0" xfId="3" applyFont="1" applyFill="1" applyBorder="1"/>
    <xf numFmtId="0" fontId="0" fillId="9" borderId="30" xfId="0" applyFill="1" applyBorder="1"/>
    <xf numFmtId="164" fontId="0" fillId="0" borderId="0" xfId="0" applyNumberFormat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0" xfId="0" applyBorder="1" applyAlignment="1">
      <alignment horizontal="left"/>
    </xf>
    <xf numFmtId="0" fontId="10" fillId="3" borderId="20" xfId="0" applyFont="1" applyFill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165" fontId="10" fillId="3" borderId="10" xfId="0" applyNumberFormat="1" applyFont="1" applyFill="1" applyBorder="1" applyAlignment="1">
      <alignment vertical="center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 indent="1"/>
    </xf>
    <xf numFmtId="1" fontId="0" fillId="6" borderId="10" xfId="0" applyNumberFormat="1" applyFill="1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left" vertical="center" indent="2"/>
    </xf>
    <xf numFmtId="0" fontId="0" fillId="0" borderId="10" xfId="0" applyBorder="1"/>
    <xf numFmtId="2" fontId="0" fillId="0" borderId="10" xfId="0" applyNumberFormat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22" xfId="0" applyBorder="1" applyAlignment="1">
      <alignment horizontal="right" vertical="center" indent="1"/>
    </xf>
    <xf numFmtId="0" fontId="0" fillId="0" borderId="22" xfId="0" applyBorder="1" applyAlignment="1">
      <alignment horizontal="right" vertical="center"/>
    </xf>
    <xf numFmtId="2" fontId="2" fillId="0" borderId="23" xfId="0" applyNumberFormat="1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0" fillId="0" borderId="23" xfId="0" applyBorder="1"/>
    <xf numFmtId="165" fontId="0" fillId="0" borderId="0" xfId="0" applyNumberFormat="1" applyBorder="1" applyAlignment="1">
      <alignment vertical="center"/>
    </xf>
    <xf numFmtId="2" fontId="0" fillId="0" borderId="23" xfId="0" applyNumberFormat="1" applyBorder="1" applyAlignment="1">
      <alignment vertical="center"/>
    </xf>
    <xf numFmtId="2" fontId="0" fillId="0" borderId="26" xfId="0" applyNumberFormat="1" applyBorder="1" applyAlignment="1">
      <alignment vertical="center"/>
    </xf>
    <xf numFmtId="164" fontId="0" fillId="0" borderId="22" xfId="3" applyFont="1" applyBorder="1"/>
    <xf numFmtId="164" fontId="0" fillId="0" borderId="24" xfId="3" applyFont="1" applyBorder="1"/>
    <xf numFmtId="0" fontId="0" fillId="0" borderId="25" xfId="0" applyBorder="1"/>
    <xf numFmtId="0" fontId="0" fillId="0" borderId="25" xfId="0" applyBorder="1" applyAlignment="1">
      <alignment horizontal="center"/>
    </xf>
    <xf numFmtId="164" fontId="0" fillId="0" borderId="10" xfId="3" applyNumberFormat="1" applyFont="1" applyBorder="1"/>
    <xf numFmtId="164" fontId="0" fillId="0" borderId="25" xfId="3" applyNumberFormat="1" applyFont="1" applyBorder="1"/>
    <xf numFmtId="169" fontId="0" fillId="0" borderId="3" xfId="0" applyNumberFormat="1" applyBorder="1" applyAlignment="1">
      <alignment vertical="center"/>
    </xf>
    <xf numFmtId="164" fontId="0" fillId="0" borderId="3" xfId="3" applyFont="1" applyBorder="1"/>
    <xf numFmtId="164" fontId="0" fillId="0" borderId="3" xfId="3" applyNumberFormat="1" applyFont="1" applyBorder="1"/>
    <xf numFmtId="164" fontId="0" fillId="0" borderId="4" xfId="3" applyFont="1" applyBorder="1"/>
    <xf numFmtId="0" fontId="9" fillId="11" borderId="26" xfId="0" applyFont="1" applyFill="1" applyBorder="1" applyAlignment="1">
      <alignment horizontal="center" vertical="center" wrapText="1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9" fillId="9" borderId="5" xfId="0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 wrapText="1"/>
    </xf>
    <xf numFmtId="0" fontId="9" fillId="9" borderId="2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3" fillId="2" borderId="26" xfId="0" applyFont="1" applyFill="1" applyBorder="1"/>
    <xf numFmtId="1" fontId="13" fillId="0" borderId="26" xfId="0" applyNumberFormat="1" applyFont="1" applyBorder="1"/>
    <xf numFmtId="165" fontId="13" fillId="0" borderId="26" xfId="0" applyNumberFormat="1" applyFont="1" applyBorder="1"/>
    <xf numFmtId="166" fontId="13" fillId="0" borderId="1" xfId="1" applyNumberFormat="1" applyFont="1" applyBorder="1"/>
    <xf numFmtId="0" fontId="13" fillId="2" borderId="1" xfId="0" applyFont="1" applyFill="1" applyBorder="1"/>
    <xf numFmtId="170" fontId="13" fillId="0" borderId="1" xfId="1" applyNumberFormat="1" applyFont="1" applyBorder="1"/>
    <xf numFmtId="1" fontId="13" fillId="0" borderId="1" xfId="0" applyNumberFormat="1" applyFont="1" applyBorder="1"/>
    <xf numFmtId="165" fontId="13" fillId="0" borderId="1" xfId="0" applyNumberFormat="1" applyFont="1" applyBorder="1"/>
    <xf numFmtId="0" fontId="14" fillId="10" borderId="5" xfId="0" applyFont="1" applyFill="1" applyBorder="1" applyAlignment="1">
      <alignment horizontal="center" vertical="center" wrapText="1"/>
    </xf>
    <xf numFmtId="0" fontId="14" fillId="11" borderId="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1" fontId="0" fillId="0" borderId="23" xfId="0" applyNumberFormat="1" applyBorder="1" applyAlignment="1">
      <alignment vertical="center"/>
    </xf>
    <xf numFmtId="0" fontId="0" fillId="0" borderId="23" xfId="0" applyNumberFormat="1" applyBorder="1" applyAlignment="1">
      <alignment vertical="center"/>
    </xf>
    <xf numFmtId="0" fontId="8" fillId="2" borderId="0" xfId="0" applyFont="1" applyFill="1" applyBorder="1"/>
    <xf numFmtId="43" fontId="8" fillId="0" borderId="0" xfId="0" applyNumberFormat="1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0" borderId="11" xfId="0" applyFont="1" applyBorder="1"/>
    <xf numFmtId="0" fontId="8" fillId="0" borderId="0" xfId="0" applyFont="1" applyFill="1"/>
    <xf numFmtId="166" fontId="13" fillId="4" borderId="1" xfId="1" applyNumberFormat="1" applyFont="1" applyFill="1" applyBorder="1"/>
    <xf numFmtId="0" fontId="8" fillId="0" borderId="0" xfId="0" applyFont="1" applyAlignment="1">
      <alignment horizontal="right" vertical="center"/>
    </xf>
    <xf numFmtId="166" fontId="8" fillId="0" borderId="0" xfId="0" applyNumberFormat="1" applyFont="1"/>
    <xf numFmtId="43" fontId="8" fillId="0" borderId="0" xfId="0" applyNumberFormat="1" applyFont="1"/>
    <xf numFmtId="0" fontId="8" fillId="0" borderId="0" xfId="0" applyFont="1" applyAlignment="1">
      <alignment horizontal="right"/>
    </xf>
    <xf numFmtId="171" fontId="8" fillId="0" borderId="0" xfId="1" applyNumberFormat="1" applyFont="1" applyAlignment="1">
      <alignment vertical="center"/>
    </xf>
    <xf numFmtId="0" fontId="8" fillId="0" borderId="0" xfId="0" applyNumberFormat="1" applyFont="1"/>
    <xf numFmtId="165" fontId="13" fillId="2" borderId="26" xfId="0" applyNumberFormat="1" applyFont="1" applyFill="1" applyBorder="1"/>
    <xf numFmtId="165" fontId="13" fillId="2" borderId="1" xfId="0" applyNumberFormat="1" applyFont="1" applyFill="1" applyBorder="1"/>
    <xf numFmtId="43" fontId="8" fillId="0" borderId="0" xfId="1" applyFont="1"/>
    <xf numFmtId="0" fontId="16" fillId="0" borderId="0" xfId="4"/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165" fontId="0" fillId="7" borderId="34" xfId="0" applyNumberFormat="1" applyFill="1" applyBorder="1" applyAlignment="1">
      <alignment horizontal="center" vertical="center"/>
    </xf>
    <xf numFmtId="1" fontId="0" fillId="7" borderId="34" xfId="0" applyNumberFormat="1" applyFill="1" applyBorder="1" applyAlignment="1">
      <alignment horizontal="center" vertical="center"/>
    </xf>
    <xf numFmtId="2" fontId="0" fillId="7" borderId="34" xfId="1" applyNumberFormat="1" applyFont="1" applyFill="1" applyBorder="1" applyAlignment="1">
      <alignment horizontal="center" vertical="center"/>
    </xf>
    <xf numFmtId="2" fontId="0" fillId="7" borderId="35" xfId="1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34" xfId="0" applyNumberFormat="1" applyFill="1" applyBorder="1" applyAlignment="1">
      <alignment horizontal="center" vertical="center"/>
    </xf>
    <xf numFmtId="2" fontId="0" fillId="0" borderId="35" xfId="1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43" fontId="0" fillId="0" borderId="23" xfId="1" applyFont="1" applyBorder="1" applyAlignment="1">
      <alignment vertical="center"/>
    </xf>
    <xf numFmtId="2" fontId="0" fillId="0" borderId="34" xfId="1" applyNumberFormat="1" applyFont="1" applyBorder="1" applyAlignment="1">
      <alignment horizontal="center" vertical="center"/>
    </xf>
    <xf numFmtId="166" fontId="0" fillId="6" borderId="0" xfId="1" applyNumberFormat="1" applyFont="1" applyFill="1" applyBorder="1" applyAlignment="1">
      <alignment vertical="center"/>
    </xf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6" fontId="0" fillId="0" borderId="0" xfId="1" applyNumberFormat="1" applyFont="1"/>
    <xf numFmtId="166" fontId="2" fillId="0" borderId="0" xfId="1" applyNumberFormat="1" applyFo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12" borderId="0" xfId="0" applyFill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1" fontId="0" fillId="12" borderId="0" xfId="0" applyNumberFormat="1" applyFill="1" applyAlignment="1">
      <alignment vertical="center"/>
    </xf>
    <xf numFmtId="166" fontId="0" fillId="0" borderId="30" xfId="1" applyNumberFormat="1" applyFont="1" applyBorder="1" applyAlignment="1">
      <alignment vertical="center"/>
    </xf>
    <xf numFmtId="0" fontId="0" fillId="0" borderId="30" xfId="0" applyBorder="1" applyAlignment="1">
      <alignment horizontal="left" vertical="center"/>
    </xf>
    <xf numFmtId="1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0" fillId="0" borderId="13" xfId="0" applyBorder="1" applyAlignment="1">
      <alignment horizontal="right" vertical="center" inden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2" fillId="0" borderId="30" xfId="0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1" xfId="0" applyBorder="1" applyAlignment="1">
      <alignment horizontal="left" vertical="center" indent="2"/>
    </xf>
    <xf numFmtId="166" fontId="0" fillId="4" borderId="0" xfId="1" applyNumberFormat="1" applyFont="1" applyFill="1" applyAlignment="1">
      <alignment vertical="center"/>
    </xf>
    <xf numFmtId="170" fontId="0" fillId="0" borderId="0" xfId="1" applyNumberFormat="1" applyFont="1" applyAlignment="1">
      <alignment vertical="center"/>
    </xf>
    <xf numFmtId="172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2" fontId="0" fillId="0" borderId="30" xfId="0" applyNumberFormat="1" applyBorder="1" applyAlignment="1">
      <alignment vertical="center"/>
    </xf>
    <xf numFmtId="164" fontId="0" fillId="0" borderId="10" xfId="3" applyFont="1" applyBorder="1"/>
    <xf numFmtId="164" fontId="0" fillId="0" borderId="25" xfId="3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0" fillId="13" borderId="0" xfId="0" applyFill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68" fontId="3" fillId="0" borderId="0" xfId="0" applyNumberFormat="1" applyFont="1" applyAlignment="1">
      <alignment vertical="center"/>
    </xf>
    <xf numFmtId="165" fontId="0" fillId="0" borderId="0" xfId="0" applyNumberFormat="1" applyAlignment="1">
      <alignment horizontal="center" vertical="center"/>
    </xf>
    <xf numFmtId="0" fontId="0" fillId="7" borderId="33" xfId="0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1" fontId="0" fillId="7" borderId="34" xfId="0" applyNumberFormat="1" applyFill="1" applyBorder="1" applyAlignment="1">
      <alignment vertical="center"/>
    </xf>
    <xf numFmtId="1" fontId="0" fillId="7" borderId="35" xfId="0" applyNumberForma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14" borderId="0" xfId="0" applyFill="1"/>
    <xf numFmtId="0" fontId="0" fillId="15" borderId="0" xfId="0" applyFill="1" applyAlignment="1">
      <alignment vertical="center"/>
    </xf>
    <xf numFmtId="2" fontId="0" fillId="15" borderId="0" xfId="0" applyNumberFormat="1" applyFill="1" applyAlignment="1">
      <alignment vertical="center"/>
    </xf>
    <xf numFmtId="43" fontId="0" fillId="15" borderId="0" xfId="1" applyFont="1" applyFill="1" applyAlignment="1">
      <alignment vertical="center"/>
    </xf>
    <xf numFmtId="164" fontId="0" fillId="15" borderId="0" xfId="0" applyNumberFormat="1" applyFill="1" applyAlignment="1">
      <alignment vertical="center"/>
    </xf>
    <xf numFmtId="1" fontId="0" fillId="15" borderId="0" xfId="0" applyNumberFormat="1" applyFill="1" applyAlignment="1">
      <alignment vertical="center"/>
    </xf>
    <xf numFmtId="0" fontId="0" fillId="14" borderId="13" xfId="0" applyFill="1" applyBorder="1"/>
    <xf numFmtId="0" fontId="0" fillId="14" borderId="0" xfId="0" applyFill="1" applyBorder="1"/>
    <xf numFmtId="165" fontId="0" fillId="0" borderId="0" xfId="0" applyNumberFormat="1" applyBorder="1"/>
    <xf numFmtId="0" fontId="0" fillId="14" borderId="9" xfId="0" applyFill="1" applyBorder="1"/>
    <xf numFmtId="0" fontId="0" fillId="14" borderId="31" xfId="0" applyFill="1" applyBorder="1"/>
    <xf numFmtId="1" fontId="0" fillId="0" borderId="31" xfId="0" applyNumberFormat="1" applyBorder="1"/>
    <xf numFmtId="165" fontId="0" fillId="0" borderId="31" xfId="0" applyNumberFormat="1" applyBorder="1"/>
    <xf numFmtId="0" fontId="0" fillId="0" borderId="0" xfId="0" applyFill="1" applyBorder="1"/>
    <xf numFmtId="43" fontId="0" fillId="0" borderId="0" xfId="1" applyFont="1" applyFill="1" applyBorder="1"/>
    <xf numFmtId="43" fontId="0" fillId="0" borderId="30" xfId="1" applyFont="1" applyFill="1" applyBorder="1"/>
    <xf numFmtId="0" fontId="0" fillId="0" borderId="31" xfId="0" applyFill="1" applyBorder="1"/>
    <xf numFmtId="43" fontId="0" fillId="0" borderId="31" xfId="1" applyFont="1" applyFill="1" applyBorder="1"/>
    <xf numFmtId="43" fontId="0" fillId="0" borderId="32" xfId="1" applyFont="1" applyFill="1" applyBorder="1"/>
    <xf numFmtId="0" fontId="0" fillId="0" borderId="13" xfId="0" applyFill="1" applyBorder="1"/>
    <xf numFmtId="0" fontId="0" fillId="0" borderId="30" xfId="0" applyFill="1" applyBorder="1"/>
    <xf numFmtId="0" fontId="0" fillId="0" borderId="9" xfId="0" applyFill="1" applyBorder="1"/>
    <xf numFmtId="0" fontId="0" fillId="0" borderId="32" xfId="0" applyFill="1" applyBorder="1"/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7" fontId="0" fillId="15" borderId="0" xfId="0" applyNumberFormat="1" applyFill="1" applyAlignment="1">
      <alignment vertical="center"/>
    </xf>
    <xf numFmtId="1" fontId="0" fillId="0" borderId="0" xfId="0" applyNumberFormat="1" applyFill="1" applyBorder="1"/>
    <xf numFmtId="1" fontId="0" fillId="0" borderId="30" xfId="0" applyNumberFormat="1" applyFill="1" applyBorder="1"/>
    <xf numFmtId="1" fontId="0" fillId="0" borderId="31" xfId="0" applyNumberFormat="1" applyFill="1" applyBorder="1"/>
    <xf numFmtId="1" fontId="0" fillId="0" borderId="32" xfId="0" applyNumberFormat="1" applyFill="1" applyBorder="1"/>
    <xf numFmtId="0" fontId="2" fillId="0" borderId="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0" fillId="4" borderId="3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2" fontId="0" fillId="6" borderId="9" xfId="1" applyNumberFormat="1" applyFont="1" applyFill="1" applyBorder="1" applyAlignment="1">
      <alignment horizontal="center" vertical="center"/>
    </xf>
    <xf numFmtId="2" fontId="0" fillId="0" borderId="32" xfId="1" applyNumberFormat="1" applyFont="1" applyBorder="1" applyAlignment="1">
      <alignment horizontal="center" vertical="center"/>
    </xf>
    <xf numFmtId="2" fontId="0" fillId="0" borderId="31" xfId="1" applyNumberFormat="1" applyFont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1" xfId="1" applyNumberFormat="1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34" xfId="0" applyBorder="1"/>
    <xf numFmtId="0" fontId="0" fillId="0" borderId="34" xfId="0" applyBorder="1" applyAlignment="1">
      <alignment horizontal="left" indent="2"/>
    </xf>
    <xf numFmtId="0" fontId="0" fillId="0" borderId="35" xfId="0" applyBorder="1" applyAlignment="1">
      <alignment horizontal="left"/>
    </xf>
    <xf numFmtId="0" fontId="2" fillId="4" borderId="31" xfId="0" applyFont="1" applyFill="1" applyBorder="1" applyAlignment="1">
      <alignment horizontal="center" vertical="center"/>
    </xf>
    <xf numFmtId="43" fontId="0" fillId="0" borderId="0" xfId="1" applyFont="1"/>
    <xf numFmtId="43" fontId="0" fillId="6" borderId="13" xfId="1" applyFont="1" applyFill="1" applyBorder="1" applyAlignment="1">
      <alignment horizontal="center" vertical="center"/>
    </xf>
    <xf numFmtId="43" fontId="0" fillId="0" borderId="3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43" fontId="0" fillId="5" borderId="0" xfId="1" applyFont="1" applyFill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3" fontId="0" fillId="0" borderId="31" xfId="1" applyFont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2" fillId="0" borderId="31" xfId="0" applyFont="1" applyBorder="1" applyAlignment="1"/>
    <xf numFmtId="0" fontId="2" fillId="0" borderId="31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1" xfId="0" applyFont="1" applyBorder="1" applyAlignment="1">
      <alignment horizontal="center"/>
    </xf>
    <xf numFmtId="43" fontId="0" fillId="0" borderId="0" xfId="0" applyNumberFormat="1" applyAlignment="1">
      <alignment horizontal="center" vertical="center"/>
    </xf>
    <xf numFmtId="0" fontId="2" fillId="0" borderId="13" xfId="0" applyFont="1" applyBorder="1" applyAlignment="1">
      <alignment horizontal="left" indent="2"/>
    </xf>
    <xf numFmtId="0" fontId="2" fillId="0" borderId="9" xfId="0" applyFont="1" applyBorder="1" applyAlignment="1">
      <alignment horizontal="left" indent="2"/>
    </xf>
    <xf numFmtId="43" fontId="0" fillId="0" borderId="32" xfId="1" applyFont="1" applyBorder="1" applyAlignment="1">
      <alignment horizontal="center" vertical="center"/>
    </xf>
    <xf numFmtId="43" fontId="2" fillId="0" borderId="31" xfId="1" applyFont="1" applyBorder="1" applyAlignment="1">
      <alignment horizontal="center" vertical="center"/>
    </xf>
    <xf numFmtId="43" fontId="2" fillId="0" borderId="32" xfId="1" applyFont="1" applyBorder="1" applyAlignment="1">
      <alignment horizontal="center" vertical="center"/>
    </xf>
    <xf numFmtId="0" fontId="2" fillId="0" borderId="34" xfId="0" applyFont="1" applyBorder="1" applyAlignment="1">
      <alignment horizontal="left" indent="2"/>
    </xf>
    <xf numFmtId="0" fontId="2" fillId="0" borderId="35" xfId="0" applyFont="1" applyBorder="1" applyAlignment="1">
      <alignment horizontal="left" indent="2"/>
    </xf>
    <xf numFmtId="43" fontId="0" fillId="16" borderId="30" xfId="1" applyFont="1" applyFill="1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3" fontId="19" fillId="0" borderId="1" xfId="1" applyFont="1" applyBorder="1" applyAlignment="1">
      <alignment horizontal="center" vertical="center"/>
    </xf>
    <xf numFmtId="9" fontId="19" fillId="0" borderId="1" xfId="0" applyNumberFormat="1" applyFont="1" applyBorder="1" applyAlignment="1">
      <alignment horizontal="center" vertical="center"/>
    </xf>
    <xf numFmtId="166" fontId="1" fillId="0" borderId="2" xfId="1" applyNumberFormat="1" applyFont="1" applyBorder="1" applyAlignment="1">
      <alignment horizontal="center" vertical="center"/>
    </xf>
    <xf numFmtId="43" fontId="1" fillId="4" borderId="1" xfId="1" applyFont="1" applyFill="1" applyBorder="1" applyAlignment="1">
      <alignment horizontal="center" vertical="center"/>
    </xf>
    <xf numFmtId="43" fontId="1" fillId="6" borderId="1" xfId="1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6" fontId="1" fillId="0" borderId="1" xfId="1" applyNumberFormat="1" applyFont="1" applyBorder="1" applyAlignment="1">
      <alignment horizontal="center" vertical="center"/>
    </xf>
    <xf numFmtId="166" fontId="1" fillId="6" borderId="1" xfId="1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 applyAlignment="1">
      <alignment horizontal="center" vertical="center"/>
    </xf>
    <xf numFmtId="166" fontId="1" fillId="4" borderId="1" xfId="1" applyNumberFormat="1" applyFont="1" applyFill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43" fontId="1" fillId="0" borderId="2" xfId="1" applyFont="1" applyBorder="1" applyAlignment="1">
      <alignment horizontal="center" vertical="center"/>
    </xf>
    <xf numFmtId="9" fontId="19" fillId="0" borderId="5" xfId="0" applyNumberFormat="1" applyFont="1" applyBorder="1" applyAlignment="1">
      <alignment horizontal="center" vertical="center"/>
    </xf>
    <xf numFmtId="43" fontId="1" fillId="0" borderId="6" xfId="1" applyFont="1" applyBorder="1" applyAlignment="1">
      <alignment horizontal="center" vertical="center"/>
    </xf>
    <xf numFmtId="43" fontId="1" fillId="0" borderId="12" xfId="1" applyFont="1" applyBorder="1" applyAlignment="1">
      <alignment horizontal="center" vertical="center"/>
    </xf>
    <xf numFmtId="43" fontId="19" fillId="0" borderId="46" xfId="1" applyFont="1" applyBorder="1" applyAlignment="1">
      <alignment horizontal="center" vertical="center"/>
    </xf>
    <xf numFmtId="43" fontId="1" fillId="0" borderId="47" xfId="1" applyFont="1" applyBorder="1" applyAlignment="1">
      <alignment horizontal="center" vertical="center"/>
    </xf>
    <xf numFmtId="43" fontId="1" fillId="0" borderId="14" xfId="1" applyFont="1" applyBorder="1" applyAlignment="1">
      <alignment horizontal="center" vertical="center"/>
    </xf>
    <xf numFmtId="166" fontId="0" fillId="0" borderId="6" xfId="1" applyNumberFormat="1" applyFont="1" applyBorder="1" applyAlignment="1">
      <alignment horizontal="center" vertical="center"/>
    </xf>
    <xf numFmtId="166" fontId="0" fillId="0" borderId="12" xfId="1" applyNumberFormat="1" applyFont="1" applyBorder="1" applyAlignment="1">
      <alignment horizontal="center" vertical="center"/>
    </xf>
    <xf numFmtId="166" fontId="0" fillId="0" borderId="46" xfId="1" applyNumberFormat="1" applyFont="1" applyBorder="1" applyAlignment="1">
      <alignment horizontal="center" vertical="center"/>
    </xf>
    <xf numFmtId="166" fontId="0" fillId="0" borderId="47" xfId="1" applyNumberFormat="1" applyFont="1" applyBorder="1" applyAlignment="1">
      <alignment horizontal="center" vertical="center"/>
    </xf>
    <xf numFmtId="166" fontId="0" fillId="0" borderId="14" xfId="1" applyNumberFormat="1" applyFont="1" applyBorder="1" applyAlignment="1">
      <alignment horizontal="center" vertical="center"/>
    </xf>
    <xf numFmtId="1" fontId="0" fillId="0" borderId="0" xfId="0" applyNumberFormat="1" applyBorder="1"/>
    <xf numFmtId="0" fontId="2" fillId="0" borderId="30" xfId="0" applyFont="1" applyBorder="1" applyAlignment="1">
      <alignment horizontal="center" vertical="center" wrapText="1"/>
    </xf>
    <xf numFmtId="1" fontId="0" fillId="14" borderId="31" xfId="0" applyNumberFormat="1" applyFill="1" applyBorder="1"/>
    <xf numFmtId="0" fontId="0" fillId="9" borderId="0" xfId="0" applyFill="1" applyBorder="1"/>
    <xf numFmtId="0" fontId="2" fillId="0" borderId="13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0" fillId="0" borderId="13" xfId="0" applyBorder="1"/>
    <xf numFmtId="166" fontId="0" fillId="0" borderId="0" xfId="1" applyNumberFormat="1" applyFont="1" applyBorder="1"/>
    <xf numFmtId="166" fontId="0" fillId="0" borderId="30" xfId="1" applyNumberFormat="1" applyFont="1" applyBorder="1"/>
    <xf numFmtId="0" fontId="0" fillId="0" borderId="9" xfId="0" applyBorder="1"/>
    <xf numFmtId="166" fontId="0" fillId="0" borderId="31" xfId="1" applyNumberFormat="1" applyFont="1" applyBorder="1"/>
    <xf numFmtId="166" fontId="0" fillId="0" borderId="32" xfId="1" applyNumberFormat="1" applyFont="1" applyBorder="1"/>
    <xf numFmtId="0" fontId="0" fillId="0" borderId="35" xfId="0" applyBorder="1"/>
    <xf numFmtId="0" fontId="0" fillId="0" borderId="0" xfId="0" applyAlignment="1">
      <alignment horizontal="right" vertical="center" indent="21"/>
    </xf>
    <xf numFmtId="0" fontId="2" fillId="0" borderId="0" xfId="0" applyFont="1" applyFill="1" applyBorder="1" applyAlignment="1">
      <alignment horizontal="left" vertical="center"/>
    </xf>
    <xf numFmtId="4" fontId="0" fillId="0" borderId="0" xfId="0" applyNumberFormat="1"/>
    <xf numFmtId="0" fontId="0" fillId="0" borderId="20" xfId="0" applyBorder="1" applyAlignment="1">
      <alignment horizontal="center"/>
    </xf>
    <xf numFmtId="43" fontId="0" fillId="0" borderId="0" xfId="0" applyNumberFormat="1"/>
    <xf numFmtId="0" fontId="20" fillId="0" borderId="0" xfId="0" applyFont="1" applyAlignment="1">
      <alignment horizontal="center" vertical="center"/>
    </xf>
    <xf numFmtId="3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0" fillId="0" borderId="19" xfId="3" applyFont="1" applyBorder="1" applyAlignment="1">
      <alignment horizontal="center"/>
    </xf>
    <xf numFmtId="164" fontId="0" fillId="0" borderId="20" xfId="3" applyFont="1" applyBorder="1" applyAlignment="1">
      <alignment horizontal="center"/>
    </xf>
    <xf numFmtId="164" fontId="0" fillId="0" borderId="21" xfId="3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6" fontId="1" fillId="0" borderId="2" xfId="1" applyNumberFormat="1" applyFont="1" applyBorder="1" applyAlignment="1">
      <alignment horizontal="center" vertical="center"/>
    </xf>
    <xf numFmtId="166" fontId="1" fillId="0" borderId="4" xfId="1" applyNumberFormat="1" applyFont="1" applyBorder="1" applyAlignment="1">
      <alignment horizontal="center" vertical="center"/>
    </xf>
    <xf numFmtId="166" fontId="1" fillId="0" borderId="3" xfId="1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173" fontId="0" fillId="0" borderId="29" xfId="0" applyNumberFormat="1" applyBorder="1" applyAlignment="1">
      <alignment horizontal="center" vertical="center"/>
    </xf>
    <xf numFmtId="173" fontId="0" fillId="0" borderId="30" xfId="0" applyNumberFormat="1" applyBorder="1" applyAlignment="1">
      <alignment horizontal="center" vertical="center"/>
    </xf>
    <xf numFmtId="173" fontId="0" fillId="0" borderId="32" xfId="0" applyNumberForma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</cellXfs>
  <cellStyles count="5">
    <cellStyle name="Comma" xfId="1" builtinId="3"/>
    <cellStyle name="Comma 2" xfId="3" xr:uid="{7559C873-3EE3-46A9-82E0-2209B793B776}"/>
    <cellStyle name="Hyperlink" xfId="4" builtinId="8"/>
    <cellStyle name="Normal" xfId="0" builtinId="0"/>
    <cellStyle name="Normal 2" xfId="2" xr:uid="{BA8A0649-642D-45D6-9116-E1320BA70DE1}"/>
  </cellStyles>
  <dxfs count="5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11.png"/><Relationship Id="rId1" Type="http://schemas.openxmlformats.org/officeDocument/2006/relationships/image" Target="../media/image5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297180</xdr:colOff>
      <xdr:row>77</xdr:row>
      <xdr:rowOff>53340</xdr:rowOff>
    </xdr:from>
    <xdr:to>
      <xdr:col>7</xdr:col>
      <xdr:colOff>337012</xdr:colOff>
      <xdr:row>90</xdr:row>
      <xdr:rowOff>56852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828FA-9822-4AF7-98D3-BB05E7A7D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20444460"/>
          <a:ext cx="1380952" cy="2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77</xdr:row>
      <xdr:rowOff>114300</xdr:rowOff>
    </xdr:from>
    <xdr:to>
      <xdr:col>10</xdr:col>
      <xdr:colOff>441750</xdr:colOff>
      <xdr:row>89</xdr:row>
      <xdr:rowOff>53073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1AECB-D21F-4FCF-AC06-B284F1A5A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3080" y="20505420"/>
          <a:ext cx="1676190" cy="2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68</xdr:row>
      <xdr:rowOff>106680</xdr:rowOff>
    </xdr:from>
    <xdr:to>
      <xdr:col>2</xdr:col>
      <xdr:colOff>302720</xdr:colOff>
      <xdr:row>80</xdr:row>
      <xdr:rowOff>159739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8BFD5E-8517-4D1D-ADD0-FBB030642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1060" y="17297400"/>
          <a:ext cx="1400000" cy="22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30</xdr:row>
      <xdr:rowOff>213360</xdr:rowOff>
    </xdr:from>
    <xdr:to>
      <xdr:col>24</xdr:col>
      <xdr:colOff>444920</xdr:colOff>
      <xdr:row>60</xdr:row>
      <xdr:rowOff>141809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9ED673-09B3-4FE1-B099-F5F963CF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86020" y="6431280"/>
          <a:ext cx="6800000" cy="8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601980</xdr:colOff>
      <xdr:row>49</xdr:row>
      <xdr:rowOff>106680</xdr:rowOff>
    </xdr:from>
    <xdr:to>
      <xdr:col>26</xdr:col>
      <xdr:colOff>1001133</xdr:colOff>
      <xdr:row>64</xdr:row>
      <xdr:rowOff>19790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E2D610-40AF-4E39-A887-3C31DEB66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1320" y="9281160"/>
          <a:ext cx="1805939" cy="2656309"/>
        </a:xfrm>
        <a:prstGeom prst="rect">
          <a:avLst/>
        </a:prstGeom>
      </xdr:spPr>
    </xdr:pic>
    <xdr:clientData/>
  </xdr:twoCellAnchor>
  <xdr:twoCellAnchor editAs="oneCell">
    <xdr:from>
      <xdr:col>33</xdr:col>
      <xdr:colOff>88452</xdr:colOff>
      <xdr:row>104</xdr:row>
      <xdr:rowOff>114300</xdr:rowOff>
    </xdr:from>
    <xdr:to>
      <xdr:col>45</xdr:col>
      <xdr:colOff>197485</xdr:colOff>
      <xdr:row>118</xdr:row>
      <xdr:rowOff>2734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34D456-D010-4EC3-9C6D-C84CEA8134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4569"/>
        <a:stretch/>
      </xdr:blipFill>
      <xdr:spPr>
        <a:xfrm>
          <a:off x="35917692" y="19331940"/>
          <a:ext cx="9344473" cy="2448754"/>
        </a:xfrm>
        <a:prstGeom prst="rect">
          <a:avLst/>
        </a:prstGeom>
      </xdr:spPr>
    </xdr:pic>
    <xdr:clientData/>
  </xdr:twoCellAnchor>
  <xdr:twoCellAnchor>
    <xdr:from>
      <xdr:col>6</xdr:col>
      <xdr:colOff>662940</xdr:colOff>
      <xdr:row>154</xdr:row>
      <xdr:rowOff>7621</xdr:rowOff>
    </xdr:from>
    <xdr:to>
      <xdr:col>8</xdr:col>
      <xdr:colOff>467518</xdr:colOff>
      <xdr:row>160</xdr:row>
      <xdr:rowOff>68581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82915DE-3DAA-419A-8F19-B78A9C5AD209}"/>
            </a:ext>
          </a:extLst>
        </xdr:cNvPr>
        <xdr:cNvGrpSpPr/>
      </xdr:nvGrpSpPr>
      <xdr:grpSpPr>
        <a:xfrm>
          <a:off x="6316980" y="28414981"/>
          <a:ext cx="2471578" cy="1158240"/>
          <a:chOff x="4918627" y="21044038"/>
          <a:chExt cx="2235476" cy="1254312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43B9FB2B-15FC-47B4-BF10-CD0B4CC797D9}"/>
              </a:ext>
            </a:extLst>
          </xdr:cNvPr>
          <xdr:cNvGrpSpPr/>
        </xdr:nvGrpSpPr>
        <xdr:grpSpPr>
          <a:xfrm>
            <a:off x="4918627" y="21044038"/>
            <a:ext cx="2235476" cy="1254312"/>
            <a:chOff x="5762065" y="22203335"/>
            <a:chExt cx="2491067" cy="1318373"/>
          </a:xfrm>
        </xdr:grpSpPr>
        <xdr:sp macro="" textlink="">
          <xdr:nvSpPr>
            <xdr:cNvPr id="9" name="Line 77">
              <a:extLst>
                <a:ext uri="{FF2B5EF4-FFF2-40B4-BE49-F238E27FC236}">
                  <a16:creationId xmlns:a16="http://schemas.microsoft.com/office/drawing/2014/main" id="{A859AF20-0477-49B8-87AF-CACB50DEB1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62065" y="22821900"/>
              <a:ext cx="2491067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ffectLst/>
          </xdr:spPr>
        </xdr:sp>
        <xdr:sp macro="" textlink="">
          <xdr:nvSpPr>
            <xdr:cNvPr id="10" name="Rectangle 71">
              <a:extLst>
                <a:ext uri="{FF2B5EF4-FFF2-40B4-BE49-F238E27FC236}">
                  <a16:creationId xmlns:a16="http://schemas.microsoft.com/office/drawing/2014/main" id="{96891D7C-445F-40AC-ABDD-B79605D561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11650" y="22203335"/>
              <a:ext cx="129130" cy="1047574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1" name="Rectangle 72">
              <a:extLst>
                <a:ext uri="{FF2B5EF4-FFF2-40B4-BE49-F238E27FC236}">
                  <a16:creationId xmlns:a16="http://schemas.microsoft.com/office/drawing/2014/main" id="{B539A83E-0932-4608-A52E-5FD1B1BB1E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8702" y="23251809"/>
              <a:ext cx="933099" cy="19297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2" name="Line 75">
              <a:extLst>
                <a:ext uri="{FF2B5EF4-FFF2-40B4-BE49-F238E27FC236}">
                  <a16:creationId xmlns:a16="http://schemas.microsoft.com/office/drawing/2014/main" id="{B221603F-E7C0-4A71-8792-C3CE833B8457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6475320" y="22430579"/>
              <a:ext cx="491506" cy="29439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  <a:effectLst/>
          </xdr:spPr>
        </xdr:sp>
        <xdr:sp macro="" textlink="">
          <xdr:nvSpPr>
            <xdr:cNvPr id="13" name="Line 76">
              <a:extLst>
                <a:ext uri="{FF2B5EF4-FFF2-40B4-BE49-F238E27FC236}">
                  <a16:creationId xmlns:a16="http://schemas.microsoft.com/office/drawing/2014/main" id="{4E88CF37-7316-4CFA-9590-BBB57D7002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589881" y="23521708"/>
              <a:ext cx="96133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 type="arrow" w="med" len="med"/>
            </a:ln>
            <a:effectLst/>
          </xdr:spPr>
        </xdr:sp>
        <xdr:cxnSp macro="">
          <xdr:nvCxnSpPr>
            <xdr:cNvPr id="14" name="Straight Arrow Connector 13">
              <a:extLst>
                <a:ext uri="{FF2B5EF4-FFF2-40B4-BE49-F238E27FC236}">
                  <a16:creationId xmlns:a16="http://schemas.microsoft.com/office/drawing/2014/main" id="{FE97BA03-001F-490C-8E85-75F16EE43FD3}"/>
                </a:ext>
              </a:extLst>
            </xdr:cNvPr>
            <xdr:cNvCxnSpPr/>
          </xdr:nvCxnSpPr>
          <xdr:spPr>
            <a:xfrm rot="5400000" flipH="1" flipV="1">
              <a:off x="5791079" y="23136833"/>
              <a:ext cx="627529" cy="1588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90DC5A9-7592-4C79-B362-C68F90A2AE36}"/>
              </a:ext>
            </a:extLst>
          </xdr:cNvPr>
          <xdr:cNvCxnSpPr/>
        </xdr:nvCxnSpPr>
        <xdr:spPr>
          <a:xfrm rot="16200000" flipH="1">
            <a:off x="5876739" y="21527168"/>
            <a:ext cx="970495" cy="4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47F9B60C-EFD5-4E90-A148-B0EF72DA1BDF}"/>
              </a:ext>
            </a:extLst>
          </xdr:cNvPr>
          <xdr:cNvCxnSpPr/>
        </xdr:nvCxnSpPr>
        <xdr:spPr>
          <a:xfrm>
            <a:off x="6625996" y="22031737"/>
            <a:ext cx="16563" cy="207065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25</xdr:col>
      <xdr:colOff>266700</xdr:colOff>
      <xdr:row>127</xdr:row>
      <xdr:rowOff>175261</xdr:rowOff>
    </xdr:from>
    <xdr:to>
      <xdr:col>27</xdr:col>
      <xdr:colOff>1028700</xdr:colOff>
      <xdr:row>136</xdr:row>
      <xdr:rowOff>112545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6E624DE-74FB-419F-8E81-53F3A35576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435" t="10353" r="6047" b="3672"/>
        <a:stretch/>
      </xdr:blipFill>
      <xdr:spPr>
        <a:xfrm>
          <a:off x="29230320" y="21617941"/>
          <a:ext cx="2636520" cy="1583204"/>
        </a:xfrm>
        <a:prstGeom prst="rect">
          <a:avLst/>
        </a:prstGeom>
      </xdr:spPr>
    </xdr:pic>
    <xdr:clientData/>
  </xdr:twoCellAnchor>
  <xdr:twoCellAnchor editAs="oneCell">
    <xdr:from>
      <xdr:col>28</xdr:col>
      <xdr:colOff>693421</xdr:colOff>
      <xdr:row>127</xdr:row>
      <xdr:rowOff>144780</xdr:rowOff>
    </xdr:from>
    <xdr:to>
      <xdr:col>31</xdr:col>
      <xdr:colOff>407054</xdr:colOff>
      <xdr:row>135</xdr:row>
      <xdr:rowOff>7619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8640C3E-F732-4762-A324-20D0433FBF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286" t="8347"/>
        <a:stretch/>
      </xdr:blipFill>
      <xdr:spPr>
        <a:xfrm>
          <a:off x="32613601" y="21587460"/>
          <a:ext cx="2517792" cy="1325879"/>
        </a:xfrm>
        <a:prstGeom prst="rect">
          <a:avLst/>
        </a:prstGeom>
      </xdr:spPr>
    </xdr:pic>
    <xdr:clientData/>
  </xdr:twoCellAnchor>
  <xdr:twoCellAnchor editAs="oneCell">
    <xdr:from>
      <xdr:col>20</xdr:col>
      <xdr:colOff>696589</xdr:colOff>
      <xdr:row>127</xdr:row>
      <xdr:rowOff>152400</xdr:rowOff>
    </xdr:from>
    <xdr:to>
      <xdr:col>24</xdr:col>
      <xdr:colOff>457200</xdr:colOff>
      <xdr:row>136</xdr:row>
      <xdr:rowOff>26259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060D5B9-EEB9-4AC8-93CA-15B48403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52189" y="21595080"/>
          <a:ext cx="2427612" cy="1519779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91</xdr:row>
      <xdr:rowOff>53509</xdr:rowOff>
    </xdr:from>
    <xdr:to>
      <xdr:col>9</xdr:col>
      <xdr:colOff>779647</xdr:colOff>
      <xdr:row>103</xdr:row>
      <xdr:rowOff>92639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8DB2E59-2B64-407E-A67B-44B2397A5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37120" y="16893709"/>
          <a:ext cx="4437247" cy="2233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66</xdr:row>
      <xdr:rowOff>175260</xdr:rowOff>
    </xdr:from>
    <xdr:to>
      <xdr:col>1</xdr:col>
      <xdr:colOff>306532</xdr:colOff>
      <xdr:row>79</xdr:row>
      <xdr:rowOff>178772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80E37E-F543-4B11-AC59-096CE99B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18463260"/>
          <a:ext cx="1380952" cy="23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891330</xdr:colOff>
      <xdr:row>79</xdr:row>
      <xdr:rowOff>121653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F93E3-98B2-4E77-B6A9-156360E9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3140" y="18653760"/>
          <a:ext cx="1676190" cy="2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61</xdr:row>
      <xdr:rowOff>106680</xdr:rowOff>
    </xdr:from>
    <xdr:to>
      <xdr:col>12</xdr:col>
      <xdr:colOff>302720</xdr:colOff>
      <xdr:row>73</xdr:row>
      <xdr:rowOff>159739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010781-CF21-4695-8C12-4741FAE33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1060" y="17480280"/>
          <a:ext cx="1400000" cy="2247619"/>
        </a:xfrm>
        <a:prstGeom prst="rect">
          <a:avLst/>
        </a:prstGeom>
      </xdr:spPr>
    </xdr:pic>
    <xdr:clientData/>
  </xdr:twoCellAnchor>
  <xdr:twoCellAnchor editAs="oneCell">
    <xdr:from>
      <xdr:col>23</xdr:col>
      <xdr:colOff>457200</xdr:colOff>
      <xdr:row>30</xdr:row>
      <xdr:rowOff>213360</xdr:rowOff>
    </xdr:from>
    <xdr:to>
      <xdr:col>34</xdr:col>
      <xdr:colOff>551600</xdr:colOff>
      <xdr:row>51</xdr:row>
      <xdr:rowOff>141809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51AC88-7F8A-48A2-83C5-3F27499AA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37380" y="6797040"/>
          <a:ext cx="6800000" cy="85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512332</xdr:colOff>
      <xdr:row>47</xdr:row>
      <xdr:rowOff>133575</xdr:rowOff>
    </xdr:from>
    <xdr:to>
      <xdr:col>18</xdr:col>
      <xdr:colOff>606012</xdr:colOff>
      <xdr:row>62</xdr:row>
      <xdr:rowOff>46684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8E129F-5BA6-4EE0-9767-658083736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4238" y="8963810"/>
          <a:ext cx="1805939" cy="260252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14</xdr:col>
      <xdr:colOff>278107</xdr:colOff>
      <xdr:row>92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B8494C-6C33-4D09-8D08-13EACBE17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7320" y="14843760"/>
          <a:ext cx="3377654" cy="2529840"/>
        </a:xfrm>
        <a:prstGeom prst="rect">
          <a:avLst/>
        </a:prstGeom>
      </xdr:spPr>
    </xdr:pic>
    <xdr:clientData/>
  </xdr:twoCellAnchor>
  <xdr:twoCellAnchor>
    <xdr:from>
      <xdr:col>5</xdr:col>
      <xdr:colOff>1158240</xdr:colOff>
      <xdr:row>148</xdr:row>
      <xdr:rowOff>175260</xdr:rowOff>
    </xdr:from>
    <xdr:to>
      <xdr:col>8</xdr:col>
      <xdr:colOff>932338</xdr:colOff>
      <xdr:row>155</xdr:row>
      <xdr:rowOff>68580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14007E8-E93A-4E1B-87AF-7F73DFD4E35F}"/>
            </a:ext>
          </a:extLst>
        </xdr:cNvPr>
        <xdr:cNvGrpSpPr/>
      </xdr:nvGrpSpPr>
      <xdr:grpSpPr>
        <a:xfrm>
          <a:off x="8115300" y="23995380"/>
          <a:ext cx="2761138" cy="1173480"/>
          <a:chOff x="4918627" y="21044038"/>
          <a:chExt cx="2235476" cy="1254312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A1183D5B-4DA5-4495-86FD-29121D878104}"/>
              </a:ext>
            </a:extLst>
          </xdr:cNvPr>
          <xdr:cNvGrpSpPr/>
        </xdr:nvGrpSpPr>
        <xdr:grpSpPr>
          <a:xfrm>
            <a:off x="4918627" y="21044038"/>
            <a:ext cx="2235476" cy="1254312"/>
            <a:chOff x="5762065" y="22203335"/>
            <a:chExt cx="2491067" cy="1318373"/>
          </a:xfrm>
        </xdr:grpSpPr>
        <xdr:sp macro="" textlink="">
          <xdr:nvSpPr>
            <xdr:cNvPr id="8" name="Line 77">
              <a:extLst>
                <a:ext uri="{FF2B5EF4-FFF2-40B4-BE49-F238E27FC236}">
                  <a16:creationId xmlns:a16="http://schemas.microsoft.com/office/drawing/2014/main" id="{1C092F1D-6076-4DB9-8AD2-8D770CBE36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62065" y="22821900"/>
              <a:ext cx="2491067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ffectLst/>
          </xdr:spPr>
        </xdr:sp>
        <xdr:sp macro="" textlink="">
          <xdr:nvSpPr>
            <xdr:cNvPr id="9" name="Rectangle 71">
              <a:extLst>
                <a:ext uri="{FF2B5EF4-FFF2-40B4-BE49-F238E27FC236}">
                  <a16:creationId xmlns:a16="http://schemas.microsoft.com/office/drawing/2014/main" id="{EF74DB6A-BA7C-4748-9879-AE7419C3BB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11650" y="22203335"/>
              <a:ext cx="129130" cy="1047574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0" name="Rectangle 72">
              <a:extLst>
                <a:ext uri="{FF2B5EF4-FFF2-40B4-BE49-F238E27FC236}">
                  <a16:creationId xmlns:a16="http://schemas.microsoft.com/office/drawing/2014/main" id="{74C0F840-92F4-4EA3-9536-3F97B27AFF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8702" y="23251809"/>
              <a:ext cx="933099" cy="19297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11" name="Line 75">
              <a:extLst>
                <a:ext uri="{FF2B5EF4-FFF2-40B4-BE49-F238E27FC236}">
                  <a16:creationId xmlns:a16="http://schemas.microsoft.com/office/drawing/2014/main" id="{C89EC19F-0EC8-49C5-8F24-465F00785CA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6475320" y="22430579"/>
              <a:ext cx="491506" cy="29439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  <a:effectLst/>
          </xdr:spPr>
        </xdr:sp>
        <xdr:sp macro="" textlink="">
          <xdr:nvSpPr>
            <xdr:cNvPr id="12" name="Line 76">
              <a:extLst>
                <a:ext uri="{FF2B5EF4-FFF2-40B4-BE49-F238E27FC236}">
                  <a16:creationId xmlns:a16="http://schemas.microsoft.com/office/drawing/2014/main" id="{987C0B3D-262E-4FB5-9BA8-B46207F202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589881" y="23521708"/>
              <a:ext cx="96133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 type="arrow" w="med" len="med"/>
            </a:ln>
            <a:effectLst/>
          </xdr:spPr>
        </xdr:sp>
        <xdr:cxnSp macro="">
          <xdr:nvCxnSpPr>
            <xdr:cNvPr id="13" name="Straight Arrow Connector 12">
              <a:extLst>
                <a:ext uri="{FF2B5EF4-FFF2-40B4-BE49-F238E27FC236}">
                  <a16:creationId xmlns:a16="http://schemas.microsoft.com/office/drawing/2014/main" id="{7D5C2E6A-AD33-431F-91CD-1FA7D83F8904}"/>
                </a:ext>
              </a:extLst>
            </xdr:cNvPr>
            <xdr:cNvCxnSpPr/>
          </xdr:nvCxnSpPr>
          <xdr:spPr>
            <a:xfrm rot="5400000" flipH="1" flipV="1">
              <a:off x="5791079" y="23136833"/>
              <a:ext cx="627529" cy="1588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6E33E4AA-8375-4EC0-95CE-1D2608475B08}"/>
              </a:ext>
            </a:extLst>
          </xdr:cNvPr>
          <xdr:cNvCxnSpPr/>
        </xdr:nvCxnSpPr>
        <xdr:spPr>
          <a:xfrm rot="16200000" flipH="1">
            <a:off x="5876739" y="21527168"/>
            <a:ext cx="970495" cy="4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CE0AA2BF-3242-48F6-B986-9FCC3678A2DE}"/>
              </a:ext>
            </a:extLst>
          </xdr:cNvPr>
          <xdr:cNvCxnSpPr/>
        </xdr:nvCxnSpPr>
        <xdr:spPr>
          <a:xfrm>
            <a:off x="6625996" y="22031737"/>
            <a:ext cx="16563" cy="207065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403412</xdr:colOff>
      <xdr:row>93</xdr:row>
      <xdr:rowOff>62752</xdr:rowOff>
    </xdr:from>
    <xdr:to>
      <xdr:col>9</xdr:col>
      <xdr:colOff>366459</xdr:colOff>
      <xdr:row>104</xdr:row>
      <xdr:rowOff>143287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61C8CF-5974-4E1C-9252-CCC81A29D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0283" y="16961223"/>
          <a:ext cx="4077847" cy="2052770"/>
        </a:xfrm>
        <a:prstGeom prst="rect">
          <a:avLst/>
        </a:prstGeom>
      </xdr:spPr>
    </xdr:pic>
    <xdr:clientData/>
  </xdr:twoCellAnchor>
  <xdr:twoCellAnchor>
    <xdr:from>
      <xdr:col>14</xdr:col>
      <xdr:colOff>207981</xdr:colOff>
      <xdr:row>148</xdr:row>
      <xdr:rowOff>139396</xdr:rowOff>
    </xdr:from>
    <xdr:to>
      <xdr:col>17</xdr:col>
      <xdr:colOff>9</xdr:colOff>
      <xdr:row>155</xdr:row>
      <xdr:rowOff>32716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D96B94BB-08DB-460B-BD54-DF79B2018480}"/>
            </a:ext>
          </a:extLst>
        </xdr:cNvPr>
        <xdr:cNvGrpSpPr/>
      </xdr:nvGrpSpPr>
      <xdr:grpSpPr>
        <a:xfrm>
          <a:off x="18061641" y="23959516"/>
          <a:ext cx="1986588" cy="1173480"/>
          <a:chOff x="4918627" y="21044038"/>
          <a:chExt cx="2235476" cy="1254312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713C286-A712-4E8B-8A4C-954660D2DF9C}"/>
              </a:ext>
            </a:extLst>
          </xdr:cNvPr>
          <xdr:cNvGrpSpPr/>
        </xdr:nvGrpSpPr>
        <xdr:grpSpPr>
          <a:xfrm>
            <a:off x="4918627" y="21044038"/>
            <a:ext cx="2235476" cy="1254312"/>
            <a:chOff x="5762065" y="22203335"/>
            <a:chExt cx="2491067" cy="1318373"/>
          </a:xfrm>
        </xdr:grpSpPr>
        <xdr:sp macro="" textlink="">
          <xdr:nvSpPr>
            <xdr:cNvPr id="20" name="Line 77">
              <a:extLst>
                <a:ext uri="{FF2B5EF4-FFF2-40B4-BE49-F238E27FC236}">
                  <a16:creationId xmlns:a16="http://schemas.microsoft.com/office/drawing/2014/main" id="{D0838D1F-77C0-4E61-8CD0-38A61C07F7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762065" y="22821900"/>
              <a:ext cx="2491067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prstDash val="lgDashDot"/>
              <a:round/>
              <a:headEnd/>
              <a:tailEnd/>
            </a:ln>
            <a:effectLst/>
          </xdr:spPr>
        </xdr:sp>
        <xdr:sp macro="" textlink="">
          <xdr:nvSpPr>
            <xdr:cNvPr id="21" name="Rectangle 71">
              <a:extLst>
                <a:ext uri="{FF2B5EF4-FFF2-40B4-BE49-F238E27FC236}">
                  <a16:creationId xmlns:a16="http://schemas.microsoft.com/office/drawing/2014/main" id="{54B69611-30D4-4604-A7F5-21001F1379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11650" y="22203335"/>
              <a:ext cx="129130" cy="1047574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2" name="Rectangle 72">
              <a:extLst>
                <a:ext uri="{FF2B5EF4-FFF2-40B4-BE49-F238E27FC236}">
                  <a16:creationId xmlns:a16="http://schemas.microsoft.com/office/drawing/2014/main" id="{003A94AB-FC32-423F-BA8C-1806236A13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8702" y="23251809"/>
              <a:ext cx="933099" cy="192971"/>
            </a:xfrm>
            <a:prstGeom prst="rect">
              <a:avLst/>
            </a:prstGeom>
            <a:solidFill>
              <a:srgbClr val="FFFFFF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  <a:effectLst/>
          </xdr:spPr>
        </xdr:sp>
        <xdr:sp macro="" textlink="">
          <xdr:nvSpPr>
            <xdr:cNvPr id="23" name="Line 75">
              <a:extLst>
                <a:ext uri="{FF2B5EF4-FFF2-40B4-BE49-F238E27FC236}">
                  <a16:creationId xmlns:a16="http://schemas.microsoft.com/office/drawing/2014/main" id="{ABBA8B09-DE8B-45D5-8A50-553022AA4654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6475320" y="22430579"/>
              <a:ext cx="491506" cy="29439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  <a:effectLst/>
          </xdr:spPr>
        </xdr:sp>
        <xdr:sp macro="" textlink="">
          <xdr:nvSpPr>
            <xdr:cNvPr id="24" name="Line 76">
              <a:extLst>
                <a:ext uri="{FF2B5EF4-FFF2-40B4-BE49-F238E27FC236}">
                  <a16:creationId xmlns:a16="http://schemas.microsoft.com/office/drawing/2014/main" id="{591D2C0B-356C-4160-9677-B6826CDDE9A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589881" y="23521708"/>
              <a:ext cx="96133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 type="arrow" w="med" len="med"/>
            </a:ln>
            <a:effectLst/>
          </xdr:spPr>
        </xdr: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CA80813-1759-420D-B7F6-E693E0797BF8}"/>
                </a:ext>
              </a:extLst>
            </xdr:cNvPr>
            <xdr:cNvCxnSpPr/>
          </xdr:nvCxnSpPr>
          <xdr:spPr>
            <a:xfrm rot="5400000" flipH="1" flipV="1">
              <a:off x="5791079" y="23136833"/>
              <a:ext cx="627529" cy="1588"/>
            </a:xfrm>
            <a:prstGeom prst="straightConnector1">
              <a:avLst/>
            </a:prstGeom>
            <a:ln>
              <a:headEnd type="arrow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F5CE0F40-AB62-48BE-974B-B8EE861FC1DB}"/>
              </a:ext>
            </a:extLst>
          </xdr:cNvPr>
          <xdr:cNvCxnSpPr/>
        </xdr:nvCxnSpPr>
        <xdr:spPr>
          <a:xfrm rot="16200000" flipH="1">
            <a:off x="5876739" y="21527168"/>
            <a:ext cx="970495" cy="4236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3E541BEF-5044-4CEE-B8D6-BDCC3E26D7AA}"/>
              </a:ext>
            </a:extLst>
          </xdr:cNvPr>
          <xdr:cNvCxnSpPr/>
        </xdr:nvCxnSpPr>
        <xdr:spPr>
          <a:xfrm>
            <a:off x="6625996" y="22031737"/>
            <a:ext cx="16563" cy="207065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202</xdr:row>
      <xdr:rowOff>68580</xdr:rowOff>
    </xdr:from>
    <xdr:to>
      <xdr:col>7</xdr:col>
      <xdr:colOff>390141</xdr:colOff>
      <xdr:row>232</xdr:row>
      <xdr:rowOff>78379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52C920D-C699-46D4-A941-CC250554B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893760"/>
          <a:ext cx="9290301" cy="5496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A9CA-AD47-42A3-9140-FD433A57D2BD}">
  <dimension ref="A1:Y94"/>
  <sheetViews>
    <sheetView workbookViewId="0">
      <selection activeCell="I22" sqref="I22"/>
    </sheetView>
  </sheetViews>
  <sheetFormatPr defaultRowHeight="14.4" x14ac:dyDescent="0.3"/>
  <cols>
    <col min="1" max="1" width="5.5546875" style="1" bestFit="1" customWidth="1"/>
    <col min="2" max="2" width="16.6640625" style="3" customWidth="1"/>
    <col min="3" max="3" width="9.77734375" style="1" bestFit="1" customWidth="1"/>
    <col min="4" max="4" width="13.6640625" style="3" bestFit="1" customWidth="1"/>
    <col min="5" max="5" width="7.6640625" style="3" bestFit="1" customWidth="1"/>
    <col min="6" max="7" width="9.77734375" style="3" bestFit="1" customWidth="1"/>
    <col min="8" max="14" width="8.88671875" style="3"/>
    <col min="15" max="16" width="9" style="3" bestFit="1" customWidth="1"/>
    <col min="17" max="18" width="9.5546875" style="3" bestFit="1" customWidth="1"/>
    <col min="19" max="16384" width="8.88671875" style="3"/>
  </cols>
  <sheetData>
    <row r="1" spans="1:25" x14ac:dyDescent="0.3">
      <c r="A1" s="430" t="s">
        <v>75</v>
      </c>
      <c r="B1" s="431"/>
      <c r="C1" s="431"/>
      <c r="D1" s="431"/>
      <c r="E1" s="431"/>
      <c r="F1" s="432"/>
      <c r="G1" s="3">
        <v>2</v>
      </c>
    </row>
    <row r="2" spans="1:25" x14ac:dyDescent="0.3">
      <c r="A2" s="13" t="s">
        <v>73</v>
      </c>
      <c r="B2" s="13" t="s">
        <v>35</v>
      </c>
      <c r="C2" s="13" t="s">
        <v>36</v>
      </c>
      <c r="D2" s="13" t="s">
        <v>37</v>
      </c>
      <c r="E2" s="13" t="s">
        <v>38</v>
      </c>
      <c r="F2" s="13" t="s">
        <v>39</v>
      </c>
    </row>
    <row r="3" spans="1:25" x14ac:dyDescent="0.3">
      <c r="A3" s="2">
        <v>1</v>
      </c>
      <c r="B3" s="5" t="s">
        <v>0</v>
      </c>
      <c r="C3" s="2"/>
      <c r="D3" s="45" t="s">
        <v>107</v>
      </c>
      <c r="E3" s="6" t="s">
        <v>7</v>
      </c>
      <c r="F3" s="6"/>
      <c r="G3" s="3" t="s">
        <v>10</v>
      </c>
      <c r="H3" s="37">
        <f>D11</f>
        <v>2278.3458242363904</v>
      </c>
      <c r="I3" s="3" t="s">
        <v>11</v>
      </c>
      <c r="U3" s="4" t="s">
        <v>208</v>
      </c>
      <c r="V3" s="4" t="s">
        <v>159</v>
      </c>
      <c r="W3" s="4" t="s">
        <v>157</v>
      </c>
    </row>
    <row r="4" spans="1:25" x14ac:dyDescent="0.3">
      <c r="A4" s="2">
        <v>2</v>
      </c>
      <c r="B4" s="5" t="s">
        <v>21</v>
      </c>
      <c r="C4" s="2" t="s">
        <v>40</v>
      </c>
      <c r="D4" s="10">
        <f>VLOOKUP($G$1,$H$14:$M$15,6,FALSE)</f>
        <v>1</v>
      </c>
      <c r="E4" s="6" t="s">
        <v>22</v>
      </c>
      <c r="F4" s="6"/>
      <c r="G4" s="3" t="s">
        <v>320</v>
      </c>
      <c r="H4" s="22">
        <f>H3*7850/1000^2</f>
        <v>17.885014720255665</v>
      </c>
      <c r="I4" s="3" t="s">
        <v>317</v>
      </c>
      <c r="U4" s="6">
        <v>3.6</v>
      </c>
      <c r="V4" s="6">
        <f>(U4-TRUNC(U4,0))*W4</f>
        <v>198.00000000000003</v>
      </c>
      <c r="W4" s="6">
        <v>330</v>
      </c>
    </row>
    <row r="5" spans="1:25" x14ac:dyDescent="0.3">
      <c r="A5" s="2">
        <v>3</v>
      </c>
      <c r="B5" s="5" t="s">
        <v>76</v>
      </c>
      <c r="C5" s="2" t="s">
        <v>41</v>
      </c>
      <c r="D5" s="6">
        <f>VLOOKUP($G$1,$H$14:$M$15,3,FALSE)</f>
        <v>139.69999999999999</v>
      </c>
      <c r="E5" s="6" t="s">
        <v>8</v>
      </c>
      <c r="F5" s="2"/>
      <c r="G5" s="3" t="s">
        <v>128</v>
      </c>
      <c r="H5" s="37">
        <f>D43</f>
        <v>28.123764008327544</v>
      </c>
      <c r="I5" s="3" t="s">
        <v>16</v>
      </c>
      <c r="U5" s="6">
        <v>4.5999999999999996</v>
      </c>
      <c r="V5" s="6">
        <f t="shared" ref="V5:V9" si="0">(U5-TRUNC(U5,0))*W5</f>
        <v>239.99999999999986</v>
      </c>
      <c r="W5" s="6">
        <v>400</v>
      </c>
    </row>
    <row r="6" spans="1:25" x14ac:dyDescent="0.3">
      <c r="A6" s="2">
        <v>4</v>
      </c>
      <c r="B6" s="5" t="s">
        <v>93</v>
      </c>
      <c r="C6" s="3" t="s">
        <v>94</v>
      </c>
      <c r="D6" s="6">
        <f>VLOOKUP($G$1,$H$14:$M$15,4,FALSE)</f>
        <v>128.89999999999998</v>
      </c>
      <c r="E6" s="6" t="s">
        <v>8</v>
      </c>
      <c r="F6" s="2"/>
      <c r="G6" s="3" t="s">
        <v>17</v>
      </c>
      <c r="H6" s="37">
        <f>D27</f>
        <v>266.44924868653669</v>
      </c>
      <c r="I6" s="3" t="s">
        <v>19</v>
      </c>
      <c r="U6" s="6">
        <v>4.8</v>
      </c>
      <c r="V6" s="6">
        <f t="shared" si="0"/>
        <v>335.99999999999994</v>
      </c>
      <c r="W6" s="6">
        <v>420</v>
      </c>
    </row>
    <row r="7" spans="1:25" x14ac:dyDescent="0.3">
      <c r="A7" s="2">
        <v>5</v>
      </c>
      <c r="B7" s="5" t="s">
        <v>3</v>
      </c>
      <c r="C7" s="2" t="s">
        <v>43</v>
      </c>
      <c r="D7" s="6">
        <f>VLOOKUP($G$1,$H$14:$M$15,5,FALSE)</f>
        <v>5.4</v>
      </c>
      <c r="E7" s="6"/>
      <c r="F7" s="6"/>
      <c r="G7" s="3" t="s">
        <v>291</v>
      </c>
      <c r="H7" s="78">
        <f>E66</f>
        <v>724.9282168024879</v>
      </c>
      <c r="I7" s="3" t="s">
        <v>19</v>
      </c>
      <c r="U7" s="6">
        <v>5.6</v>
      </c>
      <c r="V7" s="6">
        <f t="shared" si="0"/>
        <v>299.99999999999983</v>
      </c>
      <c r="W7" s="6">
        <v>500</v>
      </c>
    </row>
    <row r="8" spans="1:25" x14ac:dyDescent="0.3">
      <c r="A8" s="2">
        <v>6</v>
      </c>
      <c r="B8" s="5" t="s">
        <v>48</v>
      </c>
      <c r="C8" s="2" t="s">
        <v>4</v>
      </c>
      <c r="D8" s="6">
        <f>VLOOKUP(D$3,$U$18:$Y$24,IF(D7&lt;20,2,IF(D7&lt;=40,3,4)),FALSE)</f>
        <v>350</v>
      </c>
      <c r="E8" s="6" t="s">
        <v>7</v>
      </c>
      <c r="F8" s="6"/>
      <c r="G8" s="3" t="s">
        <v>184</v>
      </c>
      <c r="H8" s="37">
        <f>D58</f>
        <v>724.92821680248778</v>
      </c>
      <c r="I8" s="3" t="s">
        <v>19</v>
      </c>
      <c r="U8" s="6">
        <v>5.8</v>
      </c>
      <c r="V8" s="6">
        <f t="shared" si="0"/>
        <v>415.99999999999989</v>
      </c>
      <c r="W8" s="6">
        <v>520</v>
      </c>
    </row>
    <row r="9" spans="1:25" x14ac:dyDescent="0.3">
      <c r="A9" s="2">
        <v>7</v>
      </c>
      <c r="B9" s="5" t="s">
        <v>49</v>
      </c>
      <c r="C9" s="2" t="s">
        <v>5</v>
      </c>
      <c r="D9" s="6">
        <f>VLOOKUP(D$3,U18:Y24,5,FALSE)</f>
        <v>490</v>
      </c>
      <c r="E9" s="6" t="s">
        <v>7</v>
      </c>
      <c r="F9" s="6"/>
      <c r="U9" s="6">
        <v>6.8</v>
      </c>
      <c r="V9" s="6">
        <f t="shared" si="0"/>
        <v>479.99999999999989</v>
      </c>
      <c r="W9" s="6">
        <v>600</v>
      </c>
    </row>
    <row r="10" spans="1:25" x14ac:dyDescent="0.3">
      <c r="A10" s="2">
        <v>8</v>
      </c>
      <c r="B10" s="5" t="s">
        <v>50</v>
      </c>
      <c r="C10" s="2" t="s">
        <v>6</v>
      </c>
      <c r="D10" s="48">
        <v>210000</v>
      </c>
      <c r="E10" s="6" t="s">
        <v>7</v>
      </c>
      <c r="F10" s="6"/>
      <c r="U10" s="6">
        <v>8.8000000000000007</v>
      </c>
      <c r="V10" s="6">
        <v>640</v>
      </c>
      <c r="W10" s="6">
        <v>800</v>
      </c>
      <c r="X10" s="3" t="s">
        <v>209</v>
      </c>
    </row>
    <row r="11" spans="1:25" x14ac:dyDescent="0.3">
      <c r="A11" s="2">
        <v>9</v>
      </c>
      <c r="B11" s="5" t="s">
        <v>10</v>
      </c>
      <c r="C11" s="2" t="s">
        <v>51</v>
      </c>
      <c r="D11" s="12">
        <f>PI()*(D5^2-D6^2)/4</f>
        <v>2278.3458242363904</v>
      </c>
      <c r="E11" s="6" t="s">
        <v>11</v>
      </c>
      <c r="F11" s="6"/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>
        <v>6</v>
      </c>
      <c r="U11" s="6">
        <v>8.8000000000000007</v>
      </c>
      <c r="V11" s="6">
        <v>660</v>
      </c>
      <c r="W11" s="6">
        <v>830</v>
      </c>
      <c r="X11" s="3" t="s">
        <v>210</v>
      </c>
    </row>
    <row r="12" spans="1:25" x14ac:dyDescent="0.3">
      <c r="A12" s="30"/>
      <c r="B12" s="31"/>
      <c r="C12" s="30"/>
      <c r="D12" s="32"/>
      <c r="E12" s="32"/>
      <c r="F12" s="32"/>
      <c r="H12" s="80"/>
      <c r="I12" s="80" t="s">
        <v>293</v>
      </c>
      <c r="J12" s="80" t="s">
        <v>311</v>
      </c>
      <c r="K12" s="80" t="s">
        <v>292</v>
      </c>
      <c r="L12" s="80" t="s">
        <v>108</v>
      </c>
      <c r="M12" s="80" t="s">
        <v>312</v>
      </c>
      <c r="N12" s="80" t="s">
        <v>319</v>
      </c>
      <c r="O12" s="80" t="s">
        <v>318</v>
      </c>
      <c r="P12" s="80" t="s">
        <v>128</v>
      </c>
      <c r="Q12" s="80" t="s">
        <v>17</v>
      </c>
      <c r="R12" s="80" t="s">
        <v>291</v>
      </c>
      <c r="S12" s="80" t="s">
        <v>184</v>
      </c>
      <c r="U12" s="6">
        <v>9.8000000000000007</v>
      </c>
      <c r="V12" s="6">
        <v>720</v>
      </c>
      <c r="W12" s="6">
        <v>900</v>
      </c>
    </row>
    <row r="13" spans="1:25" x14ac:dyDescent="0.3">
      <c r="H13" s="80"/>
      <c r="I13" s="80" t="s">
        <v>313</v>
      </c>
      <c r="J13" s="80" t="s">
        <v>8</v>
      </c>
      <c r="K13" s="80" t="s">
        <v>8</v>
      </c>
      <c r="L13" s="80" t="s">
        <v>8</v>
      </c>
      <c r="M13" s="80" t="s">
        <v>22</v>
      </c>
      <c r="N13" s="80" t="s">
        <v>11</v>
      </c>
      <c r="O13" s="80" t="s">
        <v>317</v>
      </c>
      <c r="P13" s="80" t="s">
        <v>16</v>
      </c>
      <c r="Q13" s="80" t="s">
        <v>19</v>
      </c>
      <c r="R13" s="80" t="s">
        <v>19</v>
      </c>
      <c r="S13" s="80" t="s">
        <v>19</v>
      </c>
      <c r="U13" s="6">
        <v>10.9</v>
      </c>
      <c r="V13" s="6">
        <v>940</v>
      </c>
      <c r="W13" s="6">
        <v>1040</v>
      </c>
    </row>
    <row r="14" spans="1:25" x14ac:dyDescent="0.3">
      <c r="A14" s="430" t="s">
        <v>9</v>
      </c>
      <c r="B14" s="431"/>
      <c r="C14" s="431"/>
      <c r="D14" s="431"/>
      <c r="E14" s="431"/>
      <c r="F14" s="432"/>
      <c r="H14" s="6">
        <v>1</v>
      </c>
      <c r="I14" s="6" t="s">
        <v>102</v>
      </c>
      <c r="J14" s="6">
        <v>76.099999999999994</v>
      </c>
      <c r="K14" s="6">
        <v>68.900000000000006</v>
      </c>
      <c r="L14" s="6">
        <v>3.6</v>
      </c>
      <c r="M14" s="6">
        <v>1</v>
      </c>
      <c r="N14" s="10">
        <v>819.95568258693459</v>
      </c>
      <c r="O14" s="10">
        <v>6.4366521083074364</v>
      </c>
      <c r="P14" s="10">
        <v>5.4193580412807281</v>
      </c>
      <c r="Q14" s="10">
        <v>95.892631073585861</v>
      </c>
      <c r="R14" s="10">
        <v>260.89498991402462</v>
      </c>
      <c r="S14" s="10">
        <v>260.89498991402462</v>
      </c>
      <c r="U14" s="6">
        <v>12.9</v>
      </c>
      <c r="V14" s="6">
        <v>1100</v>
      </c>
      <c r="W14" s="6">
        <v>1220</v>
      </c>
    </row>
    <row r="15" spans="1:25" x14ac:dyDescent="0.3">
      <c r="A15" s="29" t="s">
        <v>74</v>
      </c>
      <c r="B15" s="4" t="s">
        <v>35</v>
      </c>
      <c r="C15" s="4" t="s">
        <v>36</v>
      </c>
      <c r="D15" s="13" t="s">
        <v>37</v>
      </c>
      <c r="E15" s="13" t="s">
        <v>38</v>
      </c>
      <c r="F15" s="13" t="s">
        <v>39</v>
      </c>
      <c r="H15" s="6">
        <v>2</v>
      </c>
      <c r="I15" s="6" t="s">
        <v>103</v>
      </c>
      <c r="J15" s="6">
        <v>139.69999999999999</v>
      </c>
      <c r="K15" s="6">
        <v>128.89999999999998</v>
      </c>
      <c r="L15" s="6">
        <v>5.4</v>
      </c>
      <c r="M15" s="6">
        <v>1</v>
      </c>
      <c r="N15" s="10">
        <v>2278.3458242363904</v>
      </c>
      <c r="O15" s="10">
        <v>17.885014720255665</v>
      </c>
      <c r="P15" s="10">
        <v>28.123764008327544</v>
      </c>
      <c r="Q15" s="10">
        <v>266.44924868653669</v>
      </c>
      <c r="R15" s="10">
        <v>724.9282168024879</v>
      </c>
      <c r="S15" s="10">
        <v>724.92821680248778</v>
      </c>
    </row>
    <row r="16" spans="1:25" x14ac:dyDescent="0.3">
      <c r="A16" s="2">
        <v>1</v>
      </c>
      <c r="B16" s="6" t="s">
        <v>52</v>
      </c>
      <c r="C16" s="2" t="s">
        <v>12</v>
      </c>
      <c r="D16" s="8">
        <f>PI()*(D5^4-(D6)^4)/64</f>
        <v>5144974.7799520157</v>
      </c>
      <c r="E16" s="6" t="s">
        <v>13</v>
      </c>
      <c r="F16" s="6"/>
      <c r="U16" s="4" t="s">
        <v>211</v>
      </c>
      <c r="V16" s="430" t="s">
        <v>219</v>
      </c>
      <c r="W16" s="431"/>
      <c r="X16" s="432"/>
      <c r="Y16" s="4" t="s">
        <v>220</v>
      </c>
    </row>
    <row r="17" spans="1:25" ht="28.8" x14ac:dyDescent="0.3">
      <c r="A17" s="2">
        <v>2</v>
      </c>
      <c r="B17" s="9" t="s">
        <v>14</v>
      </c>
      <c r="C17" s="16" t="s">
        <v>53</v>
      </c>
      <c r="D17" s="8">
        <f>D16/(D5/2)</f>
        <v>73657.477164667376</v>
      </c>
      <c r="E17" s="6" t="s">
        <v>15</v>
      </c>
      <c r="F17" s="8"/>
      <c r="G17"/>
      <c r="U17" s="4"/>
      <c r="V17" s="4" t="s">
        <v>216</v>
      </c>
      <c r="W17" s="4" t="s">
        <v>217</v>
      </c>
      <c r="X17" s="4" t="s">
        <v>218</v>
      </c>
      <c r="Y17" s="4"/>
    </row>
    <row r="18" spans="1:25" ht="28.8" x14ac:dyDescent="0.3">
      <c r="A18" s="2">
        <v>3</v>
      </c>
      <c r="B18" s="9" t="s">
        <v>54</v>
      </c>
      <c r="C18" s="16" t="s">
        <v>55</v>
      </c>
      <c r="D18" s="6">
        <f>(D5^3-D6^3)/6</f>
        <v>97449.533999999985</v>
      </c>
      <c r="E18" s="6" t="s">
        <v>15</v>
      </c>
      <c r="F18" s="6"/>
      <c r="U18" s="6" t="s">
        <v>212</v>
      </c>
      <c r="V18" s="6">
        <v>165</v>
      </c>
      <c r="W18" s="6">
        <v>165</v>
      </c>
      <c r="X18" s="6">
        <v>165</v>
      </c>
      <c r="Y18" s="6">
        <v>290</v>
      </c>
    </row>
    <row r="19" spans="1:25" x14ac:dyDescent="0.3">
      <c r="A19" s="2">
        <v>4</v>
      </c>
      <c r="B19" s="9" t="s">
        <v>56</v>
      </c>
      <c r="C19" s="16" t="s">
        <v>44</v>
      </c>
      <c r="D19" s="47">
        <f>D18/D17</f>
        <v>1.3230093909155143</v>
      </c>
      <c r="E19" s="6"/>
      <c r="F19" s="6"/>
      <c r="U19" s="6" t="s">
        <v>213</v>
      </c>
      <c r="V19" s="6">
        <v>250</v>
      </c>
      <c r="W19" s="6">
        <v>240</v>
      </c>
      <c r="X19" s="6">
        <v>230</v>
      </c>
      <c r="Y19" s="6">
        <v>410</v>
      </c>
    </row>
    <row r="20" spans="1:25" x14ac:dyDescent="0.3">
      <c r="A20" s="2">
        <v>5</v>
      </c>
      <c r="B20" s="9" t="s">
        <v>57</v>
      </c>
      <c r="C20" s="16" t="s">
        <v>58</v>
      </c>
      <c r="D20" s="47">
        <f>SQRT(D16/$D$11)</f>
        <v>47.520587643672911</v>
      </c>
      <c r="E20" s="6" t="s">
        <v>8</v>
      </c>
      <c r="F20" s="6"/>
      <c r="U20" s="6" t="s">
        <v>214</v>
      </c>
      <c r="V20" s="6">
        <v>300</v>
      </c>
      <c r="W20" s="6">
        <v>290</v>
      </c>
      <c r="X20" s="6">
        <v>280</v>
      </c>
      <c r="Y20" s="6">
        <v>440</v>
      </c>
    </row>
    <row r="21" spans="1:25" x14ac:dyDescent="0.3">
      <c r="A21" s="2">
        <v>6</v>
      </c>
      <c r="B21" s="9" t="s">
        <v>59</v>
      </c>
      <c r="C21" s="16" t="s">
        <v>60</v>
      </c>
      <c r="D21" s="10">
        <f>D18*$D$8/(1.1*1000^2)</f>
        <v>31.006669909090903</v>
      </c>
      <c r="E21" s="6" t="s">
        <v>16</v>
      </c>
      <c r="F21" s="6"/>
      <c r="U21" s="6" t="s">
        <v>107</v>
      </c>
      <c r="V21" s="6">
        <v>350</v>
      </c>
      <c r="W21" s="6">
        <v>330</v>
      </c>
      <c r="X21" s="6">
        <v>320</v>
      </c>
      <c r="Y21" s="6">
        <v>490</v>
      </c>
    </row>
    <row r="22" spans="1:25" x14ac:dyDescent="0.3">
      <c r="A22" s="2"/>
      <c r="B22" s="9"/>
      <c r="C22" s="16"/>
      <c r="D22" s="10"/>
      <c r="E22" s="6"/>
      <c r="F22" s="6"/>
      <c r="U22" s="6" t="s">
        <v>215</v>
      </c>
      <c r="V22" s="6">
        <v>410</v>
      </c>
      <c r="W22" s="6">
        <v>390</v>
      </c>
      <c r="X22" s="6">
        <v>380</v>
      </c>
      <c r="Y22" s="6">
        <v>540</v>
      </c>
    </row>
    <row r="23" spans="1:25" x14ac:dyDescent="0.3">
      <c r="A23" s="2">
        <v>7</v>
      </c>
      <c r="B23" s="17" t="s">
        <v>72</v>
      </c>
      <c r="C23" s="16"/>
      <c r="D23" s="6"/>
      <c r="E23" s="6"/>
      <c r="F23" s="6" t="s">
        <v>71</v>
      </c>
      <c r="H23" s="3">
        <f>SQRT(D5^2+D6^2)/4</f>
        <v>47.520587643672918</v>
      </c>
      <c r="U23" s="6" t="s">
        <v>221</v>
      </c>
      <c r="V23" s="6">
        <v>450</v>
      </c>
      <c r="W23" s="6">
        <v>430</v>
      </c>
      <c r="X23" s="6">
        <v>420</v>
      </c>
      <c r="Y23" s="6">
        <v>570</v>
      </c>
    </row>
    <row r="24" spans="1:25" x14ac:dyDescent="0.3">
      <c r="A24" s="2"/>
      <c r="B24" s="14" t="s">
        <v>18</v>
      </c>
      <c r="C24" s="16"/>
      <c r="D24" s="6" t="s">
        <v>95</v>
      </c>
      <c r="E24" s="6"/>
      <c r="F24" s="6"/>
      <c r="U24" s="6" t="s">
        <v>222</v>
      </c>
      <c r="V24" s="6">
        <v>450</v>
      </c>
      <c r="W24" s="6">
        <v>430</v>
      </c>
      <c r="X24" s="6">
        <v>420</v>
      </c>
      <c r="Y24" s="6">
        <v>590</v>
      </c>
    </row>
    <row r="25" spans="1:25" x14ac:dyDescent="0.3">
      <c r="A25" s="2"/>
      <c r="B25" s="15"/>
      <c r="C25" s="2"/>
      <c r="D25" s="12">
        <f>2*D11/PI()</f>
        <v>1450.4400000000005</v>
      </c>
      <c r="E25" s="6" t="s">
        <v>11</v>
      </c>
      <c r="F25" s="6"/>
    </row>
    <row r="26" spans="1:25" x14ac:dyDescent="0.3">
      <c r="A26" s="2"/>
      <c r="B26" s="14" t="s">
        <v>17</v>
      </c>
      <c r="C26" s="16" t="s">
        <v>32</v>
      </c>
      <c r="D26" s="12">
        <f>D25*$D$8/(SQRT(3)*1.1*1000)</f>
        <v>266.44924868653669</v>
      </c>
      <c r="E26" s="6" t="s">
        <v>19</v>
      </c>
      <c r="F26" s="6"/>
    </row>
    <row r="27" spans="1:25" ht="28.8" x14ac:dyDescent="0.3">
      <c r="A27" s="2"/>
      <c r="B27" s="18" t="s">
        <v>34</v>
      </c>
      <c r="C27" s="19" t="s">
        <v>61</v>
      </c>
      <c r="D27" s="34">
        <f>D26</f>
        <v>266.44924868653669</v>
      </c>
      <c r="E27" s="4" t="s">
        <v>19</v>
      </c>
      <c r="F27" s="6"/>
    </row>
    <row r="28" spans="1:25" x14ac:dyDescent="0.3">
      <c r="A28" s="2"/>
      <c r="B28" s="6"/>
      <c r="C28" s="2"/>
      <c r="D28" s="6"/>
      <c r="E28" s="6"/>
      <c r="F28" s="6"/>
    </row>
    <row r="29" spans="1:25" x14ac:dyDescent="0.3">
      <c r="A29" s="2">
        <v>8</v>
      </c>
      <c r="B29" s="17" t="s">
        <v>20</v>
      </c>
      <c r="C29" s="16"/>
      <c r="D29" s="6"/>
      <c r="E29" s="6"/>
      <c r="F29" s="6"/>
    </row>
    <row r="30" spans="1:25" x14ac:dyDescent="0.3">
      <c r="A30" s="2"/>
      <c r="B30" s="14" t="s">
        <v>62</v>
      </c>
      <c r="C30" s="16" t="s">
        <v>25</v>
      </c>
      <c r="D30" s="35">
        <f>IF(OR(D94=1,D94=2),1,IF(D94=3,1/D19,0))</f>
        <v>1</v>
      </c>
      <c r="E30" s="6"/>
      <c r="F30" s="6"/>
    </row>
    <row r="31" spans="1:25" ht="43.2" x14ac:dyDescent="0.3">
      <c r="A31" s="2"/>
      <c r="B31" s="14" t="s">
        <v>63</v>
      </c>
      <c r="C31" s="16" t="s">
        <v>23</v>
      </c>
      <c r="D31" s="12">
        <f>(1.1*PI()^2*D10/(D4*1000/D20)^2)*SQRT(1+(1/20)*((D4*1000/D20)/((D5-D7)/D7))^2)</f>
        <v>5239.7742089690246</v>
      </c>
      <c r="E31" s="6" t="s">
        <v>7</v>
      </c>
      <c r="F31" s="6"/>
    </row>
    <row r="32" spans="1:25" ht="28.8" x14ac:dyDescent="0.3">
      <c r="A32" s="2"/>
      <c r="B32" s="14" t="s">
        <v>64</v>
      </c>
      <c r="C32" s="16" t="s">
        <v>24</v>
      </c>
      <c r="D32" s="12">
        <f>D30*(D18)*D31/1000^2</f>
        <v>510.61355492925003</v>
      </c>
      <c r="E32" s="6" t="s">
        <v>16</v>
      </c>
      <c r="F32" s="6"/>
    </row>
    <row r="33" spans="1:6" ht="28.8" x14ac:dyDescent="0.3">
      <c r="A33" s="2"/>
      <c r="B33" s="14" t="s">
        <v>65</v>
      </c>
      <c r="C33" s="16" t="s">
        <v>26</v>
      </c>
      <c r="D33" s="10">
        <f>SQRT($D$8/D31)</f>
        <v>0.2584507136678032</v>
      </c>
      <c r="E33" s="10"/>
      <c r="F33" s="6"/>
    </row>
    <row r="34" spans="1:6" ht="57.6" x14ac:dyDescent="0.3">
      <c r="A34" s="2"/>
      <c r="B34" s="14" t="s">
        <v>66</v>
      </c>
      <c r="C34" s="16" t="s">
        <v>28</v>
      </c>
      <c r="D34" s="6">
        <v>0.21</v>
      </c>
      <c r="E34" s="6"/>
      <c r="F34" s="9" t="s">
        <v>100</v>
      </c>
    </row>
    <row r="35" spans="1:6" x14ac:dyDescent="0.3">
      <c r="A35" s="2"/>
      <c r="B35" s="15"/>
      <c r="C35" s="16" t="s">
        <v>27</v>
      </c>
      <c r="D35" s="10">
        <f>0.5*(1+D34*(D33-0.2)+D33^2)</f>
        <v>0.53953571063281769</v>
      </c>
      <c r="E35" s="6"/>
      <c r="F35" s="6"/>
    </row>
    <row r="36" spans="1:6" ht="57.6" x14ac:dyDescent="0.3">
      <c r="A36" s="2"/>
      <c r="B36" s="14" t="s">
        <v>67</v>
      </c>
      <c r="C36" s="16" t="s">
        <v>29</v>
      </c>
      <c r="D36" s="10">
        <f>1/(D35+(D35^2-D33^2)^0.5)</f>
        <v>0.98702940332867595</v>
      </c>
      <c r="E36" s="6"/>
      <c r="F36" s="6"/>
    </row>
    <row r="37" spans="1:6" x14ac:dyDescent="0.3">
      <c r="A37" s="2"/>
      <c r="B37" s="14"/>
      <c r="C37" s="16"/>
      <c r="D37" s="10">
        <f>IF(D36&gt;1,1,D36)</f>
        <v>0.98702940332867595</v>
      </c>
      <c r="E37" s="6"/>
      <c r="F37" s="6"/>
    </row>
    <row r="38" spans="1:6" ht="43.2" x14ac:dyDescent="0.3">
      <c r="A38" s="2"/>
      <c r="B38" s="14" t="s">
        <v>68</v>
      </c>
      <c r="C38" s="16" t="s">
        <v>30</v>
      </c>
      <c r="D38" s="12">
        <f>D37*$D$8/1.1</f>
        <v>314.05481015003323</v>
      </c>
      <c r="E38" s="6" t="s">
        <v>7</v>
      </c>
      <c r="F38" s="6"/>
    </row>
    <row r="39" spans="1:6" x14ac:dyDescent="0.3">
      <c r="A39" s="2"/>
      <c r="B39" s="14" t="s">
        <v>69</v>
      </c>
      <c r="C39" s="16" t="s">
        <v>31</v>
      </c>
      <c r="D39" s="12">
        <f>D30*D18*D38/1000^2</f>
        <v>30.604494899579205</v>
      </c>
      <c r="E39" s="6" t="s">
        <v>16</v>
      </c>
      <c r="F39" s="6"/>
    </row>
    <row r="40" spans="1:6" ht="28.8" x14ac:dyDescent="0.3">
      <c r="A40" s="2"/>
      <c r="B40" s="11" t="s">
        <v>96</v>
      </c>
      <c r="C40" s="16"/>
      <c r="D40" s="12"/>
      <c r="E40" s="6"/>
      <c r="F40" s="6"/>
    </row>
    <row r="41" spans="1:6" x14ac:dyDescent="0.3">
      <c r="A41" s="2"/>
      <c r="B41" s="14" t="s">
        <v>69</v>
      </c>
      <c r="C41" s="16" t="s">
        <v>31</v>
      </c>
      <c r="D41" s="12">
        <f>D30*D18*$D$8/(1.1*1000^2)</f>
        <v>31.006669909090903</v>
      </c>
      <c r="E41" s="6" t="s">
        <v>16</v>
      </c>
      <c r="F41" s="6"/>
    </row>
    <row r="42" spans="1:6" ht="43.2" x14ac:dyDescent="0.3">
      <c r="A42" s="2"/>
      <c r="B42" s="14" t="s">
        <v>97</v>
      </c>
      <c r="C42" s="16" t="s">
        <v>99</v>
      </c>
      <c r="D42" s="10">
        <f>1.2*D17*$D$8/(1.1*1000^2)</f>
        <v>28.123764008327544</v>
      </c>
      <c r="E42" s="6" t="s">
        <v>16</v>
      </c>
      <c r="F42" s="9" t="s">
        <v>98</v>
      </c>
    </row>
    <row r="43" spans="1:6" ht="28.8" x14ac:dyDescent="0.3">
      <c r="A43" s="2"/>
      <c r="B43" s="18" t="s">
        <v>33</v>
      </c>
      <c r="C43" s="19" t="s">
        <v>70</v>
      </c>
      <c r="D43" s="34">
        <f>MIN(D42,D41,D39)</f>
        <v>28.123764008327544</v>
      </c>
      <c r="E43" s="4" t="s">
        <v>16</v>
      </c>
      <c r="F43" s="6"/>
    </row>
    <row r="45" spans="1:6" x14ac:dyDescent="0.3">
      <c r="A45" s="23">
        <v>9</v>
      </c>
      <c r="B45" s="24" t="s">
        <v>183</v>
      </c>
    </row>
    <row r="46" spans="1:6" x14ac:dyDescent="0.3">
      <c r="B46" s="41" t="s">
        <v>192</v>
      </c>
    </row>
    <row r="47" spans="1:6" x14ac:dyDescent="0.3">
      <c r="B47" s="43" t="s">
        <v>187</v>
      </c>
      <c r="C47" s="1" t="s">
        <v>188</v>
      </c>
      <c r="D47" s="3">
        <v>0.65</v>
      </c>
    </row>
    <row r="48" spans="1:6" x14ac:dyDescent="0.3">
      <c r="B48" s="43" t="s">
        <v>21</v>
      </c>
      <c r="C48" s="1" t="s">
        <v>40</v>
      </c>
      <c r="D48" s="22">
        <f>D4</f>
        <v>1</v>
      </c>
      <c r="E48" s="3" t="s">
        <v>22</v>
      </c>
    </row>
    <row r="49" spans="1:7" x14ac:dyDescent="0.3">
      <c r="B49" s="43" t="s">
        <v>189</v>
      </c>
      <c r="C49" s="1" t="s">
        <v>58</v>
      </c>
      <c r="D49" s="22">
        <f>D20</f>
        <v>47.520587643672911</v>
      </c>
      <c r="E49" s="3" t="s">
        <v>8</v>
      </c>
    </row>
    <row r="50" spans="1:7" x14ac:dyDescent="0.3">
      <c r="B50" s="43" t="s">
        <v>190</v>
      </c>
      <c r="C50" s="1" t="s">
        <v>191</v>
      </c>
      <c r="D50" s="38">
        <f>D47*D48*1000/D49</f>
        <v>13.678282029547749</v>
      </c>
    </row>
    <row r="51" spans="1:7" x14ac:dyDescent="0.3">
      <c r="B51" s="41" t="s">
        <v>193</v>
      </c>
      <c r="C51" s="1" t="s">
        <v>194</v>
      </c>
      <c r="D51" s="49">
        <f>PI()^2*$D$10/D50^2</f>
        <v>11077.861519879696</v>
      </c>
      <c r="E51" s="3" t="s">
        <v>7</v>
      </c>
    </row>
    <row r="52" spans="1:7" ht="28.8" x14ac:dyDescent="0.3">
      <c r="B52" s="42" t="s">
        <v>196</v>
      </c>
      <c r="C52" s="1" t="s">
        <v>195</v>
      </c>
      <c r="D52" s="22">
        <f>SQRT($D$8/D51)</f>
        <v>0.17774854574684093</v>
      </c>
      <c r="E52" s="3" t="s">
        <v>7</v>
      </c>
    </row>
    <row r="53" spans="1:7" x14ac:dyDescent="0.3">
      <c r="B53" s="41" t="s">
        <v>198</v>
      </c>
      <c r="C53" s="1" t="s">
        <v>154</v>
      </c>
      <c r="D53" s="3">
        <f>VLOOKUP($F$53,$M$67:$N$70,2,FALSE)</f>
        <v>0.21</v>
      </c>
      <c r="F53" s="3" t="s">
        <v>154</v>
      </c>
      <c r="G53" s="3" t="s">
        <v>206</v>
      </c>
    </row>
    <row r="54" spans="1:7" x14ac:dyDescent="0.3">
      <c r="B54" s="41"/>
      <c r="C54" s="1" t="s">
        <v>197</v>
      </c>
      <c r="D54" s="22">
        <f>0.5*(1+D53*(D52-0.2)+D52^2)</f>
        <v>0.51346087006097674</v>
      </c>
    </row>
    <row r="55" spans="1:7" x14ac:dyDescent="0.3">
      <c r="B55" s="3" t="s">
        <v>203</v>
      </c>
      <c r="C55" s="1" t="s">
        <v>204</v>
      </c>
      <c r="D55" s="22">
        <f>($D$8/1.1)/(D54+(D54^2-D52^2)^0.5)</f>
        <v>319.72481678052941</v>
      </c>
      <c r="E55" s="3" t="s">
        <v>7</v>
      </c>
      <c r="F55" s="3" t="str">
        <f>"&lt;="&amp;TRUNC(D6/1.1,2)</f>
        <v>&lt;=117.18</v>
      </c>
    </row>
    <row r="56" spans="1:7" x14ac:dyDescent="0.3">
      <c r="D56" s="22">
        <f>MIN(($D$8/1.1),D55)</f>
        <v>318.18181818181813</v>
      </c>
      <c r="E56" s="3" t="s">
        <v>7</v>
      </c>
    </row>
    <row r="57" spans="1:7" x14ac:dyDescent="0.3">
      <c r="C57" s="3"/>
      <c r="D57" s="38">
        <f>D56*$D$11/1000</f>
        <v>724.92821680248778</v>
      </c>
      <c r="E57" s="39" t="s">
        <v>19</v>
      </c>
    </row>
    <row r="58" spans="1:7" x14ac:dyDescent="0.3">
      <c r="B58" s="24" t="s">
        <v>205</v>
      </c>
      <c r="C58" s="23" t="s">
        <v>186</v>
      </c>
      <c r="D58" s="40">
        <f>D57</f>
        <v>724.92821680248778</v>
      </c>
      <c r="E58" s="24" t="s">
        <v>19</v>
      </c>
    </row>
    <row r="60" spans="1:7" x14ac:dyDescent="0.3">
      <c r="A60" s="23">
        <v>10</v>
      </c>
      <c r="B60" s="24" t="s">
        <v>151</v>
      </c>
    </row>
    <row r="61" spans="1:7" ht="78" x14ac:dyDescent="0.3">
      <c r="B61" s="72" t="s">
        <v>283</v>
      </c>
      <c r="C61" s="73" t="s">
        <v>284</v>
      </c>
      <c r="D61" s="73" t="s">
        <v>19</v>
      </c>
      <c r="E61" s="74" t="s">
        <v>289</v>
      </c>
    </row>
    <row r="62" spans="1:7" ht="15.6" x14ac:dyDescent="0.3">
      <c r="B62" s="72"/>
      <c r="C62" s="73" t="s">
        <v>284</v>
      </c>
      <c r="D62" s="73" t="s">
        <v>19</v>
      </c>
      <c r="E62" s="74">
        <f>D11*D8/1.1/1000</f>
        <v>724.9282168024879</v>
      </c>
    </row>
    <row r="63" spans="1:7" ht="93.6" x14ac:dyDescent="0.3">
      <c r="B63" s="72" t="s">
        <v>285</v>
      </c>
      <c r="C63" s="73" t="s">
        <v>286</v>
      </c>
      <c r="D63" s="73" t="s">
        <v>19</v>
      </c>
      <c r="E63" s="74" t="s">
        <v>290</v>
      </c>
    </row>
    <row r="64" spans="1:7" ht="15.6" x14ac:dyDescent="0.3">
      <c r="B64" s="72"/>
      <c r="C64" s="73" t="s">
        <v>286</v>
      </c>
      <c r="D64" s="73" t="s">
        <v>19</v>
      </c>
      <c r="E64" s="74">
        <f>0.9*D11*D9/1.25/1000</f>
        <v>803.80040679059857</v>
      </c>
    </row>
    <row r="65" spans="2:14" ht="31.2" x14ac:dyDescent="0.3">
      <c r="B65" s="72" t="s">
        <v>287</v>
      </c>
      <c r="C65" s="73" t="s">
        <v>185</v>
      </c>
      <c r="D65" s="73" t="s">
        <v>19</v>
      </c>
      <c r="E65" s="74" t="s">
        <v>288</v>
      </c>
      <c r="M65" s="433" t="s">
        <v>199</v>
      </c>
      <c r="N65" s="433"/>
    </row>
    <row r="66" spans="2:14" ht="46.8" x14ac:dyDescent="0.3">
      <c r="B66" s="75" t="s">
        <v>287</v>
      </c>
      <c r="C66" s="76" t="s">
        <v>185</v>
      </c>
      <c r="D66" s="76" t="s">
        <v>19</v>
      </c>
      <c r="E66" s="77">
        <f>MIN(E62,E64)</f>
        <v>724.9282168024879</v>
      </c>
      <c r="M66" s="4" t="s">
        <v>200</v>
      </c>
      <c r="N66" s="4" t="s">
        <v>201</v>
      </c>
    </row>
    <row r="67" spans="2:14" x14ac:dyDescent="0.3">
      <c r="M67" s="6" t="s">
        <v>154</v>
      </c>
      <c r="N67" s="6">
        <v>0.21</v>
      </c>
    </row>
    <row r="68" spans="2:14" x14ac:dyDescent="0.3">
      <c r="M68" s="6" t="s">
        <v>78</v>
      </c>
      <c r="N68" s="6">
        <v>0.34</v>
      </c>
    </row>
    <row r="69" spans="2:14" x14ac:dyDescent="0.3">
      <c r="M69" s="6" t="s">
        <v>202</v>
      </c>
      <c r="N69" s="6">
        <v>0.49</v>
      </c>
    </row>
    <row r="70" spans="2:14" x14ac:dyDescent="0.3">
      <c r="M70" s="6" t="s">
        <v>77</v>
      </c>
      <c r="N70" s="6">
        <v>0.76</v>
      </c>
    </row>
    <row r="83" spans="1:4" x14ac:dyDescent="0.3">
      <c r="A83" s="2" t="s">
        <v>41</v>
      </c>
      <c r="B83" s="6">
        <f>D5</f>
        <v>139.69999999999999</v>
      </c>
      <c r="C83" s="2" t="s">
        <v>8</v>
      </c>
    </row>
    <row r="84" spans="1:4" x14ac:dyDescent="0.3">
      <c r="A84" s="2" t="s">
        <v>43</v>
      </c>
      <c r="B84" s="6">
        <f>D7</f>
        <v>5.4</v>
      </c>
      <c r="C84" s="2" t="s">
        <v>8</v>
      </c>
    </row>
    <row r="87" spans="1:4" x14ac:dyDescent="0.3">
      <c r="A87" s="2" t="s">
        <v>86</v>
      </c>
      <c r="B87" s="10">
        <f>(250/D8)^0.5</f>
        <v>0.84515425472851657</v>
      </c>
      <c r="C87" s="2"/>
      <c r="D87" s="6"/>
    </row>
    <row r="88" spans="1:4" x14ac:dyDescent="0.3">
      <c r="A88" s="13" t="s">
        <v>79</v>
      </c>
      <c r="B88" s="4" t="s">
        <v>80</v>
      </c>
      <c r="C88" s="13" t="s">
        <v>81</v>
      </c>
      <c r="D88" s="4" t="s">
        <v>82</v>
      </c>
    </row>
    <row r="89" spans="1:4" x14ac:dyDescent="0.3">
      <c r="A89" s="13"/>
      <c r="B89" s="4" t="s">
        <v>83</v>
      </c>
      <c r="C89" s="13" t="s">
        <v>84</v>
      </c>
      <c r="D89" s="4" t="s">
        <v>85</v>
      </c>
    </row>
    <row r="90" spans="1:4" x14ac:dyDescent="0.3">
      <c r="A90" s="2" t="s">
        <v>89</v>
      </c>
      <c r="B90" s="6" t="s">
        <v>90</v>
      </c>
      <c r="C90" s="2" t="s">
        <v>92</v>
      </c>
      <c r="D90" s="6" t="s">
        <v>91</v>
      </c>
    </row>
    <row r="91" spans="1:4" x14ac:dyDescent="0.3">
      <c r="A91" s="2"/>
      <c r="B91" s="25">
        <f>42*B87^2</f>
        <v>30</v>
      </c>
      <c r="C91" s="28">
        <f>52*B87^2</f>
        <v>37.142857142857146</v>
      </c>
      <c r="D91" s="25">
        <f>146*B87^2</f>
        <v>104.28571428571429</v>
      </c>
    </row>
    <row r="93" spans="1:4" x14ac:dyDescent="0.3">
      <c r="A93" s="2"/>
      <c r="B93" s="25"/>
      <c r="C93" s="26" t="s">
        <v>88</v>
      </c>
      <c r="D93" s="27" t="s">
        <v>87</v>
      </c>
    </row>
    <row r="94" spans="1:4" x14ac:dyDescent="0.3">
      <c r="A94" s="2" t="s">
        <v>89</v>
      </c>
      <c r="B94" s="25">
        <f>B83/B84</f>
        <v>25.870370370370367</v>
      </c>
      <c r="C94" s="2" t="str">
        <f>IF(B94&lt;=B91,"Plastic",IF(B94&lt;=C91,"Compact",IF(B94&lt;=D91,"Semi-compact","Slender")))</f>
        <v>Plastic</v>
      </c>
      <c r="D94" s="6">
        <f>IF(B94&lt;=B91,1,IF(B94&lt;=C91,2,IF(B94&lt;=D91,3,4)))</f>
        <v>1</v>
      </c>
    </row>
  </sheetData>
  <mergeCells count="4">
    <mergeCell ref="V16:X16"/>
    <mergeCell ref="M65:N65"/>
    <mergeCell ref="A14:F14"/>
    <mergeCell ref="A1:F1"/>
  </mergeCells>
  <dataValidations disablePrompts="1" count="1">
    <dataValidation type="list" allowBlank="1" showInputMessage="1" showErrorMessage="1" sqref="D3" xr:uid="{D04DE981-375E-49AC-A628-314362408C23}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3B9D-4C7B-4647-AA1A-DABB082C2C7F}">
  <dimension ref="A1:BB181"/>
  <sheetViews>
    <sheetView tabSelected="1" zoomScaleNormal="100" zoomScaleSheetLayoutView="50" workbookViewId="0">
      <selection activeCell="F98" sqref="F98"/>
    </sheetView>
  </sheetViews>
  <sheetFormatPr defaultRowHeight="14.4" x14ac:dyDescent="0.3"/>
  <cols>
    <col min="1" max="1" width="5.5546875" style="3" bestFit="1" customWidth="1"/>
    <col min="2" max="2" width="23.88671875" style="3" bestFit="1" customWidth="1"/>
    <col min="3" max="3" width="8.44140625" style="3" bestFit="1" customWidth="1"/>
    <col min="4" max="4" width="17.88671875" style="3" customWidth="1"/>
    <col min="5" max="5" width="7.21875" style="3" bestFit="1" customWidth="1"/>
    <col min="6" max="6" width="19.44140625" style="3" bestFit="1" customWidth="1"/>
    <col min="7" max="10" width="19.44140625" style="3" customWidth="1"/>
    <col min="11" max="11" width="8.88671875" style="3"/>
    <col min="12" max="12" width="11" style="3" bestFit="1" customWidth="1"/>
    <col min="13" max="13" width="14" style="3" customWidth="1"/>
    <col min="14" max="14" width="23.33203125" style="3" bestFit="1" customWidth="1"/>
    <col min="15" max="15" width="28.5546875" style="3" bestFit="1" customWidth="1"/>
    <col min="16" max="16" width="20.77734375" style="3" bestFit="1" customWidth="1"/>
    <col min="17" max="17" width="10.5546875" style="3" bestFit="1" customWidth="1"/>
    <col min="18" max="18" width="10.6640625" style="3" bestFit="1" customWidth="1"/>
    <col min="19" max="19" width="16.21875" style="3" bestFit="1" customWidth="1"/>
    <col min="20" max="20" width="11.44140625" style="3" customWidth="1"/>
    <col min="21" max="21" width="10.5546875" style="3" bestFit="1" customWidth="1"/>
    <col min="22" max="23" width="8.88671875" style="3"/>
    <col min="24" max="24" width="10.5546875" style="3" bestFit="1" customWidth="1"/>
    <col min="25" max="25" width="7.88671875" style="3" bestFit="1" customWidth="1"/>
    <col min="26" max="26" width="11.6640625" style="3" bestFit="1" customWidth="1"/>
    <col min="27" max="27" width="15.6640625" style="3" bestFit="1" customWidth="1"/>
    <col min="28" max="28" width="15.77734375" style="3" bestFit="1" customWidth="1"/>
    <col min="29" max="29" width="13.21875" style="3" bestFit="1" customWidth="1"/>
    <col min="30" max="30" width="18" style="3" bestFit="1" customWidth="1"/>
    <col min="31" max="31" width="9.6640625" style="3" bestFit="1" customWidth="1"/>
    <col min="32" max="32" width="9.88671875" style="3" bestFit="1" customWidth="1"/>
    <col min="33" max="33" width="15.6640625" style="3" bestFit="1" customWidth="1"/>
    <col min="34" max="34" width="11.88671875" style="3" customWidth="1"/>
    <col min="35" max="35" width="10" style="3" customWidth="1"/>
    <col min="36" max="36" width="12.21875" style="3" bestFit="1" customWidth="1"/>
    <col min="37" max="37" width="22.44140625" style="3" bestFit="1" customWidth="1"/>
    <col min="38" max="38" width="10.6640625" style="3" bestFit="1" customWidth="1"/>
    <col min="39" max="40" width="12.21875" style="3" bestFit="1" customWidth="1"/>
    <col min="41" max="41" width="7.44140625" style="3" bestFit="1" customWidth="1"/>
    <col min="42" max="16384" width="8.88671875" style="3"/>
  </cols>
  <sheetData>
    <row r="1" spans="1:41" x14ac:dyDescent="0.3">
      <c r="A1" s="434" t="s">
        <v>342</v>
      </c>
      <c r="B1" s="435"/>
      <c r="C1" s="435"/>
      <c r="D1" s="435"/>
      <c r="E1" s="435"/>
      <c r="F1" s="436"/>
      <c r="G1" s="85"/>
      <c r="H1" s="85"/>
      <c r="I1" s="85"/>
      <c r="J1" s="85"/>
      <c r="X1" s="3">
        <v>1</v>
      </c>
      <c r="Y1" s="3">
        <v>2</v>
      </c>
      <c r="Z1" s="3">
        <v>3</v>
      </c>
      <c r="AA1" s="3">
        <v>4</v>
      </c>
      <c r="AB1" s="3">
        <v>5</v>
      </c>
      <c r="AC1" s="3">
        <v>6</v>
      </c>
      <c r="AD1" s="3">
        <v>7</v>
      </c>
      <c r="AE1" s="3">
        <v>8</v>
      </c>
      <c r="AF1" s="3">
        <v>9</v>
      </c>
      <c r="AG1" s="3">
        <v>10</v>
      </c>
      <c r="AH1" s="3">
        <v>11</v>
      </c>
      <c r="AI1" s="3">
        <v>12</v>
      </c>
      <c r="AJ1" s="3">
        <v>13</v>
      </c>
      <c r="AK1" s="3">
        <v>14</v>
      </c>
      <c r="AL1" s="3">
        <v>15</v>
      </c>
      <c r="AM1" s="3">
        <v>16</v>
      </c>
      <c r="AN1" s="3">
        <v>17</v>
      </c>
      <c r="AO1" s="3">
        <v>18</v>
      </c>
    </row>
    <row r="2" spans="1:41" x14ac:dyDescent="0.3">
      <c r="A2" s="139" t="s">
        <v>74</v>
      </c>
      <c r="B2" s="85" t="s">
        <v>445</v>
      </c>
      <c r="C2" s="85" t="s">
        <v>446</v>
      </c>
      <c r="D2" s="85" t="s">
        <v>447</v>
      </c>
      <c r="E2" s="85" t="s">
        <v>38</v>
      </c>
      <c r="F2" s="140" t="s">
        <v>448</v>
      </c>
      <c r="G2"/>
      <c r="H2" s="361" t="s">
        <v>712</v>
      </c>
      <c r="I2"/>
      <c r="J2"/>
      <c r="M2" s="4"/>
      <c r="N2" s="4" t="s">
        <v>38</v>
      </c>
      <c r="O2" s="4" t="s">
        <v>177</v>
      </c>
      <c r="P2" s="4" t="s">
        <v>179</v>
      </c>
      <c r="Q2" s="4" t="s">
        <v>180</v>
      </c>
      <c r="R2" s="4" t="s">
        <v>181</v>
      </c>
      <c r="X2" s="80"/>
      <c r="Y2" s="80" t="s">
        <v>293</v>
      </c>
      <c r="Z2" s="80" t="s">
        <v>311</v>
      </c>
      <c r="AA2" s="80" t="s">
        <v>292</v>
      </c>
      <c r="AB2" s="80" t="s">
        <v>108</v>
      </c>
      <c r="AC2" s="80" t="s">
        <v>312</v>
      </c>
      <c r="AD2" s="80" t="s">
        <v>128</v>
      </c>
      <c r="AE2" s="80" t="s">
        <v>17</v>
      </c>
      <c r="AF2" s="80" t="s">
        <v>132</v>
      </c>
      <c r="AG2" s="80" t="s">
        <v>315</v>
      </c>
      <c r="AH2" s="80" t="s">
        <v>208</v>
      </c>
      <c r="AI2" s="80" t="s">
        <v>301</v>
      </c>
      <c r="AJ2" s="80" t="s">
        <v>310</v>
      </c>
      <c r="AK2" s="80" t="s">
        <v>361</v>
      </c>
      <c r="AL2" s="80" t="s">
        <v>359</v>
      </c>
      <c r="AM2" s="80" t="s">
        <v>360</v>
      </c>
      <c r="AN2" s="80" t="s">
        <v>424</v>
      </c>
      <c r="AO2" s="80" t="s">
        <v>339</v>
      </c>
    </row>
    <row r="3" spans="1:41" x14ac:dyDescent="0.3">
      <c r="A3" s="169">
        <v>1</v>
      </c>
      <c r="B3" s="170" t="s">
        <v>455</v>
      </c>
      <c r="C3" s="96"/>
      <c r="D3" s="153" t="str">
        <f>VLOOKUP($H$3,$X$4:$AF$5,2,FALSE)</f>
        <v>NB65</v>
      </c>
      <c r="E3" s="96"/>
      <c r="F3" s="97" t="str">
        <f>IF(LEFT(D3,2)="NB","CHS","Box")</f>
        <v>CHS</v>
      </c>
      <c r="G3"/>
      <c r="H3" s="45">
        <v>1</v>
      </c>
      <c r="I3"/>
      <c r="J3"/>
      <c r="M3" s="6" t="s">
        <v>110</v>
      </c>
      <c r="N3" s="6"/>
      <c r="O3" s="6"/>
      <c r="P3" s="6"/>
      <c r="Q3" s="6"/>
      <c r="R3" s="6"/>
      <c r="X3" s="80"/>
      <c r="Y3" s="80" t="s">
        <v>313</v>
      </c>
      <c r="Z3" s="80" t="s">
        <v>8</v>
      </c>
      <c r="AA3" s="80" t="s">
        <v>8</v>
      </c>
      <c r="AB3" s="80" t="s">
        <v>8</v>
      </c>
      <c r="AC3" s="80" t="s">
        <v>22</v>
      </c>
      <c r="AD3" s="80" t="s">
        <v>16</v>
      </c>
      <c r="AE3" s="80" t="s">
        <v>19</v>
      </c>
      <c r="AF3" s="80" t="s">
        <v>19</v>
      </c>
      <c r="AG3" s="80" t="s">
        <v>8</v>
      </c>
      <c r="AH3" s="80"/>
      <c r="AI3" s="80" t="s">
        <v>131</v>
      </c>
      <c r="AJ3" s="80" t="s">
        <v>8</v>
      </c>
      <c r="AK3" s="80" t="s">
        <v>8</v>
      </c>
      <c r="AL3" s="80" t="s">
        <v>8</v>
      </c>
      <c r="AM3" s="80" t="s">
        <v>8</v>
      </c>
      <c r="AN3" s="80" t="s">
        <v>8</v>
      </c>
      <c r="AO3" s="80" t="s">
        <v>131</v>
      </c>
    </row>
    <row r="4" spans="1:41" x14ac:dyDescent="0.3">
      <c r="A4" s="98"/>
      <c r="B4" s="117" t="s">
        <v>456</v>
      </c>
      <c r="C4" s="86" t="s">
        <v>314</v>
      </c>
      <c r="D4" s="116">
        <f>VLOOKUP($H$3,INPUT,3,FALSE)</f>
        <v>76.099999999999994</v>
      </c>
      <c r="E4" s="32" t="s">
        <v>8</v>
      </c>
      <c r="F4" s="93"/>
      <c r="G4" s="32"/>
      <c r="H4" s="32"/>
      <c r="I4" s="32"/>
      <c r="J4" s="32"/>
      <c r="M4" s="33" t="s">
        <v>17</v>
      </c>
      <c r="N4" s="6" t="s">
        <v>19</v>
      </c>
      <c r="O4" s="10">
        <f>D35</f>
        <v>14.98322360524779</v>
      </c>
      <c r="P4" s="10">
        <f>D53</f>
        <v>32.596151134525975</v>
      </c>
      <c r="Q4" s="10">
        <f>O4/P4</f>
        <v>0.45966235533180783</v>
      </c>
      <c r="R4" s="6" t="str">
        <f>IF(Q4&lt;1,"OK","Check")</f>
        <v>OK</v>
      </c>
      <c r="X4" s="6">
        <f>CHS_SUMMARY!A11</f>
        <v>1</v>
      </c>
      <c r="Y4" s="71" t="str">
        <f>CHS_SUMMARY!B11</f>
        <v>NB65</v>
      </c>
      <c r="Z4" s="88">
        <f>CHS_SUMMARY!C11</f>
        <v>76.099999999999994</v>
      </c>
      <c r="AA4" s="88">
        <f>Z4-2*AB4</f>
        <v>68.899999999999991</v>
      </c>
      <c r="AB4" s="88">
        <f>CHS_SUMMARY!D11</f>
        <v>3.6</v>
      </c>
      <c r="AC4" s="88">
        <f>CHS_SUMMARY!$B$5/1000</f>
        <v>1.1000000000000001</v>
      </c>
      <c r="AD4" s="89">
        <f>Section_prop!P14</f>
        <v>5.4193580412807281</v>
      </c>
      <c r="AE4" s="89">
        <f>Section_prop!Q14</f>
        <v>95.892631073585861</v>
      </c>
      <c r="AF4" s="89">
        <f>Section_prop!R14</f>
        <v>260.89498991402462</v>
      </c>
      <c r="AG4" s="81">
        <f>CHS_SUMMARY!J11</f>
        <v>12</v>
      </c>
      <c r="AH4" s="25">
        <f>CHS_SUMMARY!K11</f>
        <v>8.8000000000000007</v>
      </c>
      <c r="AI4" s="81">
        <f>CHS_SUMMARY!L11</f>
        <v>8</v>
      </c>
      <c r="AJ4" s="81">
        <f>CHS_SUMMARY!T11</f>
        <v>20</v>
      </c>
      <c r="AK4" s="81">
        <v>108</v>
      </c>
      <c r="AL4" s="81">
        <f>CHS_SUMMARY!Y11</f>
        <v>50</v>
      </c>
      <c r="AM4" s="81">
        <f>CHS_SUMMARY!AA11</f>
        <v>6</v>
      </c>
      <c r="AN4" s="81">
        <f>CHS_SUMMARY!AI11</f>
        <v>3</v>
      </c>
      <c r="AO4" s="81">
        <f>CHS_SUMMARY!X11</f>
        <v>6</v>
      </c>
    </row>
    <row r="5" spans="1:41" x14ac:dyDescent="0.3">
      <c r="A5" s="98"/>
      <c r="B5" s="117" t="s">
        <v>93</v>
      </c>
      <c r="C5" s="86" t="s">
        <v>94</v>
      </c>
      <c r="D5" s="116">
        <f>VLOOKUP($H$3,INPUT,4,FALSE)</f>
        <v>68.899999999999991</v>
      </c>
      <c r="E5" s="32" t="s">
        <v>8</v>
      </c>
      <c r="F5" s="93"/>
      <c r="G5" s="32"/>
      <c r="H5" s="32"/>
      <c r="I5" s="32"/>
      <c r="J5" s="32"/>
      <c r="M5" s="33" t="s">
        <v>132</v>
      </c>
      <c r="N5" s="6" t="s">
        <v>19</v>
      </c>
      <c r="O5" s="10">
        <f>D107</f>
        <v>40.764842174066345</v>
      </c>
      <c r="P5" s="10">
        <f>D60</f>
        <v>50.812370906573598</v>
      </c>
      <c r="Q5" s="10">
        <f>O5/P5</f>
        <v>0.80226215480121588</v>
      </c>
      <c r="R5" s="6" t="str">
        <f>IF(Q5&lt;1,"OK","Check")</f>
        <v>OK</v>
      </c>
      <c r="X5" s="6">
        <f>CHS_SUMMARY!A12</f>
        <v>2</v>
      </c>
      <c r="Y5" s="71" t="str">
        <f>CHS_SUMMARY!B12</f>
        <v>NB125</v>
      </c>
      <c r="Z5" s="88">
        <f>CHS_SUMMARY!C12</f>
        <v>139.69999999999999</v>
      </c>
      <c r="AA5" s="88">
        <f>Z5-2*AB5</f>
        <v>128.89999999999998</v>
      </c>
      <c r="AB5" s="88">
        <f>CHS_SUMMARY!D12</f>
        <v>5.4</v>
      </c>
      <c r="AC5" s="88">
        <f>CHS_SUMMARY!$B$5/1000</f>
        <v>1.1000000000000001</v>
      </c>
      <c r="AD5" s="89">
        <f>Section_prop!P15</f>
        <v>28.123764008327544</v>
      </c>
      <c r="AE5" s="89">
        <f>Section_prop!Q15</f>
        <v>266.44924868653669</v>
      </c>
      <c r="AF5" s="89">
        <f>Section_prop!R15</f>
        <v>724.9282168024879</v>
      </c>
      <c r="AG5" s="81">
        <f>CHS_SUMMARY!J12</f>
        <v>20</v>
      </c>
      <c r="AH5" s="25">
        <f>CHS_SUMMARY!K12</f>
        <v>8.8000000000000007</v>
      </c>
      <c r="AI5" s="81">
        <f>CHS_SUMMARY!L12</f>
        <v>8</v>
      </c>
      <c r="AJ5" s="81">
        <f>CHS_SUMMARY!T12</f>
        <v>32</v>
      </c>
      <c r="AK5" s="81">
        <v>212</v>
      </c>
      <c r="AL5" s="81">
        <f>CHS_SUMMARY!Y12</f>
        <v>100</v>
      </c>
      <c r="AM5" s="81">
        <f>CHS_SUMMARY!AA12</f>
        <v>6</v>
      </c>
      <c r="AN5" s="81">
        <f>CHS_SUMMARY!AI12</f>
        <v>5</v>
      </c>
      <c r="AO5" s="81">
        <f>CHS_SUMMARY!X12</f>
        <v>6</v>
      </c>
    </row>
    <row r="6" spans="1:41" x14ac:dyDescent="0.3">
      <c r="A6" s="98"/>
      <c r="B6" s="117" t="s">
        <v>3</v>
      </c>
      <c r="C6" s="86" t="s">
        <v>43</v>
      </c>
      <c r="D6" s="116">
        <f>VLOOKUP($H$3,INPUT,5,FALSE)</f>
        <v>3.6</v>
      </c>
      <c r="E6" s="32" t="s">
        <v>8</v>
      </c>
      <c r="F6" s="93"/>
      <c r="G6" s="32"/>
      <c r="H6" s="32"/>
      <c r="I6" s="32"/>
      <c r="J6" s="32"/>
      <c r="M6" s="7" t="s">
        <v>242</v>
      </c>
      <c r="N6" s="6"/>
      <c r="O6" s="6"/>
      <c r="P6" s="6"/>
      <c r="Q6" s="10">
        <f>D91</f>
        <v>0.85491404593547515</v>
      </c>
      <c r="R6" s="6" t="str">
        <f>IF(Q6&lt;1,"OK","Check")</f>
        <v>OK</v>
      </c>
      <c r="X6"/>
      <c r="Y6"/>
    </row>
    <row r="7" spans="1:41" x14ac:dyDescent="0.3">
      <c r="A7" s="98"/>
      <c r="B7" s="117" t="s">
        <v>10</v>
      </c>
      <c r="C7" s="86" t="s">
        <v>51</v>
      </c>
      <c r="D7" s="118">
        <f>PI()*(D4^2-D5^2)/4</f>
        <v>819.95568258693595</v>
      </c>
      <c r="E7" s="32" t="s">
        <v>11</v>
      </c>
      <c r="F7" s="93"/>
      <c r="G7" s="32"/>
      <c r="H7" s="32"/>
      <c r="I7" s="32"/>
      <c r="J7" s="32"/>
      <c r="M7" s="11"/>
      <c r="N7" s="6"/>
      <c r="O7" s="6"/>
      <c r="P7" s="6"/>
      <c r="Q7" s="10"/>
      <c r="R7" s="6"/>
      <c r="X7"/>
      <c r="Y7"/>
    </row>
    <row r="8" spans="1:41" x14ac:dyDescent="0.3">
      <c r="A8" s="98"/>
      <c r="B8" s="117" t="s">
        <v>321</v>
      </c>
      <c r="C8" s="86" t="s">
        <v>318</v>
      </c>
      <c r="D8" s="119">
        <f>7850*D7/1000^2</f>
        <v>6.4366521083074471</v>
      </c>
      <c r="E8" s="32" t="s">
        <v>317</v>
      </c>
      <c r="F8" s="93"/>
      <c r="G8" s="32"/>
      <c r="H8" s="32"/>
      <c r="I8" s="32"/>
      <c r="J8" s="32"/>
      <c r="M8" s="11"/>
      <c r="N8" s="6"/>
      <c r="O8" s="6"/>
      <c r="P8" s="6"/>
      <c r="Q8" s="10"/>
      <c r="R8" s="6"/>
      <c r="X8"/>
      <c r="Y8"/>
    </row>
    <row r="9" spans="1:41" x14ac:dyDescent="0.3">
      <c r="A9" s="102"/>
      <c r="B9" s="154"/>
      <c r="C9" s="155"/>
      <c r="D9" s="156"/>
      <c r="E9" s="94"/>
      <c r="F9" s="95"/>
      <c r="G9" s="32"/>
      <c r="H9" s="32"/>
      <c r="I9" s="32"/>
      <c r="J9" s="32"/>
      <c r="K9" s="3" t="s">
        <v>238</v>
      </c>
      <c r="M9" s="6" t="s">
        <v>178</v>
      </c>
      <c r="N9" s="6"/>
      <c r="O9" s="6"/>
      <c r="P9" s="6"/>
      <c r="Q9" s="6"/>
      <c r="R9" s="6"/>
      <c r="S9"/>
      <c r="T9"/>
      <c r="U9"/>
      <c r="X9"/>
      <c r="Y9"/>
    </row>
    <row r="10" spans="1:41" x14ac:dyDescent="0.3">
      <c r="A10" s="169">
        <v>2</v>
      </c>
      <c r="B10" s="170" t="s">
        <v>454</v>
      </c>
      <c r="C10" s="157"/>
      <c r="D10" s="96"/>
      <c r="E10" s="96"/>
      <c r="F10" s="97"/>
      <c r="G10" s="32"/>
      <c r="H10" s="32"/>
      <c r="I10" s="32"/>
      <c r="J10" s="32"/>
      <c r="K10" s="3">
        <v>1.25</v>
      </c>
      <c r="M10" s="44" t="s">
        <v>182</v>
      </c>
      <c r="N10" s="6" t="s">
        <v>8</v>
      </c>
      <c r="O10" s="6">
        <f>D39</f>
        <v>20</v>
      </c>
      <c r="P10" s="12">
        <f>D100</f>
        <v>19.311445286510189</v>
      </c>
      <c r="Q10" s="10">
        <f>P10/O10</f>
        <v>0.96557226432550947</v>
      </c>
      <c r="R10" s="6" t="str">
        <f>IF(Q10&lt;1,"OK","Check")</f>
        <v>OK</v>
      </c>
      <c r="S10"/>
      <c r="T10"/>
      <c r="U10"/>
      <c r="X10"/>
      <c r="Y10"/>
    </row>
    <row r="11" spans="1:41" x14ac:dyDescent="0.3">
      <c r="A11" s="98"/>
      <c r="B11" s="117" t="s">
        <v>128</v>
      </c>
      <c r="C11" s="86" t="s">
        <v>152</v>
      </c>
      <c r="D11" s="120">
        <f>VLOOKUP($H$3,INPUT,7,FALSE)*K10</f>
        <v>6.7741975516009099</v>
      </c>
      <c r="E11" s="32" t="s">
        <v>16</v>
      </c>
      <c r="F11" s="93" t="s">
        <v>207</v>
      </c>
      <c r="G11" s="32"/>
      <c r="H11" s="32"/>
      <c r="I11" s="32"/>
      <c r="J11" s="32"/>
      <c r="K11" s="3">
        <v>1.25</v>
      </c>
      <c r="M11"/>
      <c r="N11"/>
      <c r="O11"/>
      <c r="P11"/>
      <c r="Q11"/>
      <c r="R11"/>
      <c r="S11"/>
      <c r="T11"/>
      <c r="U11"/>
      <c r="X11"/>
      <c r="Y11"/>
    </row>
    <row r="12" spans="1:41" x14ac:dyDescent="0.3">
      <c r="A12" s="98"/>
      <c r="B12" s="117" t="s">
        <v>17</v>
      </c>
      <c r="C12" s="86" t="s">
        <v>32</v>
      </c>
      <c r="D12" s="121">
        <f>VLOOKUP($H$3,INPUT,8,FALSE)*K11</f>
        <v>119.86578884198232</v>
      </c>
      <c r="E12" s="32" t="s">
        <v>19</v>
      </c>
      <c r="F12" s="93"/>
      <c r="G12" s="32"/>
      <c r="H12" s="32"/>
      <c r="I12" s="32"/>
      <c r="J12" s="32"/>
      <c r="K12" s="3">
        <v>1.25</v>
      </c>
      <c r="M12"/>
      <c r="N12"/>
      <c r="O12"/>
      <c r="P12"/>
      <c r="Q12"/>
      <c r="R12"/>
      <c r="S12"/>
      <c r="T12"/>
      <c r="U12"/>
      <c r="X12"/>
      <c r="Y12"/>
    </row>
    <row r="13" spans="1:41" ht="15" thickBot="1" x14ac:dyDescent="0.35">
      <c r="A13" s="98"/>
      <c r="B13" s="122" t="s">
        <v>280</v>
      </c>
      <c r="C13" s="86" t="s">
        <v>42</v>
      </c>
      <c r="D13" s="121">
        <f>VLOOKUP($H$3,$X$4:$AO$5,9,FALSE)*K12</f>
        <v>326.11873739253076</v>
      </c>
      <c r="E13" s="32" t="s">
        <v>19</v>
      </c>
      <c r="F13" s="93"/>
      <c r="G13" s="32"/>
      <c r="H13" s="32"/>
      <c r="I13" s="32"/>
      <c r="J13" s="32"/>
    </row>
    <row r="14" spans="1:41" ht="15" thickBot="1" x14ac:dyDescent="0.35">
      <c r="A14" s="102"/>
      <c r="B14" s="158"/>
      <c r="C14" s="155"/>
      <c r="D14" s="159"/>
      <c r="E14" s="94"/>
      <c r="F14" s="95"/>
      <c r="G14" s="32"/>
      <c r="H14" s="32"/>
      <c r="I14" s="32"/>
      <c r="J14" s="32"/>
      <c r="N14" s="437" t="s">
        <v>234</v>
      </c>
      <c r="O14" s="438"/>
      <c r="P14" s="439"/>
      <c r="Q14"/>
      <c r="R14" s="66" t="s">
        <v>245</v>
      </c>
    </row>
    <row r="15" spans="1:41" x14ac:dyDescent="0.3">
      <c r="A15" s="169">
        <v>3</v>
      </c>
      <c r="B15" s="170" t="s">
        <v>453</v>
      </c>
      <c r="C15" s="96"/>
      <c r="D15" s="96"/>
      <c r="E15" s="96"/>
      <c r="F15" s="97"/>
      <c r="G15" s="32"/>
      <c r="H15" s="32"/>
      <c r="I15" s="32"/>
      <c r="J15" s="32"/>
      <c r="L15" s="3">
        <v>1</v>
      </c>
      <c r="M15" s="53" t="s">
        <v>235</v>
      </c>
      <c r="N15" s="54" t="s">
        <v>2</v>
      </c>
      <c r="O15" s="55">
        <f>D38</f>
        <v>145</v>
      </c>
      <c r="P15" s="56" t="s">
        <v>8</v>
      </c>
      <c r="Q15"/>
      <c r="R15" s="55">
        <f>VLOOKUP($D$3,Design_summary!$B$3:$T$8,CHS!L15+1,FALSE)</f>
        <v>240</v>
      </c>
      <c r="S15" s="51">
        <f>IF(O15=R15,0,1)</f>
        <v>1</v>
      </c>
    </row>
    <row r="16" spans="1:41" x14ac:dyDescent="0.3">
      <c r="A16" s="98"/>
      <c r="B16" s="117" t="s">
        <v>76</v>
      </c>
      <c r="C16" s="86" t="s">
        <v>77</v>
      </c>
      <c r="D16" s="123">
        <f>VLOOKUP($H$3,$X$4:$AO$5,10,FALSE)</f>
        <v>12</v>
      </c>
      <c r="E16" s="32" t="s">
        <v>8</v>
      </c>
      <c r="F16" s="93"/>
      <c r="G16" s="32"/>
      <c r="H16" s="32"/>
      <c r="I16" s="32"/>
      <c r="J16" s="32"/>
      <c r="L16" s="3">
        <v>2</v>
      </c>
      <c r="M16" s="57"/>
      <c r="N16" s="7" t="s">
        <v>1</v>
      </c>
      <c r="O16" s="6">
        <f>D5</f>
        <v>68.899999999999991</v>
      </c>
      <c r="P16" s="58" t="s">
        <v>8</v>
      </c>
      <c r="Q16"/>
      <c r="R16" s="6">
        <f>VLOOKUP($D$3,Design_summary!$B$3:$T$8,CHS!L16+1,FALSE)</f>
        <v>68.900000000000006</v>
      </c>
      <c r="S16" s="51">
        <f t="shared" ref="S16:S31" si="0">IF(O16=R16,0,1)</f>
        <v>0</v>
      </c>
      <c r="T16" s="4" t="s">
        <v>208</v>
      </c>
      <c r="U16" s="4" t="s">
        <v>159</v>
      </c>
      <c r="V16" s="4" t="s">
        <v>157</v>
      </c>
    </row>
    <row r="17" spans="1:30" x14ac:dyDescent="0.3">
      <c r="A17" s="98"/>
      <c r="B17" s="117" t="s">
        <v>457</v>
      </c>
      <c r="C17" s="86" t="s">
        <v>155</v>
      </c>
      <c r="D17" s="32">
        <f>IF(D16&lt;15,1,IF(D16&lt;=24,2,3))+D16</f>
        <v>13</v>
      </c>
      <c r="E17" s="32" t="s">
        <v>8</v>
      </c>
      <c r="F17" s="93"/>
      <c r="G17" s="32"/>
      <c r="H17" s="32"/>
      <c r="I17" s="32"/>
      <c r="J17" s="32"/>
      <c r="L17" s="3">
        <v>3</v>
      </c>
      <c r="M17" s="57"/>
      <c r="N17" s="7" t="s">
        <v>182</v>
      </c>
      <c r="O17" s="6">
        <f>D39</f>
        <v>20</v>
      </c>
      <c r="P17" s="58" t="s">
        <v>8</v>
      </c>
      <c r="Q17"/>
      <c r="R17" s="6">
        <f>VLOOKUP($D$3,Design_summary!$B$3:$T$8,CHS!L17+1,FALSE)</f>
        <v>12</v>
      </c>
      <c r="S17" s="51">
        <f t="shared" si="0"/>
        <v>1</v>
      </c>
      <c r="T17" s="6">
        <v>3.6</v>
      </c>
      <c r="U17" s="6">
        <f>(T17-TRUNC(T17,0))*V17</f>
        <v>198.00000000000003</v>
      </c>
      <c r="V17" s="6">
        <v>330</v>
      </c>
    </row>
    <row r="18" spans="1:30" ht="15" thickBot="1" x14ac:dyDescent="0.35">
      <c r="A18" s="98"/>
      <c r="B18" s="117" t="s">
        <v>0</v>
      </c>
      <c r="C18" s="86"/>
      <c r="D18" s="124">
        <f>VLOOKUP($H$3,$X$4:$AI$5,11,FALSE)</f>
        <v>8.8000000000000007</v>
      </c>
      <c r="E18" s="32"/>
      <c r="F18" s="93"/>
      <c r="G18" s="32"/>
      <c r="H18" s="32"/>
      <c r="I18" s="32"/>
      <c r="J18" s="32"/>
      <c r="L18" s="3">
        <v>4</v>
      </c>
      <c r="M18" s="59"/>
      <c r="N18" s="60" t="s">
        <v>0</v>
      </c>
      <c r="O18" s="62" t="str">
        <f>D40</f>
        <v>E350</v>
      </c>
      <c r="P18" s="61"/>
      <c r="Q18"/>
      <c r="R18" s="62" t="str">
        <f>VLOOKUP($D$3,Design_summary!$B$3:$T$8,CHS!L18+1,FALSE)</f>
        <v>E350</v>
      </c>
      <c r="S18" s="51">
        <f t="shared" si="0"/>
        <v>0</v>
      </c>
      <c r="T18" s="6">
        <v>4.5999999999999996</v>
      </c>
      <c r="U18" s="6">
        <f t="shared" ref="U18:U22" si="1">(T18-TRUNC(T18,0))*V18</f>
        <v>239.99999999999986</v>
      </c>
      <c r="V18" s="6">
        <v>400</v>
      </c>
      <c r="AB18" s="6" t="s">
        <v>227</v>
      </c>
    </row>
    <row r="19" spans="1:30" x14ac:dyDescent="0.3">
      <c r="A19" s="98"/>
      <c r="B19" s="117" t="s">
        <v>156</v>
      </c>
      <c r="C19" s="86" t="s">
        <v>157</v>
      </c>
      <c r="D19" s="32">
        <f>VLOOKUP($D$18,$T$17:$V$27,3,IF(D16&lt;=16,FALSE,TRUE))</f>
        <v>800</v>
      </c>
      <c r="E19" s="32" t="s">
        <v>7</v>
      </c>
      <c r="F19" s="93"/>
      <c r="G19" s="32"/>
      <c r="H19" s="32"/>
      <c r="I19" s="32"/>
      <c r="J19" s="32"/>
      <c r="L19" s="3">
        <v>5</v>
      </c>
      <c r="M19" s="53" t="s">
        <v>110</v>
      </c>
      <c r="N19" s="54" t="s">
        <v>111</v>
      </c>
      <c r="O19" s="55">
        <f>D16</f>
        <v>12</v>
      </c>
      <c r="P19" s="56" t="s">
        <v>8</v>
      </c>
      <c r="Q19"/>
      <c r="R19" s="55">
        <f>VLOOKUP($D$3,Design_summary!$B$3:$T$8,CHS!L19+1,FALSE)</f>
        <v>20</v>
      </c>
      <c r="S19" s="51">
        <f t="shared" si="0"/>
        <v>1</v>
      </c>
      <c r="T19" s="6">
        <v>4.8</v>
      </c>
      <c r="U19" s="6">
        <f t="shared" si="1"/>
        <v>335.99999999999994</v>
      </c>
      <c r="V19" s="6">
        <v>420</v>
      </c>
      <c r="AB19" s="6">
        <v>8</v>
      </c>
    </row>
    <row r="20" spans="1:30" x14ac:dyDescent="0.3">
      <c r="A20" s="98"/>
      <c r="B20" s="117" t="s">
        <v>158</v>
      </c>
      <c r="C20" s="86" t="s">
        <v>159</v>
      </c>
      <c r="D20" s="32">
        <f>VLOOKUP($D$18,$T$17:$V$27,2,IF(D16&lt;=16,FALSE,TRUE))</f>
        <v>640</v>
      </c>
      <c r="E20" s="32" t="s">
        <v>7</v>
      </c>
      <c r="F20" s="93"/>
      <c r="G20" s="32"/>
      <c r="H20" s="32"/>
      <c r="I20" s="32"/>
      <c r="J20" s="32"/>
      <c r="L20" s="3">
        <v>6</v>
      </c>
      <c r="M20" s="57"/>
      <c r="N20" s="7" t="s">
        <v>236</v>
      </c>
      <c r="O20" s="6">
        <f>D21</f>
        <v>70</v>
      </c>
      <c r="P20" s="58" t="s">
        <v>8</v>
      </c>
      <c r="Q20"/>
      <c r="R20" s="6">
        <f>VLOOKUP($D$3,Design_summary!$B$3:$T$8,CHS!L20+1,FALSE)</f>
        <v>60</v>
      </c>
      <c r="S20" s="51">
        <f t="shared" si="0"/>
        <v>1</v>
      </c>
      <c r="T20" s="6">
        <v>5.6</v>
      </c>
      <c r="U20" s="6">
        <f t="shared" si="1"/>
        <v>299.99999999999983</v>
      </c>
      <c r="V20" s="6">
        <v>500</v>
      </c>
      <c r="AB20" s="6">
        <v>10</v>
      </c>
    </row>
    <row r="21" spans="1:30" x14ac:dyDescent="0.3">
      <c r="A21" s="98"/>
      <c r="B21" s="117" t="s">
        <v>160</v>
      </c>
      <c r="C21" s="86" t="s">
        <v>161</v>
      </c>
      <c r="D21" s="32">
        <f>CEILING(2*D39+F21*D16+20,10)</f>
        <v>70</v>
      </c>
      <c r="E21" s="32" t="s">
        <v>8</v>
      </c>
      <c r="F21" s="93">
        <v>0.8</v>
      </c>
      <c r="G21" s="32"/>
      <c r="H21" s="32"/>
      <c r="I21" s="32"/>
      <c r="J21" s="32"/>
      <c r="L21" s="3">
        <v>7</v>
      </c>
      <c r="M21" s="57"/>
      <c r="N21" s="7" t="s">
        <v>0</v>
      </c>
      <c r="O21" s="6">
        <f>D18</f>
        <v>8.8000000000000007</v>
      </c>
      <c r="P21" s="58"/>
      <c r="Q21"/>
      <c r="R21" s="6">
        <f>VLOOKUP($D$3,Design_summary!$B$3:$T$8,CHS!L21+1,FALSE)</f>
        <v>8.8000000000000007</v>
      </c>
      <c r="S21" s="51">
        <f t="shared" si="0"/>
        <v>0</v>
      </c>
      <c r="T21" s="6">
        <v>5.8</v>
      </c>
      <c r="U21" s="6">
        <f t="shared" si="1"/>
        <v>415.99999999999989</v>
      </c>
      <c r="V21" s="6">
        <v>520</v>
      </c>
      <c r="AB21" s="6">
        <v>12</v>
      </c>
    </row>
    <row r="22" spans="1:30" x14ac:dyDescent="0.3">
      <c r="A22" s="98"/>
      <c r="B22" s="117" t="s">
        <v>162</v>
      </c>
      <c r="C22" s="86" t="s">
        <v>118</v>
      </c>
      <c r="D22" s="125">
        <f>D23*0.78</f>
        <v>88.215921712801389</v>
      </c>
      <c r="E22" s="32" t="s">
        <v>11</v>
      </c>
      <c r="F22" s="93"/>
      <c r="G22" s="32"/>
      <c r="H22" s="32"/>
      <c r="I22" s="32"/>
      <c r="J22" s="32"/>
      <c r="L22" s="3">
        <v>8</v>
      </c>
      <c r="M22" s="57"/>
      <c r="N22" s="7" t="s">
        <v>237</v>
      </c>
      <c r="O22" s="6">
        <f>D26</f>
        <v>8</v>
      </c>
      <c r="P22" s="58" t="s">
        <v>131</v>
      </c>
      <c r="Q22"/>
      <c r="R22" s="6">
        <f>VLOOKUP($D$3,Design_summary!$B$3:$T$8,CHS!L22+1,FALSE)</f>
        <v>6</v>
      </c>
      <c r="S22" s="51">
        <f t="shared" si="0"/>
        <v>1</v>
      </c>
      <c r="T22" s="6">
        <v>6.8</v>
      </c>
      <c r="U22" s="6">
        <f t="shared" si="1"/>
        <v>479.99999999999989</v>
      </c>
      <c r="V22" s="6">
        <v>600</v>
      </c>
      <c r="AB22" s="6">
        <v>16</v>
      </c>
    </row>
    <row r="23" spans="1:30" x14ac:dyDescent="0.3">
      <c r="A23" s="98"/>
      <c r="B23" s="117" t="s">
        <v>163</v>
      </c>
      <c r="C23" s="86" t="s">
        <v>119</v>
      </c>
      <c r="D23" s="125">
        <f>PI()*D16^2/4</f>
        <v>113.09733552923255</v>
      </c>
      <c r="E23" s="32" t="s">
        <v>11</v>
      </c>
      <c r="F23" s="93"/>
      <c r="G23" s="32"/>
      <c r="H23" s="32"/>
      <c r="I23" s="32"/>
      <c r="J23" s="32"/>
      <c r="L23" s="3">
        <v>9</v>
      </c>
      <c r="M23" s="57"/>
      <c r="N23" s="15" t="s">
        <v>115</v>
      </c>
      <c r="O23" s="6">
        <f>IF(F3="CHS",D28,(O16-D5-2*(D28+(#REF!-1)*D30))/2)</f>
        <v>18</v>
      </c>
      <c r="P23" s="58" t="s">
        <v>8</v>
      </c>
      <c r="Q23"/>
      <c r="R23" s="6">
        <f>VLOOKUP($D$3,Design_summary!$B$3:$T$8,CHS!L23+1,FALSE)</f>
        <v>40</v>
      </c>
      <c r="S23" s="51">
        <f t="shared" si="0"/>
        <v>1</v>
      </c>
      <c r="T23" s="6">
        <v>8.8000000000000007</v>
      </c>
      <c r="U23" s="6">
        <v>640</v>
      </c>
      <c r="V23" s="6">
        <v>800</v>
      </c>
      <c r="W23" s="3" t="s">
        <v>209</v>
      </c>
      <c r="AB23" s="6">
        <v>20</v>
      </c>
    </row>
    <row r="24" spans="1:30" x14ac:dyDescent="0.3">
      <c r="A24" s="98"/>
      <c r="B24" s="117" t="s">
        <v>164</v>
      </c>
      <c r="C24" s="86" t="s">
        <v>120</v>
      </c>
      <c r="D24" s="32">
        <v>1</v>
      </c>
      <c r="E24" s="32"/>
      <c r="F24" s="93"/>
      <c r="G24" s="32"/>
      <c r="H24" s="32"/>
      <c r="I24" s="32"/>
      <c r="J24" s="32"/>
      <c r="L24" s="3">
        <v>10</v>
      </c>
      <c r="M24" s="57"/>
      <c r="N24" s="15" t="s">
        <v>116</v>
      </c>
      <c r="O24" s="6">
        <f>D29</f>
        <v>18</v>
      </c>
      <c r="P24" s="58" t="s">
        <v>8</v>
      </c>
      <c r="Q24"/>
      <c r="R24" s="6">
        <f>VLOOKUP($D$3,Design_summary!$B$3:$T$8,CHS!L24+1,FALSE)</f>
        <v>40</v>
      </c>
      <c r="S24" s="51">
        <f t="shared" si="0"/>
        <v>1</v>
      </c>
      <c r="T24" s="6">
        <v>8.8000000000000007</v>
      </c>
      <c r="U24" s="6">
        <v>660</v>
      </c>
      <c r="V24" s="6">
        <v>830</v>
      </c>
      <c r="W24" s="3" t="s">
        <v>210</v>
      </c>
      <c r="AB24" s="6">
        <v>24</v>
      </c>
    </row>
    <row r="25" spans="1:30" x14ac:dyDescent="0.3">
      <c r="A25" s="98"/>
      <c r="B25" s="117" t="s">
        <v>165</v>
      </c>
      <c r="C25" s="86" t="s">
        <v>121</v>
      </c>
      <c r="D25" s="32">
        <v>0</v>
      </c>
      <c r="E25" s="32"/>
      <c r="F25" s="93"/>
      <c r="G25" s="32"/>
      <c r="H25" s="32"/>
      <c r="I25" s="32"/>
      <c r="J25" s="32"/>
      <c r="L25" s="3">
        <v>11</v>
      </c>
      <c r="M25" s="57"/>
      <c r="N25" s="15" t="s">
        <v>112</v>
      </c>
      <c r="O25" s="6">
        <f>D30</f>
        <v>30</v>
      </c>
      <c r="P25" s="58" t="s">
        <v>8</v>
      </c>
      <c r="Q25"/>
      <c r="R25" s="6">
        <f>VLOOKUP($D$3,Design_summary!$B$3:$T$8,CHS!L25+1,FALSE)</f>
        <v>50</v>
      </c>
      <c r="S25" s="51">
        <f t="shared" si="0"/>
        <v>1</v>
      </c>
      <c r="T25" s="6">
        <v>9.8000000000000007</v>
      </c>
      <c r="U25" s="6">
        <v>720</v>
      </c>
      <c r="V25" s="6">
        <v>900</v>
      </c>
      <c r="AB25" s="6">
        <v>30</v>
      </c>
    </row>
    <row r="26" spans="1:30" x14ac:dyDescent="0.3">
      <c r="A26" s="98"/>
      <c r="B26" s="117" t="s">
        <v>226</v>
      </c>
      <c r="C26" s="86"/>
      <c r="D26" s="124">
        <f>VLOOKUP($H$3,$X$4:$AO$5,12,FALSE)</f>
        <v>8</v>
      </c>
      <c r="E26" s="32" t="s">
        <v>131</v>
      </c>
      <c r="F26" s="93"/>
      <c r="G26" s="32"/>
      <c r="H26" s="32"/>
      <c r="I26" s="32"/>
      <c r="J26" s="32"/>
      <c r="L26" s="3">
        <v>12</v>
      </c>
      <c r="M26" s="57"/>
      <c r="N26" s="15" t="s">
        <v>113</v>
      </c>
      <c r="O26" s="6">
        <f>D31</f>
        <v>30</v>
      </c>
      <c r="P26" s="58" t="s">
        <v>8</v>
      </c>
      <c r="Q26"/>
      <c r="R26" s="6">
        <f>VLOOKUP($D$3,Design_summary!$B$3:$T$8,CHS!L26+1,FALSE)</f>
        <v>50</v>
      </c>
      <c r="S26" s="51">
        <f t="shared" si="0"/>
        <v>1</v>
      </c>
      <c r="T26" s="6">
        <v>10.9</v>
      </c>
      <c r="U26" s="6">
        <v>940</v>
      </c>
      <c r="V26" s="6">
        <v>1040</v>
      </c>
      <c r="AB26" s="6">
        <v>36</v>
      </c>
    </row>
    <row r="27" spans="1:30" x14ac:dyDescent="0.3">
      <c r="A27" s="98"/>
      <c r="B27" s="117" t="s">
        <v>171</v>
      </c>
      <c r="C27" s="32"/>
      <c r="D27" s="32"/>
      <c r="E27" s="32"/>
      <c r="F27" s="160" t="s">
        <v>114</v>
      </c>
      <c r="G27" s="86"/>
      <c r="H27" s="86"/>
      <c r="I27" s="86"/>
      <c r="J27" s="86"/>
      <c r="L27" s="3">
        <v>13</v>
      </c>
      <c r="M27" s="57"/>
      <c r="N27" s="6" t="s">
        <v>239</v>
      </c>
      <c r="O27" s="6" t="str">
        <f>""</f>
        <v/>
      </c>
      <c r="P27" s="58" t="s">
        <v>131</v>
      </c>
      <c r="Q27"/>
      <c r="R27" s="6" t="str">
        <f>VLOOKUP($D$3,Design_summary!$B$3:$T$8,CHS!L27+1,FALSE)</f>
        <v/>
      </c>
      <c r="S27" s="51">
        <f t="shared" si="0"/>
        <v>0</v>
      </c>
      <c r="T27" s="6">
        <v>12.9</v>
      </c>
      <c r="U27" s="6">
        <v>1100</v>
      </c>
      <c r="V27" s="6">
        <v>1220</v>
      </c>
    </row>
    <row r="28" spans="1:30" x14ac:dyDescent="0.3">
      <c r="A28" s="98"/>
      <c r="B28" s="126" t="s">
        <v>115</v>
      </c>
      <c r="C28" s="86" t="s">
        <v>168</v>
      </c>
      <c r="D28" s="124">
        <f>CEILING(F28,1)</f>
        <v>18</v>
      </c>
      <c r="E28" s="32" t="s">
        <v>8</v>
      </c>
      <c r="F28" s="93">
        <f>1.5*D16</f>
        <v>18</v>
      </c>
      <c r="G28" s="32"/>
      <c r="H28" s="32"/>
      <c r="I28" s="32"/>
      <c r="J28" s="32"/>
      <c r="L28" s="3">
        <v>14</v>
      </c>
      <c r="M28" s="57"/>
      <c r="N28" s="6" t="s">
        <v>243</v>
      </c>
      <c r="O28" s="6" t="str">
        <f>""</f>
        <v/>
      </c>
      <c r="P28" s="58" t="s">
        <v>131</v>
      </c>
      <c r="Q28"/>
      <c r="R28" s="6" t="str">
        <f>VLOOKUP($D$3,Design_summary!$B$3:$T$8,CHS!L28+1,FALSE)</f>
        <v/>
      </c>
      <c r="S28" s="51">
        <f t="shared" si="0"/>
        <v>0</v>
      </c>
    </row>
    <row r="29" spans="1:30" x14ac:dyDescent="0.3">
      <c r="A29" s="98"/>
      <c r="B29" s="126" t="s">
        <v>116</v>
      </c>
      <c r="C29" s="86" t="s">
        <v>169</v>
      </c>
      <c r="D29" s="67">
        <f>D28</f>
        <v>18</v>
      </c>
      <c r="E29" s="32" t="s">
        <v>8</v>
      </c>
      <c r="F29" s="93">
        <f>1.5*D16</f>
        <v>18</v>
      </c>
      <c r="G29" s="32"/>
      <c r="H29" s="32"/>
      <c r="I29" s="32"/>
      <c r="J29" s="32"/>
      <c r="L29" s="3">
        <v>15</v>
      </c>
      <c r="M29" s="57"/>
      <c r="N29" s="6" t="s">
        <v>224</v>
      </c>
      <c r="O29" s="6" t="str">
        <f>""</f>
        <v/>
      </c>
      <c r="P29" s="58" t="s">
        <v>131</v>
      </c>
      <c r="Q29"/>
      <c r="R29" s="6" t="str">
        <f>VLOOKUP($D$3,Design_summary!$B$3:$T$8,CHS!L29+1,FALSE)</f>
        <v/>
      </c>
      <c r="S29" s="51">
        <f t="shared" si="0"/>
        <v>0</v>
      </c>
      <c r="T29" s="4" t="s">
        <v>211</v>
      </c>
      <c r="U29" s="430" t="s">
        <v>219</v>
      </c>
      <c r="V29" s="431"/>
      <c r="W29" s="432"/>
      <c r="X29" s="4" t="s">
        <v>220</v>
      </c>
    </row>
    <row r="30" spans="1:30" x14ac:dyDescent="0.3">
      <c r="A30" s="98"/>
      <c r="B30" s="126" t="s">
        <v>112</v>
      </c>
      <c r="C30" s="86" t="s">
        <v>153</v>
      </c>
      <c r="D30" s="67">
        <f>D31</f>
        <v>30</v>
      </c>
      <c r="E30" s="32" t="s">
        <v>8</v>
      </c>
      <c r="F30" s="93">
        <f>2.5*D16</f>
        <v>30</v>
      </c>
      <c r="G30" s="32"/>
      <c r="H30" s="32"/>
      <c r="I30" s="32"/>
      <c r="J30" s="32"/>
      <c r="L30" s="3">
        <v>16</v>
      </c>
      <c r="M30" s="57"/>
      <c r="N30" s="6" t="s">
        <v>225</v>
      </c>
      <c r="O30" s="6" t="str">
        <f>""</f>
        <v/>
      </c>
      <c r="P30" s="58" t="s">
        <v>131</v>
      </c>
      <c r="Q30"/>
      <c r="R30" s="6" t="str">
        <f>VLOOKUP($D$3,Design_summary!$B$3:$T$8,CHS!L30+1,FALSE)</f>
        <v/>
      </c>
      <c r="S30" s="51">
        <f t="shared" si="0"/>
        <v>0</v>
      </c>
      <c r="T30" s="4"/>
      <c r="U30" s="4" t="s">
        <v>216</v>
      </c>
      <c r="V30" s="4" t="s">
        <v>217</v>
      </c>
      <c r="W30" s="4" t="s">
        <v>218</v>
      </c>
      <c r="X30" s="4"/>
      <c r="Z30" s="4" t="s">
        <v>750</v>
      </c>
      <c r="AA30" s="430" t="s">
        <v>4</v>
      </c>
      <c r="AB30" s="431"/>
      <c r="AC30" s="432"/>
      <c r="AD30" s="4" t="s">
        <v>5</v>
      </c>
    </row>
    <row r="31" spans="1:30" ht="15" thickBot="1" x14ac:dyDescent="0.35">
      <c r="A31" s="98"/>
      <c r="B31" s="126" t="s">
        <v>113</v>
      </c>
      <c r="C31" s="86" t="s">
        <v>170</v>
      </c>
      <c r="D31" s="124">
        <f>CEILING(F31,5)</f>
        <v>30</v>
      </c>
      <c r="E31" s="32" t="s">
        <v>8</v>
      </c>
      <c r="F31" s="93">
        <f>2.5*D16</f>
        <v>30</v>
      </c>
      <c r="G31" s="32"/>
      <c r="H31" s="32"/>
      <c r="I31" s="32"/>
      <c r="J31" s="32"/>
      <c r="L31" s="3">
        <v>17</v>
      </c>
      <c r="M31" s="59"/>
      <c r="N31" s="60" t="s">
        <v>226</v>
      </c>
      <c r="O31" s="60">
        <f>D26</f>
        <v>8</v>
      </c>
      <c r="P31" s="61" t="s">
        <v>131</v>
      </c>
      <c r="Q31"/>
      <c r="R31" s="60">
        <f>VLOOKUP($D$3,Design_summary!$B$3:$T$8,CHS!L31+1,FALSE)</f>
        <v>6</v>
      </c>
      <c r="S31" s="51">
        <f t="shared" si="0"/>
        <v>1</v>
      </c>
      <c r="T31" s="6" t="s">
        <v>212</v>
      </c>
      <c r="U31" s="6">
        <v>165</v>
      </c>
      <c r="V31" s="6">
        <v>165</v>
      </c>
      <c r="W31" s="6">
        <v>165</v>
      </c>
      <c r="X31" s="6">
        <v>290</v>
      </c>
      <c r="Z31" s="4">
        <v>0</v>
      </c>
      <c r="AA31" s="4">
        <v>1</v>
      </c>
      <c r="AB31" s="4">
        <v>2</v>
      </c>
      <c r="AC31" s="4">
        <v>3</v>
      </c>
      <c r="AD31" s="4">
        <v>4</v>
      </c>
    </row>
    <row r="32" spans="1:30" x14ac:dyDescent="0.3">
      <c r="A32" s="102"/>
      <c r="B32" s="161"/>
      <c r="C32" s="155"/>
      <c r="D32" s="162"/>
      <c r="E32" s="94"/>
      <c r="F32" s="95"/>
      <c r="G32" s="32"/>
      <c r="H32" s="32"/>
      <c r="I32" s="32"/>
      <c r="J32" s="32"/>
      <c r="T32" s="6" t="s">
        <v>213</v>
      </c>
      <c r="U32" s="6">
        <v>250</v>
      </c>
      <c r="V32" s="6">
        <v>240</v>
      </c>
      <c r="W32" s="6">
        <v>230</v>
      </c>
      <c r="X32" s="6">
        <v>410</v>
      </c>
      <c r="Y32" s="3">
        <v>0</v>
      </c>
      <c r="Z32" s="6" t="s">
        <v>212</v>
      </c>
      <c r="AA32" s="6">
        <v>165</v>
      </c>
      <c r="AB32" s="6">
        <v>165</v>
      </c>
      <c r="AC32" s="6">
        <v>165</v>
      </c>
      <c r="AD32" s="6">
        <v>290</v>
      </c>
    </row>
    <row r="33" spans="1:54" x14ac:dyDescent="0.3">
      <c r="A33" s="169">
        <v>4</v>
      </c>
      <c r="B33" s="170" t="s">
        <v>452</v>
      </c>
      <c r="C33" s="157"/>
      <c r="D33" s="96"/>
      <c r="E33" s="96"/>
      <c r="F33" s="97"/>
      <c r="G33" s="32"/>
      <c r="H33" s="32"/>
      <c r="I33" s="32"/>
      <c r="J33" s="32"/>
      <c r="L33"/>
      <c r="T33" s="6" t="s">
        <v>214</v>
      </c>
      <c r="U33" s="6">
        <v>300</v>
      </c>
      <c r="V33" s="6">
        <v>290</v>
      </c>
      <c r="W33" s="6">
        <v>280</v>
      </c>
      <c r="X33" s="6">
        <v>440</v>
      </c>
      <c r="Y33" s="3">
        <v>1</v>
      </c>
      <c r="Z33" s="6" t="s">
        <v>213</v>
      </c>
      <c r="AA33" s="6">
        <v>250</v>
      </c>
      <c r="AB33" s="6">
        <v>240</v>
      </c>
      <c r="AC33" s="6">
        <v>230</v>
      </c>
      <c r="AD33" s="6">
        <v>410</v>
      </c>
    </row>
    <row r="34" spans="1:54" x14ac:dyDescent="0.3">
      <c r="A34" s="98"/>
      <c r="B34" s="117" t="s">
        <v>132</v>
      </c>
      <c r="C34" s="86" t="s">
        <v>166</v>
      </c>
      <c r="D34" s="127">
        <f>D13/(D26)</f>
        <v>40.764842174066345</v>
      </c>
      <c r="E34" s="32" t="s">
        <v>19</v>
      </c>
      <c r="F34" s="93"/>
      <c r="G34" s="32"/>
      <c r="H34" s="32"/>
      <c r="I34" s="32"/>
      <c r="J34" s="32"/>
      <c r="L34"/>
      <c r="T34" s="6" t="s">
        <v>107</v>
      </c>
      <c r="U34" s="6">
        <v>350</v>
      </c>
      <c r="V34" s="6">
        <v>330</v>
      </c>
      <c r="W34" s="6">
        <v>320</v>
      </c>
      <c r="X34" s="6">
        <v>490</v>
      </c>
      <c r="Y34" s="3">
        <v>2</v>
      </c>
      <c r="Z34" s="6" t="s">
        <v>214</v>
      </c>
      <c r="AA34" s="6">
        <v>300</v>
      </c>
      <c r="AB34" s="6">
        <v>290</v>
      </c>
      <c r="AC34" s="6">
        <v>280</v>
      </c>
      <c r="AD34" s="6">
        <v>440</v>
      </c>
    </row>
    <row r="35" spans="1:54" x14ac:dyDescent="0.3">
      <c r="A35" s="98"/>
      <c r="B35" s="117" t="s">
        <v>17</v>
      </c>
      <c r="C35" s="86" t="s">
        <v>167</v>
      </c>
      <c r="D35" s="127">
        <f>D12/(D26)</f>
        <v>14.98322360524779</v>
      </c>
      <c r="E35" s="32" t="s">
        <v>19</v>
      </c>
      <c r="F35" s="93"/>
      <c r="G35" s="32"/>
      <c r="H35" s="32"/>
      <c r="I35" s="32"/>
      <c r="J35" s="32"/>
      <c r="T35" s="6" t="s">
        <v>215</v>
      </c>
      <c r="U35" s="6">
        <v>410</v>
      </c>
      <c r="V35" s="6">
        <v>390</v>
      </c>
      <c r="W35" s="6">
        <v>380</v>
      </c>
      <c r="X35" s="6">
        <v>540</v>
      </c>
      <c r="Y35" s="3">
        <v>3</v>
      </c>
      <c r="Z35" s="6" t="s">
        <v>107</v>
      </c>
      <c r="AA35" s="6">
        <v>350</v>
      </c>
      <c r="AB35" s="6">
        <v>330</v>
      </c>
      <c r="AC35" s="6">
        <v>320</v>
      </c>
      <c r="AD35" s="6">
        <v>490</v>
      </c>
    </row>
    <row r="36" spans="1:54" x14ac:dyDescent="0.3">
      <c r="A36" s="102"/>
      <c r="B36" s="154"/>
      <c r="C36" s="155"/>
      <c r="D36" s="163"/>
      <c r="E36" s="94"/>
      <c r="F36" s="95"/>
      <c r="G36" s="32"/>
      <c r="H36" s="32"/>
      <c r="I36" s="32"/>
      <c r="J36" s="32"/>
      <c r="T36" s="6" t="s">
        <v>221</v>
      </c>
      <c r="U36" s="6">
        <v>450</v>
      </c>
      <c r="V36" s="6">
        <v>430</v>
      </c>
      <c r="W36" s="6">
        <v>420</v>
      </c>
      <c r="X36" s="6">
        <v>570</v>
      </c>
      <c r="Y36" s="3">
        <v>4</v>
      </c>
      <c r="Z36" s="6" t="s">
        <v>215</v>
      </c>
      <c r="AA36" s="6">
        <v>410</v>
      </c>
      <c r="AB36" s="6">
        <v>390</v>
      </c>
      <c r="AC36" s="6">
        <v>380</v>
      </c>
      <c r="AD36" s="6">
        <v>540</v>
      </c>
    </row>
    <row r="37" spans="1:54" ht="15" thickBot="1" x14ac:dyDescent="0.35">
      <c r="A37" s="169">
        <v>5</v>
      </c>
      <c r="B37" s="170" t="s">
        <v>451</v>
      </c>
      <c r="C37" s="96"/>
      <c r="D37" s="96"/>
      <c r="E37" s="96"/>
      <c r="F37" s="97"/>
      <c r="G37" s="32"/>
      <c r="H37" s="32"/>
      <c r="I37" s="32"/>
      <c r="J37" s="32"/>
      <c r="T37" s="6" t="s">
        <v>222</v>
      </c>
      <c r="U37" s="6">
        <v>450</v>
      </c>
      <c r="V37" s="6">
        <v>430</v>
      </c>
      <c r="W37" s="6">
        <v>420</v>
      </c>
      <c r="X37" s="6">
        <v>590</v>
      </c>
      <c r="Y37" s="3">
        <v>5</v>
      </c>
      <c r="Z37" s="6" t="s">
        <v>221</v>
      </c>
      <c r="AA37" s="6">
        <v>450</v>
      </c>
      <c r="AB37" s="6">
        <v>430</v>
      </c>
      <c r="AC37" s="6">
        <v>420</v>
      </c>
      <c r="AD37" s="6">
        <v>570</v>
      </c>
    </row>
    <row r="38" spans="1:54" x14ac:dyDescent="0.3">
      <c r="A38" s="98"/>
      <c r="B38" s="117" t="s">
        <v>111</v>
      </c>
      <c r="C38" s="86"/>
      <c r="D38" s="67">
        <f>CEILING(1.2*D16*2+2*D28+D4,5)</f>
        <v>145</v>
      </c>
      <c r="E38" s="32" t="s">
        <v>8</v>
      </c>
      <c r="F38" s="93"/>
      <c r="G38" s="32"/>
      <c r="H38" s="32"/>
      <c r="I38" s="32"/>
      <c r="J38" s="32"/>
      <c r="N38" s="3">
        <v>1</v>
      </c>
      <c r="O38" s="186" t="s">
        <v>292</v>
      </c>
      <c r="P38" s="227">
        <f>H3</f>
        <v>1</v>
      </c>
      <c r="Q38" s="233">
        <v>1</v>
      </c>
      <c r="R38" s="233">
        <v>2</v>
      </c>
      <c r="Y38" s="3">
        <v>6</v>
      </c>
      <c r="Z38" s="6" t="s">
        <v>222</v>
      </c>
      <c r="AA38" s="6">
        <v>450</v>
      </c>
      <c r="AB38" s="6">
        <v>430</v>
      </c>
      <c r="AC38" s="6">
        <v>420</v>
      </c>
      <c r="AD38" s="6">
        <v>590</v>
      </c>
    </row>
    <row r="39" spans="1:54" x14ac:dyDescent="0.3">
      <c r="A39" s="98"/>
      <c r="B39" s="117" t="s">
        <v>3</v>
      </c>
      <c r="C39" s="86"/>
      <c r="D39" s="124">
        <f>VLOOKUP($H$3,$X$4:$AM$5,13,FALSE)</f>
        <v>20</v>
      </c>
      <c r="E39" s="32" t="s">
        <v>8</v>
      </c>
      <c r="F39" s="93" t="str">
        <f>IF(D39&gt;=D70,"OK","Check")</f>
        <v>OK</v>
      </c>
      <c r="G39" s="32"/>
      <c r="H39" s="32"/>
      <c r="I39" s="32"/>
      <c r="J39" s="32"/>
      <c r="N39" s="3">
        <v>2</v>
      </c>
      <c r="O39" s="187" t="s">
        <v>293</v>
      </c>
      <c r="P39" s="228" t="str">
        <f>D3</f>
        <v>NB65</v>
      </c>
      <c r="Q39" s="234" t="str">
        <f t="dataTable" ref="Q39:R69" dt2D="0" dtr="1" r1="P38" ca="1"/>
        <v>NB65</v>
      </c>
      <c r="R39" s="234" t="str">
        <v>NB65</v>
      </c>
    </row>
    <row r="40" spans="1:54" x14ac:dyDescent="0.3">
      <c r="A40" s="98"/>
      <c r="B40" s="117" t="s">
        <v>0</v>
      </c>
      <c r="C40" s="86"/>
      <c r="D40" s="128" t="s">
        <v>107</v>
      </c>
      <c r="E40" s="32"/>
      <c r="F40" s="93"/>
      <c r="G40" s="32"/>
      <c r="H40" s="32"/>
      <c r="I40" s="32"/>
      <c r="J40" s="32"/>
      <c r="N40" s="3">
        <v>3</v>
      </c>
      <c r="O40" s="187" t="s">
        <v>294</v>
      </c>
      <c r="P40" s="228">
        <f>D4</f>
        <v>76.099999999999994</v>
      </c>
      <c r="Q40" s="234">
        <v>76.099999999999994</v>
      </c>
      <c r="R40" s="234">
        <v>76.099999999999994</v>
      </c>
      <c r="W40" s="3">
        <v>1</v>
      </c>
      <c r="X40" s="3">
        <v>2</v>
      </c>
      <c r="Y40" s="3">
        <v>3</v>
      </c>
      <c r="Z40" s="3">
        <v>4</v>
      </c>
      <c r="AA40" s="3">
        <v>5</v>
      </c>
      <c r="AB40" s="3">
        <v>6</v>
      </c>
      <c r="AC40" s="3">
        <v>7</v>
      </c>
      <c r="AD40" s="3">
        <v>8</v>
      </c>
      <c r="AE40" s="3">
        <v>9</v>
      </c>
      <c r="AF40" s="3">
        <v>10</v>
      </c>
      <c r="AG40" s="3">
        <v>11</v>
      </c>
      <c r="AH40" s="3">
        <v>12</v>
      </c>
      <c r="AI40" s="3">
        <v>13</v>
      </c>
      <c r="AJ40" s="3">
        <v>14</v>
      </c>
      <c r="AK40" s="3">
        <v>15</v>
      </c>
      <c r="AL40" s="3">
        <v>16</v>
      </c>
      <c r="AM40" s="3">
        <v>17</v>
      </c>
      <c r="AN40" s="3">
        <v>18</v>
      </c>
      <c r="AO40" s="3">
        <v>19</v>
      </c>
      <c r="AP40" s="3">
        <v>20</v>
      </c>
      <c r="AQ40" s="3">
        <v>21</v>
      </c>
      <c r="AR40" s="3">
        <v>22</v>
      </c>
      <c r="AS40" s="3">
        <v>23</v>
      </c>
      <c r="AT40" s="3">
        <v>24</v>
      </c>
      <c r="AU40" s="3">
        <v>25</v>
      </c>
      <c r="AV40" s="3">
        <v>26</v>
      </c>
      <c r="AW40" s="3">
        <v>27</v>
      </c>
      <c r="AX40" s="3">
        <v>28</v>
      </c>
      <c r="AY40" s="3">
        <v>29</v>
      </c>
      <c r="AZ40" s="3">
        <v>30</v>
      </c>
      <c r="BA40" s="3">
        <v>31</v>
      </c>
      <c r="BB40" s="3">
        <v>32</v>
      </c>
    </row>
    <row r="41" spans="1:54" x14ac:dyDescent="0.3">
      <c r="A41" s="98"/>
      <c r="B41" s="117" t="s">
        <v>156</v>
      </c>
      <c r="C41" s="86" t="s">
        <v>5</v>
      </c>
      <c r="D41" s="67">
        <f>VLOOKUP($D$40,$T$31:$X$37,5,FALSE)</f>
        <v>490</v>
      </c>
      <c r="E41" s="32" t="s">
        <v>7</v>
      </c>
      <c r="F41" s="93"/>
      <c r="G41" s="32"/>
      <c r="H41" s="32"/>
      <c r="I41" s="32"/>
      <c r="J41" s="32"/>
      <c r="N41" s="3">
        <v>4</v>
      </c>
      <c r="O41" s="187" t="s">
        <v>295</v>
      </c>
      <c r="P41" s="229">
        <f>D8</f>
        <v>6.4366521083074471</v>
      </c>
      <c r="Q41" s="235">
        <v>6.4366521083074471</v>
      </c>
      <c r="R41" s="235">
        <v>6.4366521083074471</v>
      </c>
      <c r="W41" s="3" t="s">
        <v>292</v>
      </c>
      <c r="X41" s="3" t="s">
        <v>293</v>
      </c>
      <c r="Y41" s="3" t="s">
        <v>294</v>
      </c>
      <c r="Z41" s="3" t="s">
        <v>295</v>
      </c>
      <c r="AA41" s="3" t="s">
        <v>20</v>
      </c>
      <c r="AB41" s="3" t="s">
        <v>151</v>
      </c>
      <c r="AC41" s="3" t="s">
        <v>72</v>
      </c>
      <c r="AD41" s="3" t="s">
        <v>296</v>
      </c>
      <c r="AE41" s="3" t="s">
        <v>208</v>
      </c>
      <c r="AF41" s="3" t="s">
        <v>301</v>
      </c>
      <c r="AG41" s="3" t="s">
        <v>304</v>
      </c>
      <c r="AH41" s="3" t="s">
        <v>308</v>
      </c>
      <c r="AI41" s="3" t="s">
        <v>303</v>
      </c>
      <c r="AJ41" s="3" t="s">
        <v>309</v>
      </c>
      <c r="AK41" s="3" t="s">
        <v>302</v>
      </c>
      <c r="AL41" s="3" t="s">
        <v>307</v>
      </c>
      <c r="AM41" s="3" t="s">
        <v>324</v>
      </c>
      <c r="AN41" s="3" t="s">
        <v>310</v>
      </c>
      <c r="AO41" s="3" t="s">
        <v>337</v>
      </c>
      <c r="AP41" s="3" t="s">
        <v>384</v>
      </c>
      <c r="AQ41" s="3" t="s">
        <v>427</v>
      </c>
      <c r="AR41" s="3" t="s">
        <v>364</v>
      </c>
      <c r="AS41" s="3" t="s">
        <v>365</v>
      </c>
      <c r="AT41" s="3" t="s">
        <v>360</v>
      </c>
      <c r="AU41" s="3" t="s">
        <v>428</v>
      </c>
      <c r="AV41" s="3" t="s">
        <v>429</v>
      </c>
      <c r="AW41" s="3" t="s">
        <v>430</v>
      </c>
      <c r="AX41" s="3" t="s">
        <v>431</v>
      </c>
      <c r="AY41" s="3" t="s">
        <v>425</v>
      </c>
      <c r="AZ41" s="3" t="s">
        <v>426</v>
      </c>
      <c r="BA41" s="3" t="s">
        <v>500</v>
      </c>
      <c r="BB41" s="3" t="s">
        <v>504</v>
      </c>
    </row>
    <row r="42" spans="1:54" x14ac:dyDescent="0.3">
      <c r="A42" s="98"/>
      <c r="B42" s="117" t="s">
        <v>474</v>
      </c>
      <c r="C42" s="86" t="s">
        <v>4</v>
      </c>
      <c r="D42" s="67">
        <f>VLOOKUP($D$40,$T$31:$X$37,IF(D39&lt;20,2,IF(D39&lt;=40,3,4)),FALSE)</f>
        <v>330</v>
      </c>
      <c r="E42" s="32" t="s">
        <v>7</v>
      </c>
      <c r="F42" s="93"/>
      <c r="G42" s="32"/>
      <c r="H42" s="32"/>
      <c r="I42" s="32"/>
      <c r="J42" s="32"/>
      <c r="N42" s="3">
        <v>5</v>
      </c>
      <c r="O42" s="187" t="s">
        <v>20</v>
      </c>
      <c r="P42" s="229">
        <f>D11</f>
        <v>6.7741975516009099</v>
      </c>
      <c r="Q42" s="235">
        <v>6.7741975516009099</v>
      </c>
      <c r="R42" s="235">
        <v>6.7741975516009099</v>
      </c>
      <c r="W42" s="3">
        <v>1</v>
      </c>
      <c r="X42" s="70" t="str">
        <f t="shared" ref="X42:AG43" si="2">INDEX($O$38:$R$70,COLUMN()-COLUMN($V$39),$W42+2)</f>
        <v>NB65</v>
      </c>
      <c r="Y42" s="70">
        <f t="shared" si="2"/>
        <v>76.099999999999994</v>
      </c>
      <c r="Z42" s="70">
        <f t="shared" si="2"/>
        <v>6.4366521083074471</v>
      </c>
      <c r="AA42" s="70">
        <f t="shared" si="2"/>
        <v>6.7741975516009099</v>
      </c>
      <c r="AB42" s="70">
        <f t="shared" si="2"/>
        <v>326.11873739253076</v>
      </c>
      <c r="AC42" s="70">
        <f t="shared" si="2"/>
        <v>119.86578884198232</v>
      </c>
      <c r="AD42" s="70">
        <f t="shared" si="2"/>
        <v>12</v>
      </c>
      <c r="AE42" s="70">
        <f t="shared" si="2"/>
        <v>8.8000000000000007</v>
      </c>
      <c r="AF42" s="70">
        <f t="shared" si="2"/>
        <v>8</v>
      </c>
      <c r="AG42" s="70">
        <f t="shared" si="2"/>
        <v>1.397340199930774</v>
      </c>
      <c r="AH42" s="70">
        <f t="shared" ref="AH42:AQ43" si="3">INDEX($O$38:$R$70,COLUMN()-COLUMN($V$39),$W42+2)</f>
        <v>50.812370906573598</v>
      </c>
      <c r="AI42" s="70">
        <f t="shared" si="3"/>
        <v>32.596151134525975</v>
      </c>
      <c r="AJ42" s="70">
        <f t="shared" si="3"/>
        <v>11.178721599446192</v>
      </c>
      <c r="AK42" s="70">
        <f t="shared" si="3"/>
        <v>406.49896725258878</v>
      </c>
      <c r="AL42" s="70">
        <f t="shared" si="3"/>
        <v>260.7692090762078</v>
      </c>
      <c r="AM42" s="70">
        <f t="shared" si="3"/>
        <v>145</v>
      </c>
      <c r="AN42" s="70">
        <f t="shared" si="3"/>
        <v>20</v>
      </c>
      <c r="AO42" s="70">
        <f t="shared" si="3"/>
        <v>10.058400000000002</v>
      </c>
      <c r="AP42" s="70">
        <f t="shared" si="3"/>
        <v>348.13957422949488</v>
      </c>
      <c r="AQ42" s="70">
        <f t="shared" si="3"/>
        <v>300</v>
      </c>
      <c r="AR42" s="70">
        <f t="shared" ref="AR42:BB43" si="4">INDEX($O$38:$R$70,COLUMN()-COLUMN($V$39),$W42+2)</f>
        <v>50</v>
      </c>
      <c r="AS42" s="70">
        <f t="shared" si="4"/>
        <v>34</v>
      </c>
      <c r="AT42" s="70">
        <f t="shared" si="4"/>
        <v>6</v>
      </c>
      <c r="AU42" s="70">
        <f t="shared" si="4"/>
        <v>43.728603932137993</v>
      </c>
      <c r="AV42" s="70">
        <f t="shared" si="4"/>
        <v>136.32756654792115</v>
      </c>
      <c r="AW42" s="70">
        <f t="shared" si="4"/>
        <v>318.18181818181813</v>
      </c>
      <c r="AX42" s="70">
        <f t="shared" si="4"/>
        <v>226.32130552233332</v>
      </c>
      <c r="AY42" s="70">
        <f t="shared" si="4"/>
        <v>3</v>
      </c>
      <c r="AZ42" s="70">
        <f t="shared" si="4"/>
        <v>3</v>
      </c>
      <c r="BA42" s="70">
        <f t="shared" si="4"/>
        <v>19.311445286510189</v>
      </c>
      <c r="BB42" s="70">
        <f t="shared" si="4"/>
        <v>10.098156349401139</v>
      </c>
    </row>
    <row r="43" spans="1:54" x14ac:dyDescent="0.3">
      <c r="A43" s="102"/>
      <c r="B43" s="154"/>
      <c r="C43" s="155"/>
      <c r="D43" s="164"/>
      <c r="E43" s="94"/>
      <c r="F43" s="95"/>
      <c r="G43" s="32"/>
      <c r="H43" s="32"/>
      <c r="I43" s="32"/>
      <c r="J43" s="32"/>
      <c r="N43" s="3">
        <v>6</v>
      </c>
      <c r="O43" s="187" t="s">
        <v>151</v>
      </c>
      <c r="P43" s="230">
        <f>D13</f>
        <v>326.11873739253076</v>
      </c>
      <c r="Q43" s="236">
        <v>326.11873739253076</v>
      </c>
      <c r="R43" s="236">
        <v>326.11873739253076</v>
      </c>
      <c r="W43" s="3">
        <v>2</v>
      </c>
      <c r="X43" s="70" t="str">
        <f t="shared" si="2"/>
        <v>NB65</v>
      </c>
      <c r="Y43" s="70">
        <f t="shared" si="2"/>
        <v>76.099999999999994</v>
      </c>
      <c r="Z43" s="70">
        <f t="shared" si="2"/>
        <v>6.4366521083074471</v>
      </c>
      <c r="AA43" s="70">
        <f t="shared" si="2"/>
        <v>6.7741975516009099</v>
      </c>
      <c r="AB43" s="70">
        <f t="shared" si="2"/>
        <v>326.11873739253076</v>
      </c>
      <c r="AC43" s="70">
        <f t="shared" si="2"/>
        <v>119.86578884198232</v>
      </c>
      <c r="AD43" s="70">
        <f t="shared" si="2"/>
        <v>12</v>
      </c>
      <c r="AE43" s="70">
        <f t="shared" si="2"/>
        <v>8.8000000000000007</v>
      </c>
      <c r="AF43" s="70">
        <f t="shared" si="2"/>
        <v>8</v>
      </c>
      <c r="AG43" s="70">
        <f t="shared" si="2"/>
        <v>1.397340199930774</v>
      </c>
      <c r="AH43" s="70">
        <f t="shared" si="3"/>
        <v>50.812370906573598</v>
      </c>
      <c r="AI43" s="70">
        <f t="shared" si="3"/>
        <v>32.596151134525975</v>
      </c>
      <c r="AJ43" s="70">
        <f t="shared" si="3"/>
        <v>11.178721599446192</v>
      </c>
      <c r="AK43" s="70">
        <f t="shared" si="3"/>
        <v>406.49896725258878</v>
      </c>
      <c r="AL43" s="70">
        <f t="shared" si="3"/>
        <v>260.7692090762078</v>
      </c>
      <c r="AM43" s="70">
        <f t="shared" si="3"/>
        <v>145</v>
      </c>
      <c r="AN43" s="70">
        <f t="shared" si="3"/>
        <v>20</v>
      </c>
      <c r="AO43" s="70">
        <f t="shared" si="3"/>
        <v>10.058400000000002</v>
      </c>
      <c r="AP43" s="70">
        <f t="shared" si="3"/>
        <v>348.13957422949488</v>
      </c>
      <c r="AQ43" s="70">
        <f t="shared" si="3"/>
        <v>300</v>
      </c>
      <c r="AR43" s="70">
        <f t="shared" si="4"/>
        <v>50</v>
      </c>
      <c r="AS43" s="70">
        <f t="shared" si="4"/>
        <v>34</v>
      </c>
      <c r="AT43" s="70">
        <f t="shared" si="4"/>
        <v>6</v>
      </c>
      <c r="AU43" s="70">
        <f t="shared" si="4"/>
        <v>43.728603932137993</v>
      </c>
      <c r="AV43" s="70">
        <f t="shared" si="4"/>
        <v>136.32756654792115</v>
      </c>
      <c r="AW43" s="70">
        <f t="shared" si="4"/>
        <v>318.18181818181813</v>
      </c>
      <c r="AX43" s="70">
        <f t="shared" si="4"/>
        <v>226.32130552233332</v>
      </c>
      <c r="AY43" s="70">
        <f t="shared" si="4"/>
        <v>3</v>
      </c>
      <c r="AZ43" s="70">
        <f t="shared" si="4"/>
        <v>3</v>
      </c>
      <c r="BA43" s="70">
        <f t="shared" si="4"/>
        <v>19.311445286510189</v>
      </c>
      <c r="BB43" s="70">
        <f t="shared" si="4"/>
        <v>10.098156349401139</v>
      </c>
    </row>
    <row r="44" spans="1:54" x14ac:dyDescent="0.3">
      <c r="A44" s="169">
        <v>6</v>
      </c>
      <c r="B44" s="170" t="s">
        <v>450</v>
      </c>
      <c r="C44" s="157"/>
      <c r="D44" s="96"/>
      <c r="E44" s="96"/>
      <c r="F44" s="97"/>
      <c r="G44" s="32"/>
      <c r="H44" s="32"/>
      <c r="I44" s="32"/>
      <c r="J44" s="32"/>
      <c r="N44" s="3">
        <v>7</v>
      </c>
      <c r="O44" s="187" t="s">
        <v>72</v>
      </c>
      <c r="P44" s="230">
        <f>D12</f>
        <v>119.86578884198232</v>
      </c>
      <c r="Q44" s="236">
        <v>119.86578884198232</v>
      </c>
      <c r="R44" s="236">
        <v>119.86578884198232</v>
      </c>
    </row>
    <row r="45" spans="1:54" x14ac:dyDescent="0.3">
      <c r="A45" s="165" t="s">
        <v>175</v>
      </c>
      <c r="B45" s="117" t="s">
        <v>126</v>
      </c>
      <c r="C45" s="86"/>
      <c r="D45" s="32"/>
      <c r="E45" s="32"/>
      <c r="F45" s="93"/>
      <c r="G45" s="32"/>
      <c r="H45" s="32"/>
      <c r="I45" s="32"/>
      <c r="J45" s="32"/>
      <c r="N45" s="3">
        <v>8</v>
      </c>
      <c r="O45" s="187" t="s">
        <v>296</v>
      </c>
      <c r="P45" s="228">
        <f>D16</f>
        <v>12</v>
      </c>
      <c r="Q45" s="234">
        <v>12</v>
      </c>
      <c r="R45" s="234">
        <v>12</v>
      </c>
    </row>
    <row r="46" spans="1:54" x14ac:dyDescent="0.3">
      <c r="A46" s="166" t="s">
        <v>154</v>
      </c>
      <c r="B46" s="126" t="s">
        <v>117</v>
      </c>
      <c r="C46" s="86" t="s">
        <v>173</v>
      </c>
      <c r="D46" s="32" t="s">
        <v>240</v>
      </c>
      <c r="E46" s="32"/>
      <c r="F46" s="93"/>
      <c r="G46" s="32"/>
      <c r="H46" s="32"/>
      <c r="I46" s="32"/>
      <c r="J46" s="32"/>
      <c r="N46" s="3">
        <v>9</v>
      </c>
      <c r="O46" s="187" t="s">
        <v>208</v>
      </c>
      <c r="P46" s="228">
        <f>D18</f>
        <v>8.8000000000000007</v>
      </c>
      <c r="Q46" s="234">
        <v>8.8000000000000007</v>
      </c>
      <c r="R46" s="234">
        <v>8.8000000000000007</v>
      </c>
    </row>
    <row r="47" spans="1:54" x14ac:dyDescent="0.3">
      <c r="A47" s="166"/>
      <c r="B47" s="117"/>
      <c r="C47" s="32"/>
      <c r="D47" s="130">
        <f>D19*(D24*D22+D25*D23)/(SQRT(3)*1.25*1000)</f>
        <v>32.596151134525975</v>
      </c>
      <c r="E47" s="131" t="s">
        <v>19</v>
      </c>
      <c r="F47" s="93"/>
      <c r="G47" s="32"/>
      <c r="H47" s="32"/>
      <c r="I47" s="32"/>
      <c r="J47" s="32"/>
      <c r="N47" s="3">
        <v>10</v>
      </c>
      <c r="O47" s="187" t="s">
        <v>301</v>
      </c>
      <c r="P47" s="228">
        <f>D26</f>
        <v>8</v>
      </c>
      <c r="Q47" s="234">
        <v>8</v>
      </c>
      <c r="R47" s="234">
        <v>8</v>
      </c>
    </row>
    <row r="48" spans="1:54" x14ac:dyDescent="0.3">
      <c r="A48" s="166" t="s">
        <v>78</v>
      </c>
      <c r="B48" s="126" t="s">
        <v>122</v>
      </c>
      <c r="C48" s="86" t="s">
        <v>172</v>
      </c>
      <c r="D48" s="32" t="s">
        <v>124</v>
      </c>
      <c r="E48" s="32"/>
      <c r="F48" s="93"/>
      <c r="G48" s="32"/>
      <c r="H48" s="32"/>
      <c r="I48" s="32"/>
      <c r="J48" s="32"/>
      <c r="N48" s="3">
        <v>11</v>
      </c>
      <c r="O48" s="187" t="s">
        <v>304</v>
      </c>
      <c r="P48" s="230">
        <f>AE117</f>
        <v>1.397340199930774</v>
      </c>
      <c r="Q48" s="236">
        <v>1.397340199930774</v>
      </c>
      <c r="R48" s="236">
        <v>1.397340199930774</v>
      </c>
    </row>
    <row r="49" spans="1:18" x14ac:dyDescent="0.3">
      <c r="A49" s="165"/>
      <c r="B49" s="129" t="s">
        <v>123</v>
      </c>
      <c r="C49" s="86"/>
      <c r="D49" s="32" t="s">
        <v>125</v>
      </c>
      <c r="E49" s="32"/>
      <c r="F49" s="93"/>
      <c r="G49" s="32"/>
      <c r="H49" s="32"/>
      <c r="I49" s="32"/>
      <c r="J49" s="32"/>
      <c r="N49" s="3">
        <v>12</v>
      </c>
      <c r="O49" s="187" t="s">
        <v>308</v>
      </c>
      <c r="P49" s="230">
        <f>D60</f>
        <v>50.812370906573598</v>
      </c>
      <c r="Q49" s="236">
        <v>50.812370906573598</v>
      </c>
      <c r="R49" s="236">
        <v>50.812370906573598</v>
      </c>
    </row>
    <row r="50" spans="1:18" x14ac:dyDescent="0.3">
      <c r="A50" s="165"/>
      <c r="B50" s="129"/>
      <c r="C50" s="32"/>
      <c r="D50" s="127">
        <f>MIN((D29/(3*D17)),(D31/(3*D17)-0.25),D20/D41,1)</f>
        <v>0.46153846153846156</v>
      </c>
      <c r="E50" s="32"/>
      <c r="F50" s="93"/>
      <c r="G50" s="32"/>
      <c r="H50" s="32"/>
      <c r="I50" s="32"/>
      <c r="J50" s="32"/>
      <c r="N50" s="3">
        <v>13</v>
      </c>
      <c r="O50" s="187" t="s">
        <v>303</v>
      </c>
      <c r="P50" s="230">
        <f>D53</f>
        <v>32.596151134525975</v>
      </c>
      <c r="Q50" s="236">
        <v>32.596151134525975</v>
      </c>
      <c r="R50" s="236">
        <v>32.596151134525975</v>
      </c>
    </row>
    <row r="51" spans="1:18" x14ac:dyDescent="0.3">
      <c r="A51" s="165"/>
      <c r="B51" s="129" t="s">
        <v>43</v>
      </c>
      <c r="C51" s="86"/>
      <c r="D51" s="125">
        <f>D39</f>
        <v>20</v>
      </c>
      <c r="E51" s="32" t="s">
        <v>8</v>
      </c>
      <c r="F51" s="93"/>
      <c r="G51" s="32"/>
      <c r="H51" s="32"/>
      <c r="I51" s="32"/>
      <c r="J51" s="32"/>
      <c r="N51" s="3">
        <v>14</v>
      </c>
      <c r="O51" s="187" t="s">
        <v>309</v>
      </c>
      <c r="P51" s="230">
        <f>P$47*P48</f>
        <v>11.178721599446192</v>
      </c>
      <c r="Q51" s="236">
        <v>11.178721599446192</v>
      </c>
      <c r="R51" s="236">
        <v>11.178721599446192</v>
      </c>
    </row>
    <row r="52" spans="1:18" x14ac:dyDescent="0.3">
      <c r="A52" s="165"/>
      <c r="B52" s="32"/>
      <c r="C52" s="32"/>
      <c r="D52" s="130">
        <f>2.5*D50*D16*D51*D41/1000</f>
        <v>135.69230769230768</v>
      </c>
      <c r="E52" s="131" t="s">
        <v>19</v>
      </c>
      <c r="F52" s="93"/>
      <c r="G52" s="32"/>
      <c r="H52" s="32"/>
      <c r="I52" s="32"/>
      <c r="J52" s="32"/>
      <c r="N52" s="3">
        <v>15</v>
      </c>
      <c r="O52" s="187" t="s">
        <v>302</v>
      </c>
      <c r="P52" s="230">
        <f>P$47*P49</f>
        <v>406.49896725258878</v>
      </c>
      <c r="Q52" s="236">
        <v>406.49896725258878</v>
      </c>
      <c r="R52" s="236">
        <v>406.49896725258878</v>
      </c>
    </row>
    <row r="53" spans="1:18" x14ac:dyDescent="0.3">
      <c r="A53" s="165"/>
      <c r="B53" s="132" t="s">
        <v>126</v>
      </c>
      <c r="C53" s="132" t="s">
        <v>174</v>
      </c>
      <c r="D53" s="87">
        <f>MIN(D47,D52)</f>
        <v>32.596151134525975</v>
      </c>
      <c r="E53" s="115" t="s">
        <v>19</v>
      </c>
      <c r="F53" s="93" t="str">
        <f>IF(D53&gt;D35,"OK","Check")</f>
        <v>OK</v>
      </c>
      <c r="G53" s="32"/>
      <c r="H53" s="32"/>
      <c r="I53" s="32"/>
      <c r="J53" s="32"/>
      <c r="N53" s="3">
        <v>16</v>
      </c>
      <c r="O53" s="187" t="s">
        <v>307</v>
      </c>
      <c r="P53" s="230">
        <f>P$47*P50</f>
        <v>260.7692090762078</v>
      </c>
      <c r="Q53" s="236">
        <v>260.7692090762078</v>
      </c>
      <c r="R53" s="236">
        <v>260.7692090762078</v>
      </c>
    </row>
    <row r="54" spans="1:18" x14ac:dyDescent="0.3">
      <c r="A54" s="165"/>
      <c r="B54" s="32"/>
      <c r="C54" s="32"/>
      <c r="D54" s="32"/>
      <c r="E54" s="32"/>
      <c r="F54" s="93"/>
      <c r="G54" s="32"/>
      <c r="H54" s="32"/>
      <c r="I54" s="32"/>
      <c r="J54" s="32"/>
      <c r="N54" s="3">
        <v>17</v>
      </c>
      <c r="O54" s="187" t="s">
        <v>324</v>
      </c>
      <c r="P54" s="230">
        <f>D38</f>
        <v>145</v>
      </c>
      <c r="Q54" s="236">
        <v>145</v>
      </c>
      <c r="R54" s="236">
        <v>145</v>
      </c>
    </row>
    <row r="55" spans="1:18" x14ac:dyDescent="0.3">
      <c r="A55" s="165" t="s">
        <v>176</v>
      </c>
      <c r="B55" s="86" t="s">
        <v>127</v>
      </c>
      <c r="C55" s="86"/>
      <c r="E55" s="32"/>
      <c r="F55" s="93"/>
      <c r="G55" s="32"/>
      <c r="H55" s="32"/>
      <c r="I55" s="32"/>
      <c r="J55" s="32"/>
      <c r="N55" s="3">
        <v>18</v>
      </c>
      <c r="O55" s="187" t="s">
        <v>310</v>
      </c>
      <c r="P55" s="228">
        <f>D39</f>
        <v>20</v>
      </c>
      <c r="Q55" s="236">
        <v>20</v>
      </c>
      <c r="R55" s="236">
        <v>20</v>
      </c>
    </row>
    <row r="56" spans="1:18" x14ac:dyDescent="0.3">
      <c r="A56" s="166"/>
      <c r="B56" s="132"/>
      <c r="C56" s="133" t="s">
        <v>251</v>
      </c>
      <c r="D56" s="32" t="s">
        <v>223</v>
      </c>
      <c r="F56" s="93"/>
      <c r="G56" s="32"/>
      <c r="H56" s="32"/>
      <c r="I56" s="32"/>
      <c r="J56" s="32"/>
      <c r="N56" s="3">
        <v>19</v>
      </c>
      <c r="O56" s="187" t="s">
        <v>337</v>
      </c>
      <c r="P56" s="231">
        <f>P124</f>
        <v>10.058400000000002</v>
      </c>
      <c r="Q56" s="236">
        <v>10.058400000000002</v>
      </c>
      <c r="R56" s="236">
        <v>10.058400000000002</v>
      </c>
    </row>
    <row r="57" spans="1:18" x14ac:dyDescent="0.3">
      <c r="A57" s="166"/>
      <c r="B57" s="132"/>
      <c r="C57" s="133"/>
      <c r="D57" s="134">
        <f>0.9*D19*D22/(1.25*1000)</f>
        <v>50.812370906573598</v>
      </c>
      <c r="E57" s="133" t="s">
        <v>19</v>
      </c>
      <c r="F57" s="93"/>
      <c r="G57" s="32"/>
      <c r="H57" s="32"/>
      <c r="I57" s="32"/>
      <c r="J57" s="32"/>
      <c r="N57" s="3">
        <v>20</v>
      </c>
      <c r="O57" s="187" t="s">
        <v>384</v>
      </c>
      <c r="P57" s="230">
        <f>D138</f>
        <v>348.13957422949488</v>
      </c>
      <c r="Q57" s="236">
        <v>348.13957422949488</v>
      </c>
      <c r="R57" s="236">
        <v>348.13957422949488</v>
      </c>
    </row>
    <row r="58" spans="1:18" x14ac:dyDescent="0.3">
      <c r="A58" s="166"/>
      <c r="B58" s="132"/>
      <c r="C58" s="133" t="s">
        <v>252</v>
      </c>
      <c r="D58" s="3" t="s">
        <v>470</v>
      </c>
      <c r="F58" s="167"/>
      <c r="G58" s="87"/>
      <c r="H58" s="87"/>
      <c r="I58" s="87"/>
      <c r="J58" s="87"/>
      <c r="N58" s="3">
        <v>21</v>
      </c>
      <c r="O58" s="188" t="s">
        <v>427</v>
      </c>
      <c r="P58" s="230">
        <f>D139</f>
        <v>300</v>
      </c>
      <c r="Q58" s="236">
        <v>300</v>
      </c>
      <c r="R58" s="236">
        <v>300</v>
      </c>
    </row>
    <row r="59" spans="1:18" x14ac:dyDescent="0.3">
      <c r="A59" s="166"/>
      <c r="B59" s="132"/>
      <c r="C59" s="133"/>
      <c r="D59" s="135">
        <f>D20*D23/(1.1*1000)</f>
        <v>65.802086126098942</v>
      </c>
      <c r="E59" s="133" t="s">
        <v>19</v>
      </c>
      <c r="F59" s="167"/>
      <c r="G59" s="87"/>
      <c r="H59" s="87"/>
      <c r="I59" s="87"/>
      <c r="J59" s="87"/>
      <c r="N59" s="3">
        <v>22</v>
      </c>
      <c r="O59" s="187" t="s">
        <v>364</v>
      </c>
      <c r="P59" s="230">
        <f>D154</f>
        <v>50</v>
      </c>
      <c r="Q59" s="237">
        <v>50</v>
      </c>
      <c r="R59" s="237">
        <v>50</v>
      </c>
    </row>
    <row r="60" spans="1:18" x14ac:dyDescent="0.3">
      <c r="A60" s="98"/>
      <c r="B60" s="32"/>
      <c r="C60" s="115" t="s">
        <v>166</v>
      </c>
      <c r="D60" s="87">
        <f>MIN(D57:D59)</f>
        <v>50.812370906573598</v>
      </c>
      <c r="E60" s="115" t="s">
        <v>19</v>
      </c>
      <c r="F60" s="93" t="str">
        <f>IF(D60&gt;=D34,"OK","Check")</f>
        <v>OK</v>
      </c>
      <c r="G60" s="32"/>
      <c r="H60" s="32"/>
      <c r="I60" s="32"/>
      <c r="J60" s="32"/>
      <c r="N60" s="3">
        <v>23</v>
      </c>
      <c r="O60" s="187" t="s">
        <v>365</v>
      </c>
      <c r="P60" s="230">
        <f>D141</f>
        <v>34</v>
      </c>
      <c r="Q60" s="236">
        <v>34</v>
      </c>
      <c r="R60" s="236">
        <v>34</v>
      </c>
    </row>
    <row r="61" spans="1:18" x14ac:dyDescent="0.3">
      <c r="A61" s="98"/>
      <c r="B61" s="32" t="s">
        <v>129</v>
      </c>
      <c r="C61" s="32"/>
      <c r="D61" s="32" t="s">
        <v>130</v>
      </c>
      <c r="E61" s="32"/>
      <c r="F61" s="93"/>
      <c r="G61" s="32"/>
      <c r="H61" s="32"/>
      <c r="I61" s="32"/>
      <c r="J61" s="32"/>
      <c r="N61" s="3">
        <v>24</v>
      </c>
      <c r="O61" s="187" t="s">
        <v>360</v>
      </c>
      <c r="P61" s="230">
        <f>D142</f>
        <v>6</v>
      </c>
      <c r="Q61" s="236">
        <v>6</v>
      </c>
      <c r="R61" s="236">
        <v>6</v>
      </c>
    </row>
    <row r="62" spans="1:18" x14ac:dyDescent="0.3">
      <c r="A62" s="98"/>
      <c r="B62" s="32"/>
      <c r="C62" s="32"/>
      <c r="D62" s="130">
        <f>(D35/D53)^2+(D34/D60)^2</f>
        <v>0.85491404593547515</v>
      </c>
      <c r="E62" s="32"/>
      <c r="F62" s="93" t="str">
        <f>IF(D62&lt;1,"OK","Check")</f>
        <v>OK</v>
      </c>
      <c r="G62" s="32"/>
      <c r="H62" s="32"/>
      <c r="I62" s="32"/>
      <c r="J62" s="32"/>
      <c r="N62" s="3">
        <v>25</v>
      </c>
      <c r="O62" s="187" t="s">
        <v>428</v>
      </c>
      <c r="P62" s="230">
        <f>D162</f>
        <v>43.728603932137993</v>
      </c>
      <c r="Q62" s="236">
        <v>43.728603932137993</v>
      </c>
      <c r="R62" s="236">
        <v>43.728603932137993</v>
      </c>
    </row>
    <row r="63" spans="1:18" x14ac:dyDescent="0.3">
      <c r="A63" s="102"/>
      <c r="B63" s="94"/>
      <c r="C63" s="94"/>
      <c r="D63" s="168"/>
      <c r="E63" s="94"/>
      <c r="F63" s="95"/>
      <c r="G63" s="32"/>
      <c r="H63" s="32"/>
      <c r="I63" s="32"/>
      <c r="J63" s="32"/>
      <c r="N63" s="3">
        <v>26</v>
      </c>
      <c r="O63" s="187" t="s">
        <v>429</v>
      </c>
      <c r="P63" s="230">
        <f>D163</f>
        <v>136.32756654792115</v>
      </c>
      <c r="Q63" s="236">
        <v>136.32756654792115</v>
      </c>
      <c r="R63" s="236">
        <v>136.32756654792115</v>
      </c>
    </row>
    <row r="64" spans="1:18" x14ac:dyDescent="0.3">
      <c r="A64" s="169">
        <v>7</v>
      </c>
      <c r="B64" s="170" t="s">
        <v>449</v>
      </c>
      <c r="C64" s="96"/>
      <c r="D64" s="96"/>
      <c r="E64" s="96"/>
      <c r="F64" s="97"/>
      <c r="G64" s="32"/>
      <c r="H64" s="32"/>
      <c r="I64" s="32"/>
      <c r="J64" s="32"/>
      <c r="N64" s="3">
        <v>27</v>
      </c>
      <c r="O64" s="187" t="s">
        <v>430</v>
      </c>
      <c r="P64" s="230">
        <f>D165</f>
        <v>318.18181818181813</v>
      </c>
      <c r="Q64" s="236">
        <v>318.18181818181813</v>
      </c>
      <c r="R64" s="236">
        <v>318.18181818181813</v>
      </c>
    </row>
    <row r="65" spans="1:26" x14ac:dyDescent="0.3">
      <c r="A65" s="98"/>
      <c r="B65" s="117" t="s">
        <v>147</v>
      </c>
      <c r="C65" s="32"/>
      <c r="D65" s="32"/>
      <c r="E65" s="32"/>
      <c r="F65" s="93"/>
      <c r="G65" s="32"/>
      <c r="H65" s="32"/>
      <c r="I65" s="32"/>
      <c r="J65" s="32"/>
      <c r="N65" s="3">
        <v>28</v>
      </c>
      <c r="O65" s="187" t="s">
        <v>431</v>
      </c>
      <c r="P65" s="230">
        <f>D164</f>
        <v>226.32130552233332</v>
      </c>
      <c r="Q65" s="236">
        <v>226.32130552233332</v>
      </c>
      <c r="R65" s="236">
        <v>226.32130552233332</v>
      </c>
    </row>
    <row r="66" spans="1:26" x14ac:dyDescent="0.3">
      <c r="A66" s="98"/>
      <c r="B66" s="126" t="s">
        <v>132</v>
      </c>
      <c r="C66" s="32"/>
      <c r="D66" s="127">
        <f>D34</f>
        <v>40.764842174066345</v>
      </c>
      <c r="E66" s="32" t="s">
        <v>19</v>
      </c>
      <c r="F66" s="93"/>
      <c r="G66" s="32"/>
      <c r="H66" s="32"/>
      <c r="I66" s="32"/>
      <c r="J66" s="32"/>
      <c r="L66" s="37"/>
      <c r="N66" s="3">
        <v>29</v>
      </c>
      <c r="O66" s="187" t="s">
        <v>425</v>
      </c>
      <c r="P66" s="230">
        <f>D178</f>
        <v>3</v>
      </c>
      <c r="Q66" s="236">
        <v>3</v>
      </c>
      <c r="R66" s="236">
        <v>3</v>
      </c>
    </row>
    <row r="67" spans="1:26" x14ac:dyDescent="0.3">
      <c r="A67" s="98"/>
      <c r="B67" s="126" t="s">
        <v>145</v>
      </c>
      <c r="C67" s="32"/>
      <c r="D67" s="127">
        <f>D60-D66</f>
        <v>10.047528732507253</v>
      </c>
      <c r="E67" s="32" t="s">
        <v>19</v>
      </c>
      <c r="F67" s="93"/>
      <c r="G67" s="32"/>
      <c r="H67" s="32"/>
      <c r="I67" s="32"/>
      <c r="J67" s="32"/>
      <c r="N67" s="3">
        <v>30</v>
      </c>
      <c r="O67" s="187" t="s">
        <v>426</v>
      </c>
      <c r="P67" s="228">
        <f>D179</f>
        <v>3</v>
      </c>
      <c r="Q67" s="236">
        <v>3</v>
      </c>
      <c r="R67" s="236">
        <v>3</v>
      </c>
    </row>
    <row r="68" spans="1:26" x14ac:dyDescent="0.3">
      <c r="A68" s="98"/>
      <c r="B68" s="126" t="s">
        <v>135</v>
      </c>
      <c r="C68" s="32"/>
      <c r="D68" s="32">
        <f>D28</f>
        <v>18</v>
      </c>
      <c r="E68" s="32" t="s">
        <v>8</v>
      </c>
      <c r="F68" s="93" t="s">
        <v>241</v>
      </c>
      <c r="G68" s="32"/>
      <c r="H68" s="32"/>
      <c r="I68" s="32"/>
      <c r="J68" s="32"/>
      <c r="N68" s="3">
        <v>31</v>
      </c>
      <c r="O68" s="187" t="s">
        <v>499</v>
      </c>
      <c r="P68" s="231">
        <f>D100</f>
        <v>19.311445286510189</v>
      </c>
      <c r="Q68" s="241">
        <v>19.311445286510189</v>
      </c>
      <c r="R68" s="241">
        <v>19.311445286510189</v>
      </c>
    </row>
    <row r="69" spans="1:26" ht="15" thickBot="1" x14ac:dyDescent="0.35">
      <c r="A69" s="98"/>
      <c r="B69" s="126" t="s">
        <v>60</v>
      </c>
      <c r="C69" s="32"/>
      <c r="D69" s="127">
        <f>D66*D68/1000</f>
        <v>0.73376715913319424</v>
      </c>
      <c r="E69" s="32" t="s">
        <v>16</v>
      </c>
      <c r="F69" s="93"/>
      <c r="G69" s="32"/>
      <c r="H69" s="32"/>
      <c r="I69" s="32"/>
      <c r="J69" s="32"/>
      <c r="N69" s="3">
        <v>32</v>
      </c>
      <c r="O69" s="189" t="s">
        <v>503</v>
      </c>
      <c r="P69" s="232">
        <f ca="1">D147</f>
        <v>10.098156349401139</v>
      </c>
      <c r="Q69" s="238">
        <v>10.098156349401139</v>
      </c>
      <c r="R69" s="238">
        <v>10.098156349401139</v>
      </c>
    </row>
    <row r="70" spans="1:26" x14ac:dyDescent="0.3">
      <c r="A70" s="98"/>
      <c r="B70" s="126" t="s">
        <v>148</v>
      </c>
      <c r="C70" s="32"/>
      <c r="D70" s="136">
        <f>SQRT(4*D69*1000^2*1.1/(1*D42*D38))</f>
        <v>8.2141854263916088</v>
      </c>
      <c r="E70" s="32" t="s">
        <v>8</v>
      </c>
      <c r="F70" s="93" t="str">
        <f>IF(D70&lt;=D39,"OK","Check")</f>
        <v>OK</v>
      </c>
      <c r="G70" s="32"/>
      <c r="H70" s="32"/>
      <c r="I70" s="32"/>
      <c r="J70" s="32"/>
    </row>
    <row r="71" spans="1:26" ht="15.6" x14ac:dyDescent="0.35">
      <c r="A71" s="98"/>
      <c r="B71" s="32"/>
      <c r="C71" s="32"/>
      <c r="D71" s="32"/>
      <c r="E71" s="32"/>
      <c r="F71" s="93"/>
      <c r="G71" s="32"/>
      <c r="H71" s="32"/>
      <c r="I71" s="32"/>
      <c r="J71" s="32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</row>
    <row r="72" spans="1:26" ht="15.6" x14ac:dyDescent="0.35">
      <c r="A72" s="98"/>
      <c r="B72" s="117" t="s">
        <v>133</v>
      </c>
      <c r="C72" s="32"/>
      <c r="D72" s="32" t="s">
        <v>134</v>
      </c>
      <c r="E72" s="32"/>
      <c r="F72" s="93"/>
      <c r="G72" s="32"/>
      <c r="H72" s="32"/>
      <c r="I72" s="32"/>
      <c r="J72" s="32"/>
      <c r="M72" s="191"/>
      <c r="N72" s="191" t="s">
        <v>78</v>
      </c>
      <c r="O72" s="191">
        <v>70</v>
      </c>
      <c r="P72" s="191" t="s">
        <v>8</v>
      </c>
      <c r="Q72" s="191"/>
      <c r="R72" s="220" t="s">
        <v>491</v>
      </c>
      <c r="S72" s="218">
        <f>M70</f>
        <v>0</v>
      </c>
      <c r="T72" s="191"/>
      <c r="U72" s="191"/>
      <c r="V72" s="191"/>
      <c r="W72" s="191"/>
      <c r="X72" s="191"/>
      <c r="Y72" s="191"/>
      <c r="Z72" s="191"/>
    </row>
    <row r="73" spans="1:26" ht="15.6" x14ac:dyDescent="0.35">
      <c r="A73" s="98"/>
      <c r="B73" s="126" t="s">
        <v>135</v>
      </c>
      <c r="C73" s="32"/>
      <c r="D73" s="32">
        <f>CEILING((D38-D4)/2-D29,5)</f>
        <v>20</v>
      </c>
      <c r="E73" s="32" t="s">
        <v>8</v>
      </c>
      <c r="F73" s="93"/>
      <c r="G73" s="32"/>
      <c r="H73" s="32"/>
      <c r="I73" s="32"/>
      <c r="J73" s="32"/>
      <c r="M73" s="217" t="s">
        <v>322</v>
      </c>
      <c r="N73" s="191" t="s">
        <v>77</v>
      </c>
      <c r="O73" s="196">
        <v>40</v>
      </c>
      <c r="P73" s="191" t="s">
        <v>8</v>
      </c>
      <c r="Q73" s="196"/>
      <c r="R73" s="217" t="s">
        <v>492</v>
      </c>
      <c r="S73" s="212" t="e">
        <f>H70/K70</f>
        <v>#DIV/0!</v>
      </c>
      <c r="T73" s="196"/>
      <c r="U73" s="196"/>
      <c r="V73" s="196"/>
      <c r="W73" s="196"/>
      <c r="X73" s="196"/>
      <c r="Y73" s="196"/>
      <c r="Z73" s="196"/>
    </row>
    <row r="74" spans="1:26" ht="15.6" x14ac:dyDescent="0.35">
      <c r="A74" s="98"/>
      <c r="B74" s="126" t="s">
        <v>136</v>
      </c>
      <c r="C74" s="32"/>
      <c r="D74" s="32" t="s">
        <v>137</v>
      </c>
      <c r="E74" s="32"/>
      <c r="F74" s="93"/>
      <c r="G74" s="32"/>
      <c r="H74" s="32"/>
      <c r="I74" s="32"/>
      <c r="J74" s="32"/>
      <c r="M74" s="196"/>
      <c r="N74" s="196" t="s">
        <v>152</v>
      </c>
      <c r="O74" s="221">
        <f>S72*37*1000</f>
        <v>0</v>
      </c>
      <c r="P74" s="196" t="s">
        <v>487</v>
      </c>
      <c r="Q74" s="191"/>
      <c r="R74" s="191"/>
      <c r="S74" s="196"/>
      <c r="T74" s="196"/>
      <c r="U74" s="196"/>
      <c r="V74" s="196"/>
      <c r="W74" s="196"/>
      <c r="X74" s="196"/>
      <c r="Y74" s="196"/>
      <c r="Z74" s="196"/>
    </row>
    <row r="75" spans="1:26" ht="15.6" x14ac:dyDescent="0.35">
      <c r="A75" s="98"/>
      <c r="B75" s="126"/>
      <c r="C75" s="32"/>
      <c r="D75" s="127">
        <f>MIN(1.1*D81*SQRT((D76*D80)/D42),D28,D29)</f>
        <v>18</v>
      </c>
      <c r="E75" s="32" t="s">
        <v>8</v>
      </c>
      <c r="F75" s="93"/>
      <c r="G75" s="32"/>
      <c r="H75" s="32"/>
      <c r="I75" s="32"/>
      <c r="J75" s="32"/>
      <c r="M75" s="191"/>
      <c r="N75" s="196" t="s">
        <v>490</v>
      </c>
      <c r="O75" s="196">
        <f>O72*O73^2/6</f>
        <v>18666.666666666668</v>
      </c>
      <c r="P75" s="196" t="s">
        <v>15</v>
      </c>
      <c r="Q75" s="191" t="s">
        <v>489</v>
      </c>
      <c r="R75" s="191">
        <f>O72*O73^3/12</f>
        <v>373333.33333333331</v>
      </c>
      <c r="S75" s="191"/>
      <c r="T75" s="191"/>
      <c r="U75" s="191"/>
      <c r="V75" s="191"/>
      <c r="W75" s="191"/>
      <c r="X75" s="191"/>
      <c r="Y75" s="191"/>
      <c r="Z75" s="191"/>
    </row>
    <row r="76" spans="1:26" ht="15.6" x14ac:dyDescent="0.35">
      <c r="A76" s="98"/>
      <c r="B76" s="126" t="s">
        <v>45</v>
      </c>
      <c r="C76" s="32"/>
      <c r="D76" s="32">
        <v>2</v>
      </c>
      <c r="E76" s="32"/>
      <c r="F76" s="93"/>
      <c r="G76" s="32"/>
      <c r="H76" s="32"/>
      <c r="I76" s="32"/>
      <c r="J76" s="32"/>
      <c r="M76" s="191"/>
      <c r="N76" s="191" t="s">
        <v>488</v>
      </c>
      <c r="O76" s="222">
        <f>O74/O75</f>
        <v>0</v>
      </c>
      <c r="P76" s="191" t="s">
        <v>7</v>
      </c>
      <c r="Q76" s="191"/>
      <c r="R76" s="191"/>
      <c r="S76" s="191"/>
      <c r="T76" s="191"/>
      <c r="U76" s="191"/>
      <c r="V76" s="191"/>
      <c r="W76" s="191"/>
      <c r="X76" s="191"/>
      <c r="Y76" s="191"/>
      <c r="Z76" s="191"/>
    </row>
    <row r="77" spans="1:26" ht="15.6" x14ac:dyDescent="0.35">
      <c r="A77" s="98"/>
      <c r="B77" s="126" t="s">
        <v>138</v>
      </c>
      <c r="C77" s="32"/>
      <c r="D77" s="32">
        <v>1.5</v>
      </c>
      <c r="E77" s="32"/>
      <c r="F77" s="93"/>
      <c r="G77" s="32"/>
      <c r="H77" s="32"/>
      <c r="I77" s="32"/>
      <c r="J77" s="32"/>
      <c r="M77" s="191"/>
      <c r="N77" s="191"/>
      <c r="O77" s="191"/>
      <c r="P77" s="191"/>
      <c r="Q77" s="191"/>
      <c r="R77" s="191">
        <f>PI()*D70</f>
        <v>25.805624590776219</v>
      </c>
      <c r="S77" s="191"/>
      <c r="T77" s="191"/>
      <c r="U77" s="191"/>
      <c r="V77" s="225">
        <f>SQRT(6*O74/(O78*O72))</f>
        <v>0</v>
      </c>
      <c r="W77" s="191"/>
      <c r="X77" s="191" t="s">
        <v>494</v>
      </c>
      <c r="Y77" s="225">
        <f>SQRT((6*O74)/(O72*O78))</f>
        <v>0</v>
      </c>
      <c r="Z77" s="191" t="s">
        <v>8</v>
      </c>
    </row>
    <row r="78" spans="1:26" ht="15.6" x14ac:dyDescent="0.35">
      <c r="A78" s="98"/>
      <c r="B78" s="126" t="s">
        <v>139</v>
      </c>
      <c r="C78" s="32"/>
      <c r="D78" s="32">
        <f>D38</f>
        <v>145</v>
      </c>
      <c r="E78" s="32" t="s">
        <v>8</v>
      </c>
      <c r="F78" s="93"/>
      <c r="G78" s="32"/>
      <c r="H78" s="32"/>
      <c r="I78" s="32"/>
      <c r="J78" s="32"/>
      <c r="M78" s="191"/>
      <c r="N78" s="191" t="s">
        <v>493</v>
      </c>
      <c r="O78" s="191">
        <f>320/1.1</f>
        <v>290.90909090909088</v>
      </c>
      <c r="P78" s="191" t="s">
        <v>7</v>
      </c>
      <c r="Q78" s="191"/>
      <c r="R78" s="191">
        <f>R77/6</f>
        <v>4.3009374317960365</v>
      </c>
      <c r="S78" s="191"/>
      <c r="T78" s="191"/>
      <c r="U78" s="191"/>
      <c r="V78" s="191"/>
      <c r="W78" s="191"/>
      <c r="X78" s="191"/>
      <c r="Y78" s="191"/>
      <c r="Z78" s="191"/>
    </row>
    <row r="79" spans="1:26" ht="15.6" x14ac:dyDescent="0.35">
      <c r="A79" s="98"/>
      <c r="B79" s="126" t="s">
        <v>140</v>
      </c>
      <c r="C79" s="32"/>
      <c r="D79" s="32" t="s">
        <v>141</v>
      </c>
      <c r="E79" s="32"/>
      <c r="F79" s="93" t="s">
        <v>142</v>
      </c>
      <c r="G79" s="32"/>
      <c r="H79" s="32"/>
      <c r="I79" s="32"/>
      <c r="J79" s="32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</row>
    <row r="80" spans="1:26" ht="15.6" x14ac:dyDescent="0.35">
      <c r="A80" s="98"/>
      <c r="B80" s="126"/>
      <c r="C80" s="32"/>
      <c r="D80" s="32">
        <f>0.7*D20</f>
        <v>448</v>
      </c>
      <c r="E80" s="32" t="s">
        <v>7</v>
      </c>
      <c r="F80" s="93"/>
      <c r="G80" s="32"/>
      <c r="H80" s="32" t="s">
        <v>507</v>
      </c>
      <c r="I80" s="32">
        <f>D38</f>
        <v>145</v>
      </c>
      <c r="J80" s="32" t="s">
        <v>8</v>
      </c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</row>
    <row r="81" spans="1:12" x14ac:dyDescent="0.3">
      <c r="A81" s="98"/>
      <c r="B81" s="126" t="s">
        <v>43</v>
      </c>
      <c r="C81" s="32"/>
      <c r="D81" s="32">
        <f>D39</f>
        <v>20</v>
      </c>
      <c r="E81" s="32" t="s">
        <v>8</v>
      </c>
      <c r="F81" s="93"/>
      <c r="G81" s="32"/>
      <c r="H81" s="32" t="s">
        <v>508</v>
      </c>
      <c r="I81" s="32">
        <f>D4</f>
        <v>76.099999999999994</v>
      </c>
      <c r="J81" s="32" t="s">
        <v>8</v>
      </c>
    </row>
    <row r="82" spans="1:12" x14ac:dyDescent="0.3">
      <c r="A82" s="98"/>
      <c r="B82" s="126" t="s">
        <v>143</v>
      </c>
      <c r="C82" s="32"/>
      <c r="D82" s="137">
        <f>(D73/(2*D75))*((D13/2)-(D76*D77*D80*D78*D81^4)/(27*D75*D73^2))/1000</f>
        <v>-89.017779088721554</v>
      </c>
      <c r="E82" s="32" t="s">
        <v>19</v>
      </c>
      <c r="F82" s="93"/>
      <c r="G82" s="32"/>
      <c r="H82" s="32" t="s">
        <v>237</v>
      </c>
      <c r="I82" s="32">
        <f>D26</f>
        <v>8</v>
      </c>
      <c r="J82" s="32" t="s">
        <v>131</v>
      </c>
    </row>
    <row r="83" spans="1:12" x14ac:dyDescent="0.3">
      <c r="A83" s="98"/>
      <c r="B83" s="117" t="s">
        <v>145</v>
      </c>
      <c r="C83" s="32"/>
      <c r="D83" s="127">
        <f>D60-D34</f>
        <v>10.047528732507253</v>
      </c>
      <c r="E83" s="32" t="s">
        <v>19</v>
      </c>
      <c r="F83" s="93"/>
      <c r="G83" s="32"/>
      <c r="H83" s="32" t="s">
        <v>509</v>
      </c>
      <c r="I83" s="127">
        <f>D60</f>
        <v>50.812370906573598</v>
      </c>
      <c r="J83" s="32" t="s">
        <v>19</v>
      </c>
    </row>
    <row r="84" spans="1:12" x14ac:dyDescent="0.3">
      <c r="A84" s="98"/>
      <c r="B84" s="117" t="s">
        <v>146</v>
      </c>
      <c r="C84" s="32"/>
      <c r="D84" s="127">
        <f>ABS(D82)</f>
        <v>89.017779088721554</v>
      </c>
      <c r="E84" s="32" t="s">
        <v>19</v>
      </c>
      <c r="F84" s="93" t="str">
        <f>IF(OR(D84&lt;=D83,D82&lt;0),"OK","Check")</f>
        <v>OK</v>
      </c>
      <c r="G84" s="32"/>
      <c r="H84" s="32" t="s">
        <v>511</v>
      </c>
      <c r="I84" s="32">
        <f>(I80-I81)/(2*I86)</f>
        <v>2.094224924012158</v>
      </c>
      <c r="J84" s="32" t="s">
        <v>8</v>
      </c>
    </row>
    <row r="85" spans="1:12" x14ac:dyDescent="0.3">
      <c r="A85" s="98"/>
      <c r="B85" s="117" t="s">
        <v>144</v>
      </c>
      <c r="C85" s="32"/>
      <c r="D85" s="127">
        <f>D34+IF(D82&lt;0,0,ABS(D84))</f>
        <v>40.764842174066345</v>
      </c>
      <c r="E85" s="32" t="s">
        <v>19</v>
      </c>
      <c r="F85" s="93"/>
      <c r="G85" s="32"/>
      <c r="H85" s="32" t="s">
        <v>512</v>
      </c>
      <c r="I85" s="99">
        <f>I83/(2*I86)</f>
        <v>1.5444489637256411</v>
      </c>
      <c r="J85" s="32" t="s">
        <v>510</v>
      </c>
    </row>
    <row r="86" spans="1:12" x14ac:dyDescent="0.3">
      <c r="A86" s="98"/>
      <c r="B86" s="117" t="s">
        <v>129</v>
      </c>
      <c r="C86" s="32"/>
      <c r="D86" s="32" t="s">
        <v>130</v>
      </c>
      <c r="E86" s="32"/>
      <c r="F86" s="93"/>
      <c r="G86" s="32"/>
      <c r="H86" s="3" t="s">
        <v>86</v>
      </c>
      <c r="I86" s="22">
        <f>D97</f>
        <v>16.450000000000003</v>
      </c>
      <c r="J86" s="3" t="s">
        <v>8</v>
      </c>
    </row>
    <row r="87" spans="1:12" x14ac:dyDescent="0.3">
      <c r="A87" s="98"/>
      <c r="B87" s="117" t="s">
        <v>149</v>
      </c>
      <c r="C87" s="32"/>
      <c r="D87" s="127">
        <f>D35</f>
        <v>14.98322360524779</v>
      </c>
      <c r="E87" s="32" t="s">
        <v>19</v>
      </c>
      <c r="F87" s="93"/>
      <c r="G87" s="32"/>
      <c r="H87" s="32" t="s">
        <v>128</v>
      </c>
      <c r="I87" s="100">
        <f>1000*I85*(I86*2)^2/2</f>
        <v>835863.50141313579</v>
      </c>
      <c r="J87" s="3" t="s">
        <v>487</v>
      </c>
      <c r="K87" s="22">
        <f>D105*Z106/1000</f>
        <v>1.6935493879002279</v>
      </c>
    </row>
    <row r="88" spans="1:12" x14ac:dyDescent="0.3">
      <c r="A88" s="98"/>
      <c r="B88" s="117" t="s">
        <v>72</v>
      </c>
      <c r="C88" s="32"/>
      <c r="D88" s="127">
        <f>D53</f>
        <v>32.596151134525975</v>
      </c>
      <c r="E88" s="32" t="s">
        <v>19</v>
      </c>
      <c r="F88" s="93"/>
      <c r="G88" s="32"/>
      <c r="H88" s="3" t="s">
        <v>515</v>
      </c>
      <c r="I88" s="70">
        <f>SQRT((6*I87)/(D94*(D42/1.1)))</f>
        <v>23.65159357381263</v>
      </c>
      <c r="J88" s="3" t="s">
        <v>8</v>
      </c>
    </row>
    <row r="89" spans="1:12" x14ac:dyDescent="0.3">
      <c r="A89" s="98"/>
      <c r="B89" s="117" t="s">
        <v>150</v>
      </c>
      <c r="C89" s="32"/>
      <c r="D89" s="127">
        <f>D85</f>
        <v>40.764842174066345</v>
      </c>
      <c r="E89" s="32" t="s">
        <v>19</v>
      </c>
      <c r="F89" s="93"/>
      <c r="G89" s="32"/>
    </row>
    <row r="90" spans="1:12" x14ac:dyDescent="0.3">
      <c r="A90" s="98"/>
      <c r="B90" s="117" t="s">
        <v>151</v>
      </c>
      <c r="C90" s="32"/>
      <c r="D90" s="127">
        <f>D60</f>
        <v>50.812370906573598</v>
      </c>
      <c r="E90" s="32" t="s">
        <v>19</v>
      </c>
      <c r="F90" s="93"/>
      <c r="G90" s="32"/>
      <c r="I90" s="22" t="b">
        <f>D100=I88</f>
        <v>0</v>
      </c>
      <c r="L90" s="63"/>
    </row>
    <row r="91" spans="1:12" x14ac:dyDescent="0.3">
      <c r="A91" s="98"/>
      <c r="B91" s="117" t="s">
        <v>129</v>
      </c>
      <c r="C91" s="32"/>
      <c r="D91" s="130">
        <f>(D87/D88)^2+(D89/D90)^2</f>
        <v>0.85491404593547515</v>
      </c>
      <c r="E91" s="32"/>
      <c r="F91" s="93" t="str">
        <f>IF(D91&lt;1,"OK","Check")</f>
        <v>OK</v>
      </c>
      <c r="G91" s="32"/>
    </row>
    <row r="92" spans="1:12" x14ac:dyDescent="0.3">
      <c r="A92" s="98"/>
      <c r="B92" s="117"/>
      <c r="C92" s="32"/>
      <c r="D92" s="130"/>
      <c r="E92" s="32"/>
      <c r="F92" s="93"/>
      <c r="G92" s="32"/>
    </row>
    <row r="93" spans="1:12" x14ac:dyDescent="0.3">
      <c r="A93" s="98"/>
      <c r="B93" s="239" t="s">
        <v>651</v>
      </c>
      <c r="C93" s="32"/>
      <c r="D93" s="130"/>
      <c r="E93" s="32"/>
      <c r="F93" s="93"/>
      <c r="G93" s="32"/>
    </row>
    <row r="94" spans="1:12" x14ac:dyDescent="0.3">
      <c r="A94" s="98"/>
      <c r="B94" s="41" t="s">
        <v>1</v>
      </c>
      <c r="C94" s="117" t="s">
        <v>78</v>
      </c>
      <c r="D94" s="135">
        <f>PI()*D4/D26</f>
        <v>29.884400117272904</v>
      </c>
      <c r="E94" s="32" t="s">
        <v>8</v>
      </c>
      <c r="F94" s="240"/>
      <c r="G94" s="32"/>
    </row>
    <row r="95" spans="1:12" x14ac:dyDescent="0.3">
      <c r="A95" s="98"/>
      <c r="B95" s="41" t="s">
        <v>495</v>
      </c>
      <c r="C95" s="117" t="s">
        <v>77</v>
      </c>
      <c r="D95" s="135">
        <f>D39</f>
        <v>20</v>
      </c>
      <c r="E95" s="32" t="s">
        <v>8</v>
      </c>
      <c r="F95" s="93"/>
      <c r="G95" s="32"/>
    </row>
    <row r="96" spans="1:12" x14ac:dyDescent="0.3">
      <c r="A96" s="98"/>
      <c r="B96" s="41" t="s">
        <v>513</v>
      </c>
      <c r="C96" s="117"/>
      <c r="D96" s="135">
        <f>D60</f>
        <v>50.812370906573598</v>
      </c>
      <c r="E96" s="32" t="s">
        <v>19</v>
      </c>
      <c r="G96" s="32"/>
    </row>
    <row r="97" spans="1:32" x14ac:dyDescent="0.3">
      <c r="A97" s="98"/>
      <c r="B97" s="41" t="s">
        <v>514</v>
      </c>
      <c r="C97" s="117" t="s">
        <v>86</v>
      </c>
      <c r="D97" s="135">
        <f>(D38-2*D29-D4)/2</f>
        <v>16.450000000000003</v>
      </c>
      <c r="E97" s="32" t="s">
        <v>8</v>
      </c>
      <c r="F97" s="93">
        <f>CEILING(1.2*D16,1)</f>
        <v>15</v>
      </c>
      <c r="G97" s="32"/>
    </row>
    <row r="98" spans="1:32" x14ac:dyDescent="0.3">
      <c r="A98" s="98"/>
      <c r="B98" s="41" t="s">
        <v>496</v>
      </c>
      <c r="C98" s="117" t="s">
        <v>152</v>
      </c>
      <c r="D98" s="99">
        <f>D96*1000*D97</f>
        <v>835863.50141313579</v>
      </c>
      <c r="E98" s="32" t="s">
        <v>487</v>
      </c>
      <c r="F98" s="240" t="s">
        <v>749</v>
      </c>
      <c r="G98" s="32"/>
    </row>
    <row r="99" spans="1:32" x14ac:dyDescent="0.3">
      <c r="A99" s="98"/>
      <c r="B99" s="41" t="s">
        <v>54</v>
      </c>
      <c r="C99" s="117" t="s">
        <v>55</v>
      </c>
      <c r="D99" s="135">
        <f>D94*D95^2/4</f>
        <v>2988.4400117272903</v>
      </c>
      <c r="E99" s="32" t="s">
        <v>15</v>
      </c>
      <c r="F99" s="93"/>
      <c r="G99" s="32"/>
    </row>
    <row r="100" spans="1:32" x14ac:dyDescent="0.3">
      <c r="A100" s="98"/>
      <c r="B100" s="117" t="s">
        <v>497</v>
      </c>
      <c r="C100" s="32" t="s">
        <v>498</v>
      </c>
      <c r="D100" s="135">
        <f>SQRT((4*D98)/(D94*(D42/1.1)))</f>
        <v>19.311445286510189</v>
      </c>
      <c r="E100" s="32" t="s">
        <v>8</v>
      </c>
      <c r="F100" s="93" t="str">
        <f>IF(D100&lt;=D39,"OK","Check")</f>
        <v>OK</v>
      </c>
      <c r="G100" s="32"/>
    </row>
    <row r="101" spans="1:32" x14ac:dyDescent="0.3">
      <c r="A101" s="98"/>
      <c r="B101" s="117"/>
      <c r="C101" s="32"/>
      <c r="D101" s="130"/>
      <c r="E101" s="32"/>
      <c r="F101" s="101">
        <f>(4*D98)</f>
        <v>3343454.0056525432</v>
      </c>
      <c r="G101" s="32"/>
    </row>
    <row r="102" spans="1:32" x14ac:dyDescent="0.3">
      <c r="A102" s="102"/>
      <c r="B102" s="94"/>
      <c r="C102" s="94"/>
      <c r="D102" s="94"/>
      <c r="E102" s="94"/>
      <c r="F102" s="95">
        <f>(D94*(D42/1.1))</f>
        <v>8965.3200351818705</v>
      </c>
      <c r="G102" s="32"/>
    </row>
    <row r="103" spans="1:32" x14ac:dyDescent="0.3">
      <c r="A103" s="169">
        <v>8</v>
      </c>
      <c r="B103" s="170" t="s">
        <v>444</v>
      </c>
      <c r="C103" s="96"/>
      <c r="D103" s="96"/>
      <c r="E103" s="96"/>
      <c r="F103" s="97"/>
      <c r="G103" s="32"/>
      <c r="J103" s="32"/>
    </row>
    <row r="104" spans="1:32" x14ac:dyDescent="0.3">
      <c r="A104" s="98"/>
      <c r="B104" s="32" t="s">
        <v>228</v>
      </c>
      <c r="C104" s="32" t="s">
        <v>231</v>
      </c>
      <c r="D104" s="32" t="s">
        <v>253</v>
      </c>
      <c r="E104" s="32"/>
      <c r="F104" s="93"/>
      <c r="G104" s="32"/>
      <c r="H104" s="32"/>
      <c r="I104" s="32"/>
      <c r="J104" s="32"/>
    </row>
    <row r="105" spans="1:32" x14ac:dyDescent="0.3">
      <c r="A105" s="98"/>
      <c r="B105" s="32"/>
      <c r="C105" s="32"/>
      <c r="D105" s="127">
        <f>Z116</f>
        <v>30.791807052731414</v>
      </c>
      <c r="E105" s="32" t="s">
        <v>19</v>
      </c>
      <c r="F105" s="93" t="str">
        <f>IF($D$60&gt;=D105,"OK","Check")</f>
        <v>OK</v>
      </c>
      <c r="G105" s="32"/>
      <c r="H105" s="32"/>
      <c r="I105" s="32"/>
      <c r="J105" s="32"/>
      <c r="Y105" s="64" t="s">
        <v>273</v>
      </c>
      <c r="Z105" s="3">
        <f>D26</f>
        <v>8</v>
      </c>
    </row>
    <row r="106" spans="1:32" x14ac:dyDescent="0.3">
      <c r="A106" s="98"/>
      <c r="B106" s="32" t="s">
        <v>229</v>
      </c>
      <c r="C106" s="32" t="s">
        <v>230</v>
      </c>
      <c r="D106" s="127">
        <f>D34</f>
        <v>40.764842174066345</v>
      </c>
      <c r="E106" s="32" t="s">
        <v>19</v>
      </c>
      <c r="F106" s="93" t="str">
        <f>IF($D$60&gt;=D106,"OK","Check")</f>
        <v>OK</v>
      </c>
      <c r="G106" s="32"/>
      <c r="H106" s="32"/>
      <c r="I106" s="32"/>
      <c r="J106" s="32"/>
      <c r="Y106" s="3" t="s">
        <v>371</v>
      </c>
      <c r="Z106" s="65">
        <f>CEILING(D38/2-D28,5)</f>
        <v>55</v>
      </c>
    </row>
    <row r="107" spans="1:32" x14ac:dyDescent="0.3">
      <c r="A107" s="98"/>
      <c r="B107" s="32" t="s">
        <v>232</v>
      </c>
      <c r="C107" s="32" t="s">
        <v>233</v>
      </c>
      <c r="D107" s="127">
        <f>MAX(D105,D106)</f>
        <v>40.764842174066345</v>
      </c>
      <c r="E107" s="32" t="s">
        <v>19</v>
      </c>
      <c r="F107" s="93" t="str">
        <f>IF($D$60&gt;=D107,"OK","Check")</f>
        <v>OK</v>
      </c>
      <c r="G107" s="32"/>
      <c r="H107" s="32"/>
      <c r="I107" s="32"/>
      <c r="J107" s="32"/>
      <c r="X107" s="64" t="s">
        <v>278</v>
      </c>
      <c r="Y107" s="3" t="s">
        <v>277</v>
      </c>
      <c r="Z107" s="3">
        <f>Z105*Z106^2</f>
        <v>24200</v>
      </c>
    </row>
    <row r="108" spans="1:32" x14ac:dyDescent="0.3">
      <c r="A108" s="98"/>
      <c r="B108" s="117" t="s">
        <v>129</v>
      </c>
      <c r="C108" s="32"/>
      <c r="D108" s="130">
        <f>(D87/D88)^2+(D107/D90)^2</f>
        <v>0.85491404593547515</v>
      </c>
      <c r="E108" s="32"/>
      <c r="F108" s="93" t="str">
        <f>IF(D108&lt;1,"OK","Check")</f>
        <v>OK</v>
      </c>
      <c r="G108" s="32"/>
      <c r="H108" s="32"/>
      <c r="I108" s="32"/>
      <c r="J108" s="32"/>
      <c r="W108" s="430" t="s">
        <v>458</v>
      </c>
      <c r="X108" s="431"/>
      <c r="Y108" s="431"/>
      <c r="Z108" s="431"/>
      <c r="AA108" s="431"/>
      <c r="AB108" s="431"/>
      <c r="AC108" s="431"/>
      <c r="AD108" s="432"/>
    </row>
    <row r="109" spans="1:32" x14ac:dyDescent="0.3">
      <c r="A109" s="102"/>
      <c r="B109" s="154"/>
      <c r="C109" s="94"/>
      <c r="D109" s="168"/>
      <c r="E109" s="94"/>
      <c r="F109" s="95"/>
      <c r="G109" s="32"/>
      <c r="H109" s="32"/>
      <c r="I109" s="32"/>
      <c r="J109" s="32"/>
      <c r="W109" s="106" t="s">
        <v>237</v>
      </c>
      <c r="X109" s="440" t="s">
        <v>276</v>
      </c>
      <c r="Y109" s="440"/>
      <c r="Z109" s="107" t="s">
        <v>305</v>
      </c>
      <c r="AA109" s="107" t="s">
        <v>306</v>
      </c>
      <c r="AB109" s="107" t="s">
        <v>274</v>
      </c>
      <c r="AC109" s="108" t="s">
        <v>275</v>
      </c>
      <c r="AD109" s="109" t="s">
        <v>279</v>
      </c>
    </row>
    <row r="110" spans="1:32" x14ac:dyDescent="0.3">
      <c r="A110" s="169">
        <v>9</v>
      </c>
      <c r="B110" s="170" t="s">
        <v>443</v>
      </c>
      <c r="C110" s="96"/>
      <c r="D110" s="96"/>
      <c r="E110" s="96"/>
      <c r="F110" s="97"/>
      <c r="G110" s="32"/>
      <c r="H110" s="32"/>
      <c r="I110" s="32"/>
      <c r="J110" s="32"/>
      <c r="W110" s="106" t="s">
        <v>131</v>
      </c>
      <c r="X110" s="107" t="s">
        <v>369</v>
      </c>
      <c r="Y110" s="107" t="s">
        <v>370</v>
      </c>
      <c r="Z110" s="107" t="s">
        <v>8</v>
      </c>
      <c r="AA110" s="107" t="s">
        <v>8</v>
      </c>
      <c r="AB110" s="107" t="s">
        <v>11</v>
      </c>
      <c r="AC110" s="107" t="s">
        <v>11</v>
      </c>
      <c r="AD110" s="109" t="s">
        <v>11</v>
      </c>
      <c r="AE110" s="64"/>
    </row>
    <row r="111" spans="1:32" x14ac:dyDescent="0.3">
      <c r="A111" s="98"/>
      <c r="B111" s="32" t="s">
        <v>256</v>
      </c>
      <c r="C111" s="32" t="s">
        <v>44</v>
      </c>
      <c r="D111" s="138">
        <v>6</v>
      </c>
      <c r="E111" s="32" t="s">
        <v>8</v>
      </c>
      <c r="F111" s="173">
        <f>MIN(D39,D6)/D112</f>
        <v>5.1428571428571432</v>
      </c>
      <c r="G111" s="32"/>
      <c r="H111" s="32"/>
      <c r="I111" s="32"/>
      <c r="J111" s="32"/>
      <c r="W111" s="98">
        <v>4</v>
      </c>
      <c r="X111" s="32">
        <v>45</v>
      </c>
      <c r="Y111" s="99">
        <f>RADIANS(X111)</f>
        <v>0.78539816339744828</v>
      </c>
      <c r="Z111" s="100">
        <f>COS($Y111)*$Z$106</f>
        <v>38.890872965260115</v>
      </c>
      <c r="AA111" s="100">
        <f>SIN($Y111)*$Z$106</f>
        <v>38.890872965260108</v>
      </c>
      <c r="AB111" s="100">
        <f>4*(AA111)^2</f>
        <v>6049.9999999999982</v>
      </c>
      <c r="AC111" s="100">
        <f>4*(Z111)^2</f>
        <v>6050</v>
      </c>
      <c r="AD111" s="101">
        <f>MIN(AB111,AC111)</f>
        <v>6049.9999999999982</v>
      </c>
      <c r="AF111" s="52"/>
    </row>
    <row r="112" spans="1:32" x14ac:dyDescent="0.3">
      <c r="A112" s="98"/>
      <c r="B112" s="32" t="s">
        <v>257</v>
      </c>
      <c r="C112" s="32"/>
      <c r="D112" s="138">
        <v>0.7</v>
      </c>
      <c r="E112" s="32"/>
      <c r="F112" s="93" t="s">
        <v>258</v>
      </c>
      <c r="G112" s="32"/>
      <c r="H112" s="32"/>
      <c r="I112" s="32"/>
      <c r="J112" s="32"/>
      <c r="W112" s="98">
        <v>6</v>
      </c>
      <c r="X112" s="32">
        <v>60</v>
      </c>
      <c r="Y112" s="99">
        <f>RADIANS(X112)</f>
        <v>1.0471975511965976</v>
      </c>
      <c r="Z112" s="100">
        <f>COS($Y112)*$Z$106</f>
        <v>27.500000000000007</v>
      </c>
      <c r="AA112" s="100">
        <f>SIN($Y112)*$Z$106</f>
        <v>47.631397208144122</v>
      </c>
      <c r="AB112" s="100">
        <f>4*(AA112)^2</f>
        <v>9074.9999999999982</v>
      </c>
      <c r="AC112" s="100">
        <f>2*Z106^2+4*Z112^2</f>
        <v>9075.0000000000018</v>
      </c>
      <c r="AD112" s="101">
        <f t="shared" ref="AD112:AD113" si="5">MIN(AB112,AC112)</f>
        <v>9074.9999999999982</v>
      </c>
    </row>
    <row r="113" spans="1:33" x14ac:dyDescent="0.3">
      <c r="A113" s="98"/>
      <c r="B113" s="32" t="s">
        <v>259</v>
      </c>
      <c r="C113" s="32" t="s">
        <v>260</v>
      </c>
      <c r="D113" s="32">
        <f>D41</f>
        <v>490</v>
      </c>
      <c r="E113" s="32" t="s">
        <v>7</v>
      </c>
      <c r="F113" s="93"/>
      <c r="G113" s="32"/>
      <c r="H113" s="32"/>
      <c r="I113" s="32"/>
      <c r="J113" s="32"/>
      <c r="W113" s="102">
        <v>8</v>
      </c>
      <c r="X113" s="94">
        <v>45</v>
      </c>
      <c r="Y113" s="103">
        <f>RADIANS(X113)</f>
        <v>0.78539816339744828</v>
      </c>
      <c r="Z113" s="104">
        <f>COS($Y113)*$Z$106</f>
        <v>38.890872965260115</v>
      </c>
      <c r="AA113" s="104">
        <f>SIN($Y113)*$Z$106</f>
        <v>38.890872965260108</v>
      </c>
      <c r="AB113" s="104">
        <f>4*(AA113)^2+2*Z106^2</f>
        <v>12099.999999999998</v>
      </c>
      <c r="AC113" s="104">
        <f>4*Z113^2+2*Z106^2</f>
        <v>12100</v>
      </c>
      <c r="AD113" s="105">
        <f t="shared" si="5"/>
        <v>12099.999999999998</v>
      </c>
    </row>
    <row r="114" spans="1:33" x14ac:dyDescent="0.3">
      <c r="A114" s="98"/>
      <c r="B114" s="32"/>
      <c r="C114" s="32"/>
      <c r="D114" s="32"/>
      <c r="E114" s="32"/>
      <c r="F114" s="93"/>
      <c r="G114" s="32"/>
      <c r="H114" s="32"/>
      <c r="I114" s="32"/>
      <c r="J114" s="32"/>
      <c r="AA114" s="51"/>
      <c r="AC114" s="51"/>
    </row>
    <row r="115" spans="1:33" x14ac:dyDescent="0.3">
      <c r="A115" s="98"/>
      <c r="B115" s="32" t="s">
        <v>254</v>
      </c>
      <c r="C115" s="32"/>
      <c r="D115" s="32"/>
      <c r="E115" s="32"/>
      <c r="F115" s="93"/>
      <c r="G115" s="32"/>
      <c r="H115" s="32"/>
      <c r="I115" s="32"/>
      <c r="J115" s="32"/>
      <c r="O115" s="430" t="s">
        <v>459</v>
      </c>
      <c r="P115" s="431"/>
      <c r="Q115" s="431"/>
      <c r="R115" s="432"/>
      <c r="Y115" s="3" t="s">
        <v>373</v>
      </c>
      <c r="Z115" s="83">
        <f>D11</f>
        <v>6.7741975516009099</v>
      </c>
      <c r="AA115" s="51" t="s">
        <v>16</v>
      </c>
      <c r="AB115" s="110" t="s">
        <v>374</v>
      </c>
      <c r="AC115" s="51"/>
    </row>
    <row r="116" spans="1:33" x14ac:dyDescent="0.3">
      <c r="A116" s="98"/>
      <c r="B116" s="32" t="s">
        <v>261</v>
      </c>
      <c r="C116" s="32" t="s">
        <v>262</v>
      </c>
      <c r="D116" s="32" t="s">
        <v>263</v>
      </c>
      <c r="E116" s="32"/>
      <c r="F116" s="93"/>
      <c r="G116" s="32"/>
      <c r="H116" s="32"/>
      <c r="I116" s="32"/>
      <c r="J116" s="32"/>
      <c r="O116" s="98" t="s">
        <v>315</v>
      </c>
      <c r="P116" s="32" t="s">
        <v>77</v>
      </c>
      <c r="Q116" s="32">
        <f>D17</f>
        <v>13</v>
      </c>
      <c r="R116" s="93"/>
      <c r="Y116" s="64" t="s">
        <v>372</v>
      </c>
      <c r="Z116" s="22">
        <f>Z115*1000*Z106/AB116</f>
        <v>30.791807052731414</v>
      </c>
      <c r="AA116" s="51" t="s">
        <v>19</v>
      </c>
      <c r="AB116" s="111">
        <f>MIN(VLOOKUP($D$26,$W$111:$AD$114,8,FALSE),$Z$107)</f>
        <v>12099.999999999998</v>
      </c>
      <c r="AD116" s="64" t="s">
        <v>367</v>
      </c>
      <c r="AE116" s="79">
        <f>AB116*D60/(Z106)/1000</f>
        <v>11.178721599446192</v>
      </c>
      <c r="AF116" s="3" t="s">
        <v>16</v>
      </c>
    </row>
    <row r="117" spans="1:33" x14ac:dyDescent="0.3">
      <c r="A117" s="98"/>
      <c r="B117" s="32"/>
      <c r="C117" s="32"/>
      <c r="D117" s="99">
        <f>D113/(SQRT(3)*1.25)</f>
        <v>226.32130552233332</v>
      </c>
      <c r="E117" s="32" t="s">
        <v>7</v>
      </c>
      <c r="F117" s="93"/>
      <c r="G117" s="32"/>
      <c r="H117" s="32"/>
      <c r="I117" s="32"/>
      <c r="J117" s="32"/>
      <c r="O117" s="98" t="s">
        <v>322</v>
      </c>
      <c r="P117" s="32" t="s">
        <v>336</v>
      </c>
      <c r="Q117" s="32">
        <f>D39</f>
        <v>20</v>
      </c>
      <c r="R117" s="93" t="s">
        <v>8</v>
      </c>
      <c r="W117" s="22"/>
      <c r="Y117" s="64"/>
      <c r="Z117" s="22"/>
      <c r="AD117" s="64" t="s">
        <v>368</v>
      </c>
      <c r="AE117" s="63">
        <f>AE116/Z105</f>
        <v>1.397340199930774</v>
      </c>
      <c r="AF117" s="3" t="s">
        <v>16</v>
      </c>
      <c r="AG117" s="37">
        <f>Z115*AB116/Z106</f>
        <v>1490.3234613521997</v>
      </c>
    </row>
    <row r="118" spans="1:33" x14ac:dyDescent="0.3">
      <c r="A118" s="98"/>
      <c r="B118" s="32" t="s">
        <v>266</v>
      </c>
      <c r="C118" s="32" t="s">
        <v>267</v>
      </c>
      <c r="D118" s="99">
        <f>PI()*D4</f>
        <v>239.07520093818323</v>
      </c>
      <c r="E118" s="32" t="s">
        <v>8</v>
      </c>
      <c r="F118" s="93"/>
      <c r="G118" s="32"/>
      <c r="H118" s="32"/>
      <c r="I118" s="32"/>
      <c r="J118" s="32"/>
      <c r="O118" s="102" t="s">
        <v>323</v>
      </c>
      <c r="P118" s="94" t="s">
        <v>335</v>
      </c>
      <c r="Q118" s="10">
        <f>IF(S120=1,MIN(Q134:Q135),MAX(Q134:Q135))</f>
        <v>95.62426470305536</v>
      </c>
      <c r="R118" s="95" t="s">
        <v>8</v>
      </c>
    </row>
    <row r="119" spans="1:33" x14ac:dyDescent="0.3">
      <c r="A119" s="98"/>
      <c r="B119" s="32" t="s">
        <v>268</v>
      </c>
      <c r="C119" s="32" t="s">
        <v>269</v>
      </c>
      <c r="D119" s="99">
        <f>D112*D111</f>
        <v>4.1999999999999993</v>
      </c>
      <c r="E119" s="32" t="s">
        <v>8</v>
      </c>
      <c r="F119" s="93"/>
      <c r="G119" s="32"/>
      <c r="H119" s="32"/>
      <c r="I119" s="32"/>
      <c r="J119" s="32"/>
      <c r="O119" s="98"/>
      <c r="P119" s="32"/>
      <c r="Q119" s="32"/>
      <c r="R119" s="93"/>
      <c r="S119" s="3" t="s">
        <v>380</v>
      </c>
      <c r="T119" s="3" t="s">
        <v>379</v>
      </c>
      <c r="U119" s="3" t="s">
        <v>378</v>
      </c>
    </row>
    <row r="120" spans="1:33" x14ac:dyDescent="0.3">
      <c r="A120" s="98"/>
      <c r="B120" s="32" t="s">
        <v>270</v>
      </c>
      <c r="C120" s="32" t="s">
        <v>271</v>
      </c>
      <c r="D120" s="99">
        <f>D12</f>
        <v>119.86578884198232</v>
      </c>
      <c r="E120" s="32" t="s">
        <v>19</v>
      </c>
      <c r="F120" s="93"/>
      <c r="G120" s="32"/>
      <c r="H120" s="32"/>
      <c r="I120" s="32"/>
      <c r="J120" s="32"/>
      <c r="O120" s="166" t="s">
        <v>375</v>
      </c>
      <c r="P120" s="32">
        <f>Q117*Q118^3/12</f>
        <v>1457313.794074564</v>
      </c>
      <c r="Q120" s="32" t="s">
        <v>13</v>
      </c>
      <c r="R120" s="93"/>
      <c r="S120" s="3">
        <v>1</v>
      </c>
      <c r="T120" s="83">
        <f>MIN(VLOOKUP($D$26,$W$111:$AD$114,5,FALSE),$Z$107)</f>
        <v>38.890872965260108</v>
      </c>
      <c r="U120" s="83">
        <f>IF(S120=1,0,T120/2)</f>
        <v>0</v>
      </c>
    </row>
    <row r="121" spans="1:33" x14ac:dyDescent="0.3">
      <c r="A121" s="98"/>
      <c r="B121" s="32"/>
      <c r="C121" s="32" t="s">
        <v>264</v>
      </c>
      <c r="D121" s="32" t="s">
        <v>265</v>
      </c>
      <c r="E121" s="32"/>
      <c r="F121" s="93"/>
      <c r="G121" s="32"/>
      <c r="H121" s="32"/>
      <c r="I121" s="32"/>
      <c r="J121" s="32"/>
      <c r="O121" s="166" t="s">
        <v>376</v>
      </c>
      <c r="P121" s="32">
        <f>P120-S120*Q116*U120^2</f>
        <v>1457313.794074564</v>
      </c>
      <c r="Q121" s="32" t="s">
        <v>13</v>
      </c>
      <c r="R121" s="93" t="s">
        <v>377</v>
      </c>
    </row>
    <row r="122" spans="1:33" x14ac:dyDescent="0.3">
      <c r="A122" s="98"/>
      <c r="B122" s="32"/>
      <c r="C122" s="32"/>
      <c r="D122" s="100">
        <f>D120*1000/(D118*D119)</f>
        <v>119.37446218516267</v>
      </c>
      <c r="E122" s="32" t="s">
        <v>7</v>
      </c>
      <c r="F122" s="93" t="str">
        <f>IF(D122&lt;=D117,"OK","Check")</f>
        <v>OK</v>
      </c>
      <c r="G122" s="32"/>
      <c r="H122" s="32"/>
      <c r="I122" s="32"/>
      <c r="J122" s="32"/>
      <c r="O122" s="98"/>
      <c r="P122" s="32"/>
      <c r="Q122" s="32"/>
      <c r="R122" s="93"/>
    </row>
    <row r="123" spans="1:33" x14ac:dyDescent="0.3">
      <c r="A123" s="98"/>
      <c r="B123" s="32" t="s">
        <v>255</v>
      </c>
      <c r="C123" s="32"/>
      <c r="D123" s="32"/>
      <c r="E123" s="32"/>
      <c r="F123" s="93"/>
      <c r="G123" s="32"/>
      <c r="H123" s="32"/>
      <c r="I123" s="32"/>
      <c r="J123" s="32"/>
      <c r="O123" s="98" t="s">
        <v>334</v>
      </c>
      <c r="P123" s="100">
        <f>P121/(Q118/2)</f>
        <v>30480.000000000007</v>
      </c>
      <c r="Q123" s="32" t="s">
        <v>15</v>
      </c>
      <c r="R123" s="93"/>
    </row>
    <row r="124" spans="1:33" x14ac:dyDescent="0.3">
      <c r="A124" s="98"/>
      <c r="B124" s="32" t="s">
        <v>261</v>
      </c>
      <c r="C124" s="32" t="s">
        <v>262</v>
      </c>
      <c r="D124" s="32" t="s">
        <v>263</v>
      </c>
      <c r="E124" s="32"/>
      <c r="F124" s="93"/>
      <c r="G124" s="32"/>
      <c r="H124" s="32"/>
      <c r="I124" s="32"/>
      <c r="J124" s="32"/>
      <c r="O124" s="102" t="s">
        <v>152</v>
      </c>
      <c r="P124" s="104">
        <f>P123*D42/1000^2</f>
        <v>10.058400000000002</v>
      </c>
      <c r="Q124" s="94" t="s">
        <v>16</v>
      </c>
      <c r="R124" s="95" t="str">
        <f>IF(P124&lt;=D11,"Check","OK")</f>
        <v>OK</v>
      </c>
    </row>
    <row r="125" spans="1:33" x14ac:dyDescent="0.3">
      <c r="A125" s="98"/>
      <c r="B125" s="32"/>
      <c r="C125" s="32"/>
      <c r="D125" s="99">
        <f>D113/(SQRT(3)*1.25)</f>
        <v>226.32130552233332</v>
      </c>
      <c r="E125" s="32" t="s">
        <v>7</v>
      </c>
      <c r="F125" s="93"/>
      <c r="G125" s="32"/>
      <c r="H125" s="32"/>
      <c r="I125" s="32"/>
      <c r="J125" s="32"/>
      <c r="O125" s="22">
        <f>D139</f>
        <v>300</v>
      </c>
      <c r="P125" s="63">
        <f>Z115*10^6/P123</f>
        <v>222.25057583992481</v>
      </c>
      <c r="Q125" s="3" t="s">
        <v>7</v>
      </c>
    </row>
    <row r="126" spans="1:33" x14ac:dyDescent="0.3">
      <c r="A126" s="98"/>
      <c r="B126" s="32" t="s">
        <v>266</v>
      </c>
      <c r="C126" s="32" t="s">
        <v>267</v>
      </c>
      <c r="D126" s="99">
        <f>PI()*D4</f>
        <v>239.07520093818323</v>
      </c>
      <c r="E126" s="32" t="s">
        <v>8</v>
      </c>
      <c r="F126" s="93"/>
      <c r="G126" s="32"/>
      <c r="H126" s="32"/>
      <c r="I126" s="32"/>
      <c r="J126" s="32"/>
    </row>
    <row r="127" spans="1:33" x14ac:dyDescent="0.3">
      <c r="A127" s="98"/>
      <c r="B127" s="32" t="s">
        <v>268</v>
      </c>
      <c r="C127" s="32" t="s">
        <v>269</v>
      </c>
      <c r="D127" s="99">
        <f>D112*D111</f>
        <v>4.1999999999999993</v>
      </c>
      <c r="E127" s="32" t="s">
        <v>8</v>
      </c>
      <c r="F127" s="93"/>
      <c r="G127" s="32"/>
      <c r="H127" s="32"/>
      <c r="I127" s="32"/>
      <c r="J127" s="32"/>
      <c r="W127" s="3" t="s">
        <v>473</v>
      </c>
      <c r="AA127" s="3" t="s">
        <v>471</v>
      </c>
      <c r="AE127" s="3" t="s">
        <v>472</v>
      </c>
    </row>
    <row r="128" spans="1:33" x14ac:dyDescent="0.3">
      <c r="A128" s="98"/>
      <c r="B128" s="32" t="s">
        <v>338</v>
      </c>
      <c r="C128" s="32" t="s">
        <v>272</v>
      </c>
      <c r="D128" s="99">
        <f>D13</f>
        <v>326.11873739253076</v>
      </c>
      <c r="E128" s="32" t="s">
        <v>19</v>
      </c>
      <c r="F128" s="93"/>
      <c r="G128" s="32"/>
      <c r="H128" s="32"/>
      <c r="I128" s="32"/>
      <c r="J128" s="32"/>
      <c r="N128" s="444" t="s">
        <v>460</v>
      </c>
      <c r="O128" s="440"/>
      <c r="P128" s="440"/>
      <c r="Q128" s="440"/>
      <c r="R128" s="440"/>
      <c r="S128" s="445"/>
    </row>
    <row r="129" spans="1:19" x14ac:dyDescent="0.3">
      <c r="A129" s="98"/>
      <c r="B129" s="32"/>
      <c r="C129" s="32" t="s">
        <v>264</v>
      </c>
      <c r="D129" s="32" t="s">
        <v>265</v>
      </c>
      <c r="E129" s="32"/>
      <c r="F129" s="93"/>
      <c r="G129" s="32"/>
      <c r="H129" s="32"/>
      <c r="I129" s="32"/>
      <c r="J129" s="32"/>
      <c r="N129" s="102"/>
      <c r="O129" s="94" t="s">
        <v>325</v>
      </c>
      <c r="P129" s="94" t="s">
        <v>326</v>
      </c>
      <c r="Q129" s="94"/>
      <c r="R129" s="94" t="s">
        <v>329</v>
      </c>
      <c r="S129" s="95" t="s">
        <v>330</v>
      </c>
    </row>
    <row r="130" spans="1:19" x14ac:dyDescent="0.3">
      <c r="A130" s="98"/>
      <c r="B130" s="32"/>
      <c r="C130" s="32"/>
      <c r="D130" s="100">
        <f>D128*1000/(D126*D127)</f>
        <v>324.78198542587455</v>
      </c>
      <c r="E130" s="32" t="s">
        <v>7</v>
      </c>
      <c r="F130" s="93" t="str">
        <f>IF(D130&lt;=D125,"OK","Check")</f>
        <v>Check</v>
      </c>
      <c r="G130" s="32"/>
      <c r="H130" s="32"/>
      <c r="I130" s="32"/>
      <c r="J130" s="32"/>
      <c r="N130" s="98" t="s">
        <v>327</v>
      </c>
      <c r="O130" s="32">
        <v>0</v>
      </c>
      <c r="P130" s="172">
        <f>D38/2</f>
        <v>72.5</v>
      </c>
      <c r="Q130" s="32">
        <f>SQRT(O130^2+P130^2)</f>
        <v>72.5</v>
      </c>
      <c r="R130" s="32">
        <f t="shared" ref="R130:S133" si="6">O130/$Q130</f>
        <v>0</v>
      </c>
      <c r="S130" s="93">
        <f t="shared" si="6"/>
        <v>1</v>
      </c>
    </row>
    <row r="131" spans="1:19" x14ac:dyDescent="0.3">
      <c r="A131" s="102"/>
      <c r="B131" s="94"/>
      <c r="C131" s="94"/>
      <c r="D131" s="104"/>
      <c r="E131" s="94"/>
      <c r="F131" s="95"/>
      <c r="G131" s="32"/>
      <c r="H131" s="32"/>
      <c r="I131" s="32"/>
      <c r="J131" s="32"/>
      <c r="K131" s="64" t="s">
        <v>331</v>
      </c>
      <c r="L131" s="3">
        <f>360/D26</f>
        <v>45</v>
      </c>
      <c r="M131" s="82">
        <f>RADIANS(L131)</f>
        <v>0.78539816339744828</v>
      </c>
      <c r="N131" s="98" t="s">
        <v>328</v>
      </c>
      <c r="O131" s="127">
        <f>COS(M131)*O130-SIN(M131)*P130</f>
        <v>-51.26524163602469</v>
      </c>
      <c r="P131" s="32">
        <f>SIN(M131)*O130+COS(M131)*P130</f>
        <v>51.265241636024697</v>
      </c>
      <c r="Q131" s="32">
        <f>SQRT(O131^2+P131^2)</f>
        <v>72.5</v>
      </c>
      <c r="R131" s="127">
        <f t="shared" si="6"/>
        <v>-0.70710678118654746</v>
      </c>
      <c r="S131" s="173">
        <f t="shared" si="6"/>
        <v>0.70710678118654757</v>
      </c>
    </row>
    <row r="132" spans="1:19" x14ac:dyDescent="0.3">
      <c r="A132" s="169">
        <v>10</v>
      </c>
      <c r="B132" s="170" t="s">
        <v>442</v>
      </c>
      <c r="C132" s="96"/>
      <c r="D132" s="96"/>
      <c r="E132" s="96"/>
      <c r="F132" s="97"/>
      <c r="K132" s="64" t="s">
        <v>21</v>
      </c>
      <c r="L132" s="3">
        <f>D38/2-M132</f>
        <v>54.5</v>
      </c>
      <c r="M132" s="84">
        <f>D28</f>
        <v>18</v>
      </c>
      <c r="N132" s="98" t="s">
        <v>332</v>
      </c>
      <c r="O132" s="127">
        <f>R131*$L132</f>
        <v>-38.537319574666839</v>
      </c>
      <c r="P132" s="127">
        <f>S131*$L132</f>
        <v>38.537319574666846</v>
      </c>
      <c r="Q132" s="32">
        <f>SQRT(O132^2+P132^2)</f>
        <v>54.500000000000007</v>
      </c>
      <c r="R132" s="127">
        <f t="shared" si="6"/>
        <v>-0.70710678118654735</v>
      </c>
      <c r="S132" s="173">
        <f t="shared" si="6"/>
        <v>0.70710678118654757</v>
      </c>
    </row>
    <row r="133" spans="1:19" x14ac:dyDescent="0.3">
      <c r="A133" s="98"/>
      <c r="B133" s="117" t="s">
        <v>339</v>
      </c>
      <c r="C133" s="32"/>
      <c r="D133" s="242">
        <f>VLOOKUP($H$3,INPUT,18,FALSE)</f>
        <v>6</v>
      </c>
      <c r="E133" s="32" t="s">
        <v>131</v>
      </c>
      <c r="F133" s="93"/>
      <c r="N133" s="98" t="s">
        <v>333</v>
      </c>
      <c r="O133" s="127">
        <f>O132</f>
        <v>-38.537319574666839</v>
      </c>
      <c r="P133" s="127">
        <v>0</v>
      </c>
      <c r="Q133" s="172">
        <f>SQRT(O133^2+P133^2)</f>
        <v>38.537319574666839</v>
      </c>
      <c r="R133" s="127">
        <f t="shared" si="6"/>
        <v>-1</v>
      </c>
      <c r="S133" s="173">
        <f t="shared" si="6"/>
        <v>0</v>
      </c>
    </row>
    <row r="134" spans="1:19" x14ac:dyDescent="0.3">
      <c r="A134" s="98"/>
      <c r="B134" s="117" t="s">
        <v>382</v>
      </c>
      <c r="C134" s="32"/>
      <c r="D134" s="125">
        <f>PI()*D38^2/4-D7</f>
        <v>15693.040702844413</v>
      </c>
      <c r="E134" s="32" t="s">
        <v>11</v>
      </c>
      <c r="F134" s="209">
        <f>D7</f>
        <v>819.95568258693595</v>
      </c>
      <c r="G134" s="37">
        <f>D134-F134</f>
        <v>14873.085020257477</v>
      </c>
      <c r="N134" s="98"/>
      <c r="O134" s="32"/>
      <c r="P134" s="32" t="s">
        <v>461</v>
      </c>
      <c r="Q134" s="10">
        <f>SQRT(Q130^2-Q133^2)*2</f>
        <v>122.81897247575392</v>
      </c>
      <c r="R134" s="32"/>
      <c r="S134" s="93"/>
    </row>
    <row r="135" spans="1:19" x14ac:dyDescent="0.3">
      <c r="A135" s="98"/>
      <c r="B135" s="117" t="s">
        <v>385</v>
      </c>
      <c r="C135" s="32"/>
      <c r="D135" s="32">
        <f>D39</f>
        <v>20</v>
      </c>
      <c r="E135" s="32" t="s">
        <v>8</v>
      </c>
      <c r="F135" s="93"/>
      <c r="N135" s="102"/>
      <c r="O135" s="94"/>
      <c r="P135" s="94" t="s">
        <v>462</v>
      </c>
      <c r="Q135" s="174">
        <f>SQRT(Q130^2-(Q130-M132)^2)*2</f>
        <v>95.62426470305536</v>
      </c>
      <c r="R135" s="94"/>
      <c r="S135" s="95"/>
    </row>
    <row r="136" spans="1:19" x14ac:dyDescent="0.3">
      <c r="A136" s="98"/>
      <c r="B136" s="117" t="s">
        <v>383</v>
      </c>
      <c r="C136" s="32"/>
      <c r="D136" s="125">
        <f>D13</f>
        <v>326.11873739253076</v>
      </c>
      <c r="E136" s="32" t="s">
        <v>19</v>
      </c>
      <c r="F136" s="93"/>
    </row>
    <row r="137" spans="1:19" x14ac:dyDescent="0.3">
      <c r="A137" s="98"/>
      <c r="B137" s="117" t="s">
        <v>386</v>
      </c>
      <c r="C137" s="32"/>
      <c r="D137" s="125">
        <f>D140</f>
        <v>57.883844642391942</v>
      </c>
      <c r="E137" s="32" t="s">
        <v>8</v>
      </c>
      <c r="F137" s="93"/>
    </row>
    <row r="138" spans="1:19" x14ac:dyDescent="0.3">
      <c r="A138" s="98"/>
      <c r="B138" s="117" t="s">
        <v>384</v>
      </c>
      <c r="C138" s="32"/>
      <c r="D138" s="127">
        <f>4*D143*D137^2/2/D135^2</f>
        <v>348.13957422949488</v>
      </c>
      <c r="E138" s="32" t="s">
        <v>7</v>
      </c>
      <c r="F138" s="93"/>
      <c r="G138" s="3" t="s">
        <v>479</v>
      </c>
      <c r="I138" s="3" t="s">
        <v>711</v>
      </c>
    </row>
    <row r="139" spans="1:19" x14ac:dyDescent="0.3">
      <c r="A139" s="98"/>
      <c r="B139" s="117" t="s">
        <v>387</v>
      </c>
      <c r="C139" s="32"/>
      <c r="D139" s="127">
        <f>D42/1.1</f>
        <v>300</v>
      </c>
      <c r="E139" s="32" t="s">
        <v>7</v>
      </c>
      <c r="F139" s="93" t="str">
        <f>IF(D139&gt;D138,"OK","Provide stiffner")</f>
        <v>Provide stiffner</v>
      </c>
      <c r="I139" s="3">
        <v>8</v>
      </c>
    </row>
    <row r="140" spans="1:19" x14ac:dyDescent="0.3">
      <c r="A140" s="98"/>
      <c r="B140" s="117" t="s">
        <v>340</v>
      </c>
      <c r="C140" s="32" t="s">
        <v>154</v>
      </c>
      <c r="D140" s="125">
        <f>PI()*AVERAGE(D4,D38)/D133</f>
        <v>57.883844642391942</v>
      </c>
      <c r="E140" s="32" t="s">
        <v>8</v>
      </c>
      <c r="F140" s="93" t="str">
        <f ca="1">IF(D139&gt;D149,"","Inc. no. of stiff plate")</f>
        <v/>
      </c>
      <c r="I140" s="3">
        <v>10</v>
      </c>
    </row>
    <row r="141" spans="1:19" x14ac:dyDescent="0.3">
      <c r="A141" s="98"/>
      <c r="B141" s="117" t="s">
        <v>341</v>
      </c>
      <c r="C141" s="32" t="s">
        <v>78</v>
      </c>
      <c r="D141" s="32">
        <f>FLOOR((D38-D4)/2,1)</f>
        <v>34</v>
      </c>
      <c r="E141" s="32" t="s">
        <v>8</v>
      </c>
      <c r="F141" s="93"/>
      <c r="I141" s="3">
        <v>12</v>
      </c>
      <c r="N141" s="441" t="s">
        <v>388</v>
      </c>
      <c r="O141" s="442"/>
      <c r="P141" s="442"/>
      <c r="Q141" s="443"/>
    </row>
    <row r="142" spans="1:19" x14ac:dyDescent="0.3">
      <c r="A142" s="98"/>
      <c r="B142" s="117" t="s">
        <v>360</v>
      </c>
      <c r="C142" s="32" t="s">
        <v>363</v>
      </c>
      <c r="D142" s="138">
        <f>VLOOKUP($H$3,$X$4:$AM$5,16,FALSE)</f>
        <v>6</v>
      </c>
      <c r="E142" s="32" t="s">
        <v>8</v>
      </c>
      <c r="F142" s="93"/>
      <c r="I142" s="3">
        <v>16</v>
      </c>
      <c r="N142" s="175" t="s">
        <v>389</v>
      </c>
      <c r="O142" s="123"/>
      <c r="P142" s="123"/>
      <c r="Q142" s="171"/>
    </row>
    <row r="143" spans="1:19" ht="15.6" x14ac:dyDescent="0.35">
      <c r="A143" s="98"/>
      <c r="B143" s="117"/>
      <c r="C143" s="32" t="s">
        <v>381</v>
      </c>
      <c r="D143" s="127">
        <f>D136*1000/D134</f>
        <v>20.781105686766029</v>
      </c>
      <c r="E143" s="32" t="s">
        <v>7</v>
      </c>
      <c r="F143" s="93"/>
      <c r="I143" s="3">
        <v>20</v>
      </c>
      <c r="N143" s="176" t="s">
        <v>366</v>
      </c>
      <c r="O143" s="91" t="s">
        <v>390</v>
      </c>
      <c r="P143" s="91" t="s">
        <v>391</v>
      </c>
      <c r="Q143" s="178" t="s">
        <v>392</v>
      </c>
    </row>
    <row r="144" spans="1:19" x14ac:dyDescent="0.3">
      <c r="A144" s="98"/>
      <c r="B144" s="117"/>
      <c r="C144" s="32" t="s">
        <v>366</v>
      </c>
      <c r="D144" s="127">
        <f>D140/D141</f>
        <v>1.7024660188938807</v>
      </c>
      <c r="E144" s="32"/>
      <c r="F144" s="93"/>
      <c r="I144" s="3">
        <v>25</v>
      </c>
      <c r="N144" s="175">
        <v>0.25</v>
      </c>
      <c r="O144" s="123">
        <v>3.1E-2</v>
      </c>
      <c r="P144" s="123">
        <v>1.6E-2</v>
      </c>
      <c r="Q144" s="171">
        <v>0.02</v>
      </c>
    </row>
    <row r="145" spans="1:17" x14ac:dyDescent="0.3">
      <c r="A145" s="98"/>
      <c r="B145" s="117"/>
      <c r="C145" s="32" t="s">
        <v>45</v>
      </c>
      <c r="D145" s="142">
        <f ca="1">MAX(O152:Q152)</f>
        <v>1.273441358704942</v>
      </c>
      <c r="E145" s="32"/>
      <c r="F145" s="93"/>
      <c r="I145" s="3">
        <v>30</v>
      </c>
      <c r="N145" s="175">
        <v>0.5</v>
      </c>
      <c r="O145" s="123">
        <v>0.126</v>
      </c>
      <c r="P145" s="123">
        <v>6.6000000000000003E-2</v>
      </c>
      <c r="Q145" s="171">
        <v>8.1000000000000003E-2</v>
      </c>
    </row>
    <row r="146" spans="1:17" x14ac:dyDescent="0.3">
      <c r="A146" s="98"/>
      <c r="B146" s="117" t="s">
        <v>475</v>
      </c>
      <c r="D146" s="37">
        <f>D42/1.1</f>
        <v>300</v>
      </c>
      <c r="E146" s="32" t="s">
        <v>7</v>
      </c>
      <c r="I146" s="3">
        <v>36</v>
      </c>
      <c r="N146" s="175">
        <v>0.75</v>
      </c>
      <c r="O146" s="123">
        <v>0.28599999999999998</v>
      </c>
      <c r="P146" s="123">
        <v>0.14799999999999999</v>
      </c>
      <c r="Q146" s="171">
        <v>0.17299999999999999</v>
      </c>
    </row>
    <row r="147" spans="1:17" x14ac:dyDescent="0.3">
      <c r="A147" s="98"/>
      <c r="B147" s="117" t="s">
        <v>477</v>
      </c>
      <c r="C147" s="143"/>
      <c r="D147" s="100">
        <f ca="1">SQRT(D145*D143*D141^2/D146)</f>
        <v>10.098156349401139</v>
      </c>
      <c r="E147" s="32"/>
      <c r="F147" s="93"/>
      <c r="I147" s="3">
        <v>40</v>
      </c>
      <c r="N147" s="175">
        <v>1</v>
      </c>
      <c r="O147" s="123">
        <v>0.51100000000000001</v>
      </c>
      <c r="P147" s="123">
        <v>0.25900000000000001</v>
      </c>
      <c r="Q147" s="171">
        <v>0.32100000000000001</v>
      </c>
    </row>
    <row r="148" spans="1:17" x14ac:dyDescent="0.3">
      <c r="A148" s="98"/>
      <c r="B148" s="3" t="s">
        <v>478</v>
      </c>
      <c r="C148" s="143"/>
      <c r="D148" s="100">
        <f t="array" aca="1" ref="D148" ca="1">MIN(IF(D147&lt;=I139:I147,I139:I147))</f>
        <v>12</v>
      </c>
      <c r="E148" s="32"/>
      <c r="F148" s="93"/>
      <c r="N148" s="175">
        <v>1.5</v>
      </c>
      <c r="O148" s="123">
        <v>1.073</v>
      </c>
      <c r="P148" s="123">
        <v>0.48399999999999999</v>
      </c>
      <c r="Q148" s="171">
        <v>0.72699999999999998</v>
      </c>
    </row>
    <row r="149" spans="1:17" ht="15.6" x14ac:dyDescent="0.35">
      <c r="A149" s="98"/>
      <c r="B149" s="117" t="s">
        <v>476</v>
      </c>
      <c r="C149" s="143" t="s">
        <v>395</v>
      </c>
      <c r="D149" s="100">
        <f ca="1">D145*D143*D141^2/D148^2</f>
        <v>212.44325345198024</v>
      </c>
      <c r="E149" s="32" t="s">
        <v>7</v>
      </c>
      <c r="F149" s="93" t="str">
        <f ca="1">IF(D139&gt;D149,"OK","Stiffner inadequate")</f>
        <v>OK</v>
      </c>
      <c r="N149" s="175">
        <v>2</v>
      </c>
      <c r="O149" s="123">
        <v>1.5680000000000001</v>
      </c>
      <c r="P149" s="123">
        <v>0.60499999999999998</v>
      </c>
      <c r="Q149" s="171">
        <v>1.226</v>
      </c>
    </row>
    <row r="150" spans="1:17" x14ac:dyDescent="0.3">
      <c r="A150" s="98"/>
      <c r="B150" s="117"/>
      <c r="C150" s="143"/>
      <c r="D150" s="100"/>
      <c r="E150" s="32"/>
      <c r="F150" s="93"/>
      <c r="N150" s="176">
        <v>3</v>
      </c>
      <c r="O150" s="162">
        <v>1.982</v>
      </c>
      <c r="P150" s="162">
        <v>0.51900000000000002</v>
      </c>
      <c r="Q150" s="177">
        <v>2.105</v>
      </c>
    </row>
    <row r="151" spans="1:17" x14ac:dyDescent="0.3">
      <c r="A151" s="98"/>
      <c r="B151" s="117"/>
      <c r="N151" s="112"/>
      <c r="O151"/>
      <c r="P151"/>
      <c r="Q151"/>
    </row>
    <row r="152" spans="1:17" x14ac:dyDescent="0.3">
      <c r="A152" s="102"/>
      <c r="B152" s="94"/>
      <c r="L152" s="112" t="s">
        <v>393</v>
      </c>
      <c r="M152" s="92" t="s">
        <v>366</v>
      </c>
      <c r="N152" s="181">
        <f>D144</f>
        <v>1.7024660188938807</v>
      </c>
      <c r="O152" s="182">
        <f ca="1">IF($N$152&gt;=$N$150,O150,IF($N$152&lt;=$N$144,O144,FORECAST($N$152,OFFSET(O143,MATCH($N$152,$N$144:$N$150,1),0,2),OFFSET($N$143,MATCH($N$152,$N$144:$N$150,1),0,2))))</f>
        <v>1.273441358704942</v>
      </c>
      <c r="P152" s="183">
        <f ca="1">IF($N$152&gt;=$N$150,P150,IF($N$152&lt;=$N$144,P144,FORECAST($N$152,OFFSET(P143,MATCH($N$152,$N$144:$N$150,1),0,2),OFFSET($N$143,MATCH($N$152,$N$144:$N$150,1),0,2))))</f>
        <v>0.53299677657231914</v>
      </c>
      <c r="Q152" s="184">
        <f t="shared" ref="Q152" ca="1" si="7">IF($N$152&gt;=$N$150,Q150,IF($N$152&lt;=$N$144,Q144,FORECAST($N$152,OFFSET(Q143,MATCH($N$152,$N$144:$N$150,1),0,2),OFFSET($N$143,MATCH($N$152,$N$144:$N$150,1),0,2))))</f>
        <v>0.9290610868560929</v>
      </c>
    </row>
    <row r="153" spans="1:17" ht="15.6" x14ac:dyDescent="0.35">
      <c r="A153" s="169">
        <v>11</v>
      </c>
      <c r="B153" s="170" t="s">
        <v>396</v>
      </c>
      <c r="C153" s="96"/>
      <c r="D153" s="96"/>
      <c r="E153" s="96"/>
      <c r="F153" s="97"/>
      <c r="M153" s="102"/>
      <c r="N153" s="91" t="s">
        <v>394</v>
      </c>
      <c r="O153" s="179">
        <f ca="1">O152*$D$143*$D$141^2/$D$135^2</f>
        <v>76.479571242712893</v>
      </c>
      <c r="P153" s="179">
        <f ca="1">P152*$D$143*$D$141^2/$D$135^2</f>
        <v>32.010398176052902</v>
      </c>
      <c r="Q153" s="180">
        <f ca="1">Q152*$D$143*$D$141^2/$D$135^2</f>
        <v>55.796989076358543</v>
      </c>
    </row>
    <row r="154" spans="1:17" x14ac:dyDescent="0.3">
      <c r="A154" s="98"/>
      <c r="B154" s="32" t="s">
        <v>397</v>
      </c>
      <c r="C154" s="32"/>
      <c r="D154" s="138">
        <f>VLOOKUP($H$3,INPUT,15,FALSE)</f>
        <v>50</v>
      </c>
      <c r="E154" s="32" t="s">
        <v>8</v>
      </c>
      <c r="F154" s="93"/>
      <c r="N154" s="90"/>
    </row>
    <row r="155" spans="1:17" x14ac:dyDescent="0.3">
      <c r="A155" s="98"/>
      <c r="B155" s="32" t="s">
        <v>398</v>
      </c>
      <c r="C155" s="32" t="s">
        <v>399</v>
      </c>
      <c r="D155" s="125">
        <f>G155*I157+I160*H162</f>
        <v>1457.6768928478389</v>
      </c>
      <c r="E155" s="32" t="s">
        <v>11</v>
      </c>
      <c r="F155" s="93"/>
      <c r="G155" s="3">
        <f>D142</f>
        <v>6</v>
      </c>
    </row>
    <row r="156" spans="1:17" x14ac:dyDescent="0.3">
      <c r="A156" s="98"/>
      <c r="B156" s="86" t="s">
        <v>401</v>
      </c>
      <c r="C156" s="32"/>
      <c r="D156" s="125">
        <f>IF(D155/2-H162*I160&lt;0,D155/2/H162,I160+(D155/2-H162*I160)/G155)</f>
        <v>12.591396631075636</v>
      </c>
      <c r="E156" s="32" t="s">
        <v>400</v>
      </c>
      <c r="F156" s="173">
        <f>D157/10^3</f>
        <v>15.899674969577847</v>
      </c>
    </row>
    <row r="157" spans="1:17" x14ac:dyDescent="0.3">
      <c r="A157" s="98"/>
      <c r="B157" s="32" t="s">
        <v>54</v>
      </c>
      <c r="C157" s="32" t="s">
        <v>402</v>
      </c>
      <c r="D157" s="125">
        <f>IF(D156&lt;I160,D155/2*(D156/2+((H162*(I160-G159)*(I160-G159)/2+I157*G155*(I157/2+I160-G159))/(H162*(I160-G159)+I157*G155))),H162*I160*(G159-I160/2)+G155*(G159-I160)^2/2+(I157+I160-G159)^2/2*G155)</f>
        <v>15899.674969577847</v>
      </c>
      <c r="E157" s="32" t="s">
        <v>15</v>
      </c>
      <c r="F157" s="210">
        <v>10800</v>
      </c>
      <c r="I157" s="36">
        <f>D154</f>
        <v>50</v>
      </c>
    </row>
    <row r="158" spans="1:17" x14ac:dyDescent="0.3">
      <c r="A158" s="98"/>
      <c r="B158" s="152" t="s">
        <v>403</v>
      </c>
      <c r="C158" s="32"/>
      <c r="D158" s="125">
        <f>H162</f>
        <v>57.883844642391942</v>
      </c>
      <c r="E158" s="32" t="s">
        <v>8</v>
      </c>
      <c r="F158" s="210">
        <f>F157/10^3</f>
        <v>10.8</v>
      </c>
    </row>
    <row r="159" spans="1:17" x14ac:dyDescent="0.3">
      <c r="A159" s="98"/>
      <c r="B159" s="123" t="s">
        <v>404</v>
      </c>
      <c r="C159" s="32"/>
      <c r="D159" s="125">
        <f>D158*D143</f>
        <v>1202.8902930698926</v>
      </c>
      <c r="E159" s="32" t="s">
        <v>410</v>
      </c>
      <c r="F159" s="93"/>
      <c r="G159" s="22">
        <f>D156</f>
        <v>12.591396631075636</v>
      </c>
    </row>
    <row r="160" spans="1:17" x14ac:dyDescent="0.3">
      <c r="A160" s="98"/>
      <c r="B160" s="123" t="s">
        <v>405</v>
      </c>
      <c r="C160" s="32"/>
      <c r="D160" s="32">
        <f>D141</f>
        <v>34</v>
      </c>
      <c r="E160" s="32" t="s">
        <v>8</v>
      </c>
      <c r="F160" s="93"/>
      <c r="I160" s="114">
        <f>D135</f>
        <v>20</v>
      </c>
    </row>
    <row r="161" spans="1:9" x14ac:dyDescent="0.3">
      <c r="A161" s="98"/>
      <c r="B161" s="123" t="s">
        <v>406</v>
      </c>
      <c r="C161" s="32"/>
      <c r="D161" s="127">
        <f>D159*D160^2/2/1000^2</f>
        <v>0.6952705893943979</v>
      </c>
      <c r="E161" s="32" t="s">
        <v>16</v>
      </c>
      <c r="F161" s="93"/>
    </row>
    <row r="162" spans="1:9" x14ac:dyDescent="0.3">
      <c r="A162" s="98"/>
      <c r="B162" s="123" t="s">
        <v>407</v>
      </c>
      <c r="C162" s="32"/>
      <c r="D162" s="127">
        <f>D161*1000^2/D157</f>
        <v>43.728603932137993</v>
      </c>
      <c r="E162" s="32" t="s">
        <v>7</v>
      </c>
      <c r="F162" s="93"/>
      <c r="H162" s="113">
        <f>D140</f>
        <v>57.883844642391942</v>
      </c>
    </row>
    <row r="163" spans="1:9" x14ac:dyDescent="0.3">
      <c r="A163" s="98"/>
      <c r="B163" s="123" t="s">
        <v>408</v>
      </c>
      <c r="C163" s="32"/>
      <c r="D163" s="127">
        <f>(D159*D160)/(G155*I157)</f>
        <v>136.32756654792115</v>
      </c>
      <c r="E163" s="32" t="s">
        <v>7</v>
      </c>
      <c r="F163" s="93"/>
    </row>
    <row r="164" spans="1:9" x14ac:dyDescent="0.3">
      <c r="A164" s="98"/>
      <c r="B164" s="123" t="s">
        <v>409</v>
      </c>
      <c r="C164" s="32"/>
      <c r="D164" s="127">
        <f>D41/(SQRT(3)*1.25)</f>
        <v>226.32130552233332</v>
      </c>
      <c r="E164" s="32" t="s">
        <v>7</v>
      </c>
      <c r="F164" s="171" t="str">
        <f>IF(D163&lt;=D164,"oK","unsafe")</f>
        <v>oK</v>
      </c>
      <c r="G164" s="3">
        <f>D155/2*(D156/2+((H162*(I160-G159)*(I160-G159)/2+I157*G155*(I157/2+I160-G159))/(H162*(I160-G159)+I157*G155)))</f>
        <v>15899.674969577847</v>
      </c>
      <c r="I164" s="3">
        <f>H162*I160</f>
        <v>1157.6768928478389</v>
      </c>
    </row>
    <row r="165" spans="1:9" x14ac:dyDescent="0.3">
      <c r="A165" s="98"/>
      <c r="B165" s="123" t="s">
        <v>387</v>
      </c>
      <c r="C165" s="32"/>
      <c r="D165" s="127">
        <f>IF(G155&gt;=40,320/1.1,IF(G155&gt;=20,330/1.1,350/1.1))</f>
        <v>318.18181818181813</v>
      </c>
      <c r="E165" s="32" t="s">
        <v>7</v>
      </c>
      <c r="F165" s="171" t="str">
        <f>IF(D162&lt;=D165,"oK","unsafe")</f>
        <v>oK</v>
      </c>
      <c r="I165" s="3">
        <f>I157*G155</f>
        <v>300</v>
      </c>
    </row>
    <row r="166" spans="1:9" x14ac:dyDescent="0.3">
      <c r="A166" s="102"/>
      <c r="B166" s="94"/>
      <c r="C166" s="94"/>
      <c r="D166" s="94"/>
      <c r="E166" s="94"/>
      <c r="F166" s="95"/>
    </row>
    <row r="167" spans="1:9" x14ac:dyDescent="0.3">
      <c r="A167" s="139">
        <v>12</v>
      </c>
      <c r="B167" s="115" t="s">
        <v>441</v>
      </c>
      <c r="C167" s="123"/>
      <c r="D167" s="123"/>
      <c r="E167" s="123"/>
      <c r="F167" s="144"/>
      <c r="G167"/>
    </row>
    <row r="168" spans="1:9" x14ac:dyDescent="0.3">
      <c r="A168" s="57"/>
      <c r="B168" s="123" t="s">
        <v>411</v>
      </c>
      <c r="C168" s="32"/>
      <c r="D168" s="145">
        <f>D159*D160/1000</f>
        <v>40.898269964376347</v>
      </c>
      <c r="E168" s="123" t="s">
        <v>19</v>
      </c>
      <c r="F168" s="141"/>
      <c r="G168"/>
    </row>
    <row r="169" spans="1:9" x14ac:dyDescent="0.3">
      <c r="A169" s="57"/>
      <c r="B169" s="123" t="s">
        <v>412</v>
      </c>
      <c r="C169" s="32"/>
      <c r="D169" s="146">
        <f>I157*2</f>
        <v>100</v>
      </c>
      <c r="E169" s="123" t="s">
        <v>8</v>
      </c>
      <c r="F169" s="141"/>
      <c r="G169"/>
    </row>
    <row r="170" spans="1:9" x14ac:dyDescent="0.3">
      <c r="A170" s="57"/>
      <c r="B170" s="123" t="s">
        <v>413</v>
      </c>
      <c r="C170" s="32"/>
      <c r="D170" s="32">
        <f>IF(MAX(D6,G155)&lt;=10,3,IF(MAX(D6,G155)&lt;=20,5,IF(MAX(D6,G155)&lt;=32,6,IF(MAX(D6,G155)&lt;=50,10))))</f>
        <v>3</v>
      </c>
      <c r="E170" s="123" t="s">
        <v>8</v>
      </c>
      <c r="F170" s="141"/>
    </row>
    <row r="171" spans="1:9" ht="16.2" x14ac:dyDescent="0.3">
      <c r="A171" s="57"/>
      <c r="B171" s="123" t="s">
        <v>414</v>
      </c>
      <c r="C171" s="32"/>
      <c r="D171" s="145">
        <f>D41/(SQRT(3)*1.25)</f>
        <v>226.32130552233332</v>
      </c>
      <c r="E171" s="123" t="s">
        <v>415</v>
      </c>
      <c r="F171" s="141"/>
      <c r="G171"/>
    </row>
    <row r="172" spans="1:9" ht="16.2" x14ac:dyDescent="0.3">
      <c r="A172" s="57"/>
      <c r="B172" s="123" t="s">
        <v>416</v>
      </c>
      <c r="C172" s="32"/>
      <c r="D172" s="145">
        <f>D168*1000/(D169)</f>
        <v>408.98269964376345</v>
      </c>
      <c r="E172" s="123" t="s">
        <v>415</v>
      </c>
      <c r="F172" s="141"/>
      <c r="G172"/>
    </row>
    <row r="173" spans="1:9" x14ac:dyDescent="0.3">
      <c r="A173" s="57"/>
      <c r="B173" s="123" t="s">
        <v>417</v>
      </c>
      <c r="C173" s="32"/>
      <c r="D173" s="147">
        <f>D172/D171/0.7</f>
        <v>2.5815554489784258</v>
      </c>
      <c r="E173" s="123" t="s">
        <v>8</v>
      </c>
      <c r="F173" s="148" t="str">
        <f>IF(AND(D173&lt;=G155,D173&lt;=D6),"Safe","Butt weld")</f>
        <v>Safe</v>
      </c>
      <c r="G173"/>
    </row>
    <row r="174" spans="1:9" ht="16.2" x14ac:dyDescent="0.3">
      <c r="A174" s="57"/>
      <c r="B174" s="123" t="s">
        <v>418</v>
      </c>
      <c r="C174" s="32"/>
      <c r="D174" s="123">
        <f>(4*D160*I157+I157^2)/6</f>
        <v>1550</v>
      </c>
      <c r="E174" s="123" t="s">
        <v>419</v>
      </c>
      <c r="F174" s="144"/>
      <c r="G174"/>
    </row>
    <row r="175" spans="1:9" ht="16.2" x14ac:dyDescent="0.3">
      <c r="A175" s="57"/>
      <c r="B175" s="123" t="s">
        <v>420</v>
      </c>
      <c r="C175" s="32"/>
      <c r="D175" s="149">
        <f>D161*10^6/D174</f>
        <v>448.5616705770309</v>
      </c>
      <c r="E175" s="123" t="s">
        <v>415</v>
      </c>
      <c r="F175" s="144"/>
      <c r="G175"/>
    </row>
    <row r="176" spans="1:9" x14ac:dyDescent="0.3">
      <c r="A176" s="57"/>
      <c r="B176" s="123" t="s">
        <v>421</v>
      </c>
      <c r="C176" s="32"/>
      <c r="D176" s="123"/>
      <c r="E176" s="123"/>
      <c r="F176" s="144"/>
      <c r="G176"/>
    </row>
    <row r="177" spans="1:7" x14ac:dyDescent="0.3">
      <c r="A177" s="57"/>
      <c r="B177" s="123" t="s">
        <v>417</v>
      </c>
      <c r="C177" s="32"/>
      <c r="D177" s="147">
        <f>D175/D171/0.7</f>
        <v>2.8313833956537575</v>
      </c>
      <c r="E177" s="123" t="s">
        <v>8</v>
      </c>
      <c r="F177" s="148" t="str">
        <f>IF(AND(D177&lt;=G155,D177&lt;=D6),"Safe","Butt weld")</f>
        <v>Safe</v>
      </c>
      <c r="G177"/>
    </row>
    <row r="178" spans="1:7" x14ac:dyDescent="0.3">
      <c r="A178" s="57"/>
      <c r="B178" s="32" t="s">
        <v>422</v>
      </c>
      <c r="C178" s="32"/>
      <c r="D178" s="142">
        <f>MAX(D177,D173,D170)</f>
        <v>3</v>
      </c>
      <c r="E178" s="32" t="s">
        <v>8</v>
      </c>
      <c r="F178" s="141"/>
    </row>
    <row r="179" spans="1:7" x14ac:dyDescent="0.3">
      <c r="A179" s="57"/>
      <c r="B179" s="32" t="s">
        <v>423</v>
      </c>
      <c r="C179" s="32"/>
      <c r="D179" s="32">
        <f>VLOOKUP($H$3,$X$4:$AN$5,17,FALSE)</f>
        <v>3</v>
      </c>
      <c r="E179" s="32" t="s">
        <v>8</v>
      </c>
      <c r="F179" s="148" t="str">
        <f>IF(AND(D179&lt;=G155,D179&lt;=D6,D179&gt;=D178),"Safe","Butt weld")</f>
        <v>Safe</v>
      </c>
    </row>
    <row r="180" spans="1:7" x14ac:dyDescent="0.3">
      <c r="A180" s="57"/>
      <c r="B180" s="32"/>
      <c r="C180" s="32"/>
      <c r="D180" s="32"/>
      <c r="E180" s="32"/>
      <c r="F180" s="141"/>
    </row>
    <row r="181" spans="1:7" ht="15" thickBot="1" x14ac:dyDescent="0.35">
      <c r="A181" s="59"/>
      <c r="B181" s="150"/>
      <c r="C181" s="150"/>
      <c r="D181" s="150"/>
      <c r="E181" s="150"/>
      <c r="F181" s="151"/>
    </row>
  </sheetData>
  <dataConsolidate/>
  <mergeCells count="9">
    <mergeCell ref="A1:F1"/>
    <mergeCell ref="N14:P14"/>
    <mergeCell ref="U29:W29"/>
    <mergeCell ref="X109:Y109"/>
    <mergeCell ref="N141:Q141"/>
    <mergeCell ref="W108:AD108"/>
    <mergeCell ref="O115:R115"/>
    <mergeCell ref="N128:S128"/>
    <mergeCell ref="AA30:AC30"/>
  </mergeCells>
  <phoneticPr fontId="5" type="noConversion"/>
  <conditionalFormatting sqref="F28:J32">
    <cfRule type="expression" dxfId="53" priority="22">
      <formula>$D28&lt;$F28</formula>
    </cfRule>
  </conditionalFormatting>
  <conditionalFormatting sqref="R4:R8 R10 F70:J70 F53:J53 F39:J39 F60:J60 F105:J109 F130:J131 F62:J63 F84:J84 F122:J122 H80:J85 F91:G95 G96 F97:G101">
    <cfRule type="containsText" dxfId="52" priority="18" operator="containsText" text="Check">
      <formula>NOT(ISERROR(SEARCH("Check",F4)))</formula>
    </cfRule>
  </conditionalFormatting>
  <conditionalFormatting sqref="S15:S31">
    <cfRule type="cellIs" dxfId="51" priority="7" operator="equal">
      <formula>1</formula>
    </cfRule>
  </conditionalFormatting>
  <dataValidations count="1">
    <dataValidation type="list" allowBlank="1" showInputMessage="1" showErrorMessage="1" sqref="D40" xr:uid="{2881055D-6141-4DAB-8565-094A4221DFA4}">
      <formula1>$T$31:$T$37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7730-8D4F-49EF-A15F-8A6D354BD1C7}">
  <dimension ref="A1:AA112"/>
  <sheetViews>
    <sheetView workbookViewId="0">
      <selection activeCell="J7" sqref="J7"/>
    </sheetView>
  </sheetViews>
  <sheetFormatPr defaultRowHeight="14.4" x14ac:dyDescent="0.3"/>
  <cols>
    <col min="1" max="1" width="16.33203125" style="1" customWidth="1"/>
    <col min="2" max="2" width="16.6640625" style="3" customWidth="1"/>
    <col min="3" max="3" width="11.44140625" style="1" customWidth="1"/>
    <col min="4" max="5" width="13.6640625" style="3" bestFit="1" customWidth="1"/>
    <col min="6" max="8" width="12.6640625" style="3" bestFit="1" customWidth="1"/>
    <col min="9" max="10" width="8.88671875" style="3"/>
    <col min="11" max="11" width="5.5546875" style="1" bestFit="1" customWidth="1"/>
    <col min="12" max="12" width="16.6640625" style="3" customWidth="1"/>
    <col min="13" max="13" width="9.77734375" style="1" bestFit="1" customWidth="1"/>
    <col min="14" max="14" width="13.6640625" style="3" bestFit="1" customWidth="1"/>
    <col min="15" max="15" width="7.21875" style="3" bestFit="1" customWidth="1"/>
    <col min="16" max="17" width="9.77734375" style="3" bestFit="1" customWidth="1"/>
    <col min="18" max="16384" width="8.88671875" style="3"/>
  </cols>
  <sheetData>
    <row r="1" spans="1:27" x14ac:dyDescent="0.3">
      <c r="A1" s="430" t="s">
        <v>567</v>
      </c>
      <c r="B1" s="431"/>
      <c r="C1" s="431"/>
      <c r="D1" s="431"/>
      <c r="E1" s="431"/>
      <c r="F1" s="432"/>
      <c r="K1" s="430" t="s">
        <v>75</v>
      </c>
      <c r="L1" s="431"/>
      <c r="M1" s="431"/>
      <c r="N1" s="431"/>
      <c r="O1" s="431"/>
      <c r="P1" s="432"/>
    </row>
    <row r="2" spans="1:27" x14ac:dyDescent="0.3">
      <c r="A2" s="249" t="s">
        <v>73</v>
      </c>
      <c r="B2" s="249" t="s">
        <v>35</v>
      </c>
      <c r="C2" s="249" t="s">
        <v>36</v>
      </c>
      <c r="D2" s="249" t="s">
        <v>37</v>
      </c>
      <c r="E2" s="249" t="s">
        <v>38</v>
      </c>
      <c r="F2" s="249" t="s">
        <v>39</v>
      </c>
      <c r="K2" s="249" t="s">
        <v>73</v>
      </c>
      <c r="L2" s="249" t="s">
        <v>35</v>
      </c>
      <c r="M2" s="249" t="s">
        <v>36</v>
      </c>
      <c r="N2" s="249" t="s">
        <v>37</v>
      </c>
      <c r="O2" s="249" t="s">
        <v>38</v>
      </c>
      <c r="P2" s="249" t="s">
        <v>39</v>
      </c>
    </row>
    <row r="3" spans="1:27" x14ac:dyDescent="0.3">
      <c r="A3" s="71">
        <v>1</v>
      </c>
      <c r="B3" s="7" t="s">
        <v>0</v>
      </c>
      <c r="C3" s="71"/>
      <c r="D3" s="45" t="s">
        <v>107</v>
      </c>
      <c r="E3" s="6" t="s">
        <v>7</v>
      </c>
      <c r="F3" s="6"/>
      <c r="G3" s="3" t="s">
        <v>128</v>
      </c>
      <c r="H3" s="37">
        <f>D48</f>
        <v>535.46397672727267</v>
      </c>
      <c r="I3" s="3" t="s">
        <v>16</v>
      </c>
      <c r="K3" s="71">
        <v>1</v>
      </c>
      <c r="L3" s="7" t="s">
        <v>0</v>
      </c>
      <c r="M3" s="71"/>
      <c r="N3" s="45" t="s">
        <v>107</v>
      </c>
      <c r="O3" s="6" t="s">
        <v>7</v>
      </c>
      <c r="P3" s="6"/>
      <c r="Q3" s="3" t="s">
        <v>128</v>
      </c>
      <c r="R3" s="37">
        <f>N43</f>
        <v>28.123764008327544</v>
      </c>
      <c r="S3" s="3" t="s">
        <v>16</v>
      </c>
    </row>
    <row r="4" spans="1:27" x14ac:dyDescent="0.3">
      <c r="A4" s="71">
        <v>2</v>
      </c>
      <c r="B4" s="7" t="s">
        <v>21</v>
      </c>
      <c r="C4" s="71" t="s">
        <v>40</v>
      </c>
      <c r="D4" s="10">
        <f>VLOOKUP($D$108,$A$102:$G$106,7,FALSE)</f>
        <v>1</v>
      </c>
      <c r="E4" s="6" t="s">
        <v>22</v>
      </c>
      <c r="F4" s="6"/>
      <c r="G4" s="3" t="s">
        <v>17</v>
      </c>
      <c r="H4" s="37">
        <f>D31</f>
        <v>1315.7399741911786</v>
      </c>
      <c r="I4" s="3" t="s">
        <v>19</v>
      </c>
      <c r="K4" s="71">
        <v>2</v>
      </c>
      <c r="L4" s="7" t="s">
        <v>21</v>
      </c>
      <c r="M4" s="71" t="s">
        <v>40</v>
      </c>
      <c r="N4" s="10">
        <v>0.55000000000000004</v>
      </c>
      <c r="O4" s="6" t="s">
        <v>22</v>
      </c>
      <c r="P4" s="6"/>
      <c r="Q4" s="3" t="s">
        <v>17</v>
      </c>
      <c r="R4" s="37">
        <f>N27</f>
        <v>266.44924868653669</v>
      </c>
      <c r="S4" s="3" t="s">
        <v>19</v>
      </c>
    </row>
    <row r="5" spans="1:27" x14ac:dyDescent="0.3">
      <c r="A5" s="71">
        <v>3</v>
      </c>
      <c r="B5" s="7" t="s">
        <v>1</v>
      </c>
      <c r="C5" s="71" t="s">
        <v>45</v>
      </c>
      <c r="D5" s="6">
        <f>VLOOKUP($D$108,$A$102:$G$106,4,FALSE)</f>
        <v>400</v>
      </c>
      <c r="E5" s="6" t="s">
        <v>8</v>
      </c>
      <c r="F5" s="71">
        <f>D5-2*D9</f>
        <v>369.4</v>
      </c>
      <c r="G5" s="3" t="s">
        <v>184</v>
      </c>
      <c r="H5" s="37">
        <f>D63</f>
        <v>6836.7854545454538</v>
      </c>
      <c r="I5" s="3" t="s">
        <v>19</v>
      </c>
      <c r="K5" s="71">
        <v>3</v>
      </c>
      <c r="L5" s="7" t="s">
        <v>76</v>
      </c>
      <c r="M5" s="71" t="s">
        <v>41</v>
      </c>
      <c r="N5" s="6">
        <v>139.69999999999999</v>
      </c>
      <c r="O5" s="6" t="s">
        <v>8</v>
      </c>
      <c r="P5" s="71"/>
      <c r="Q5" s="3" t="s">
        <v>184</v>
      </c>
      <c r="R5" s="37">
        <f>N58</f>
        <v>724.92821680248778</v>
      </c>
      <c r="S5" s="3" t="s">
        <v>19</v>
      </c>
    </row>
    <row r="6" spans="1:27" x14ac:dyDescent="0.3">
      <c r="A6" s="71">
        <v>4</v>
      </c>
      <c r="B6" s="7" t="s">
        <v>2</v>
      </c>
      <c r="C6" s="71" t="s">
        <v>41</v>
      </c>
      <c r="D6" s="6">
        <f>VLOOKUP($D$108,$A$102:$G$106,3,FALSE)</f>
        <v>200</v>
      </c>
      <c r="E6" s="6" t="s">
        <v>8</v>
      </c>
      <c r="F6" s="71">
        <f>D6-2*D8</f>
        <v>158.4</v>
      </c>
      <c r="K6" s="71">
        <v>4</v>
      </c>
      <c r="L6" s="7" t="s">
        <v>93</v>
      </c>
      <c r="M6" s="3" t="s">
        <v>94</v>
      </c>
      <c r="N6" s="6">
        <v>128.89999999999998</v>
      </c>
      <c r="O6" s="6" t="s">
        <v>8</v>
      </c>
      <c r="P6" s="71"/>
    </row>
    <row r="7" spans="1:27" x14ac:dyDescent="0.3">
      <c r="A7" s="71">
        <v>5</v>
      </c>
      <c r="B7" s="7" t="s">
        <v>3</v>
      </c>
      <c r="C7" s="71"/>
      <c r="D7" s="6"/>
      <c r="E7" s="6"/>
      <c r="F7" s="6"/>
      <c r="H7" s="45" t="s">
        <v>101</v>
      </c>
      <c r="J7" s="3">
        <f>1.25*H5</f>
        <v>8545.9818181818173</v>
      </c>
      <c r="K7" s="71">
        <v>5</v>
      </c>
      <c r="L7" s="7" t="s">
        <v>3</v>
      </c>
      <c r="M7" s="71" t="s">
        <v>43</v>
      </c>
      <c r="N7" s="6">
        <v>5.4</v>
      </c>
      <c r="O7" s="6"/>
      <c r="P7" s="6"/>
      <c r="R7" s="45" t="s">
        <v>103</v>
      </c>
      <c r="W7" s="4" t="s">
        <v>211</v>
      </c>
      <c r="X7" s="430" t="s">
        <v>219</v>
      </c>
      <c r="Y7" s="431"/>
      <c r="Z7" s="432"/>
      <c r="AA7" s="4" t="s">
        <v>220</v>
      </c>
    </row>
    <row r="8" spans="1:27" x14ac:dyDescent="0.3">
      <c r="A8" s="71">
        <v>6</v>
      </c>
      <c r="B8" s="7" t="s">
        <v>46</v>
      </c>
      <c r="C8" s="71" t="s">
        <v>529</v>
      </c>
      <c r="D8" s="6">
        <f>VLOOKUP($D$108,$A$102:$G$106,5,FALSE)</f>
        <v>20.8</v>
      </c>
      <c r="E8" s="6" t="s">
        <v>8</v>
      </c>
      <c r="F8" s="6"/>
      <c r="H8" s="45" t="s">
        <v>568</v>
      </c>
      <c r="K8" s="71">
        <v>6</v>
      </c>
      <c r="L8" s="7" t="s">
        <v>48</v>
      </c>
      <c r="M8" s="71" t="s">
        <v>4</v>
      </c>
      <c r="N8" s="6">
        <v>350</v>
      </c>
      <c r="O8" s="6" t="s">
        <v>7</v>
      </c>
      <c r="P8" s="6"/>
      <c r="R8" s="45" t="s">
        <v>568</v>
      </c>
      <c r="W8" s="4"/>
      <c r="X8" s="4" t="s">
        <v>216</v>
      </c>
      <c r="Y8" s="4" t="s">
        <v>217</v>
      </c>
      <c r="Z8" s="4" t="s">
        <v>218</v>
      </c>
      <c r="AA8" s="4"/>
    </row>
    <row r="9" spans="1:27" x14ac:dyDescent="0.3">
      <c r="A9" s="71">
        <v>7</v>
      </c>
      <c r="B9" s="7" t="s">
        <v>47</v>
      </c>
      <c r="C9" s="71" t="s">
        <v>530</v>
      </c>
      <c r="D9" s="6">
        <f>VLOOKUP($D$108,$A$102:$G$106,6,FALSE)</f>
        <v>15.3</v>
      </c>
      <c r="E9" s="6" t="s">
        <v>8</v>
      </c>
      <c r="F9" s="6"/>
      <c r="H9" s="3" t="s">
        <v>569</v>
      </c>
      <c r="I9" s="45">
        <v>1</v>
      </c>
      <c r="K9" s="71">
        <v>7</v>
      </c>
      <c r="L9" s="7" t="s">
        <v>49</v>
      </c>
      <c r="M9" s="71" t="s">
        <v>5</v>
      </c>
      <c r="N9" s="6">
        <v>490</v>
      </c>
      <c r="O9" s="6" t="s">
        <v>7</v>
      </c>
      <c r="P9" s="6"/>
      <c r="W9" s="6" t="s">
        <v>212</v>
      </c>
      <c r="X9" s="6">
        <v>165</v>
      </c>
      <c r="Y9" s="6">
        <v>165</v>
      </c>
      <c r="Z9" s="6">
        <v>165</v>
      </c>
      <c r="AA9" s="6">
        <v>290</v>
      </c>
    </row>
    <row r="10" spans="1:27" x14ac:dyDescent="0.3">
      <c r="A10" s="71">
        <v>8</v>
      </c>
      <c r="B10" s="7" t="s">
        <v>570</v>
      </c>
      <c r="C10" s="71"/>
      <c r="D10" s="45" t="s">
        <v>571</v>
      </c>
      <c r="E10" s="6"/>
      <c r="F10" s="6"/>
      <c r="H10" s="3">
        <v>1</v>
      </c>
      <c r="I10" s="3" t="s">
        <v>572</v>
      </c>
      <c r="K10" s="71">
        <v>8</v>
      </c>
      <c r="L10" s="7" t="s">
        <v>50</v>
      </c>
      <c r="M10" s="71" t="s">
        <v>6</v>
      </c>
      <c r="N10" s="48">
        <v>210000</v>
      </c>
      <c r="O10" s="6" t="s">
        <v>7</v>
      </c>
      <c r="P10" s="6"/>
      <c r="W10" s="6" t="s">
        <v>213</v>
      </c>
      <c r="X10" s="6">
        <v>250</v>
      </c>
      <c r="Y10" s="6">
        <v>240</v>
      </c>
      <c r="Z10" s="6">
        <v>230</v>
      </c>
      <c r="AA10" s="6">
        <v>410</v>
      </c>
    </row>
    <row r="11" spans="1:27" x14ac:dyDescent="0.3">
      <c r="A11" s="71">
        <v>9</v>
      </c>
      <c r="B11" s="7" t="s">
        <v>48</v>
      </c>
      <c r="C11" s="71" t="s">
        <v>4</v>
      </c>
      <c r="D11" s="6">
        <f>VLOOKUP(D$3,$W$9:$AA$15,IF(MIN(RHS_Section_prop!D8:D9)&lt;20,2,IF(MIN(RHS_Section_prop!D8:D9)&lt;=40,3,4)),FALSE)</f>
        <v>350</v>
      </c>
      <c r="E11" s="6" t="s">
        <v>7</v>
      </c>
      <c r="F11" s="6"/>
      <c r="H11" s="3">
        <v>0</v>
      </c>
      <c r="I11" s="3" t="s">
        <v>573</v>
      </c>
      <c r="K11" s="71">
        <v>9</v>
      </c>
      <c r="L11" s="7" t="s">
        <v>10</v>
      </c>
      <c r="M11" s="71" t="s">
        <v>51</v>
      </c>
      <c r="N11" s="12">
        <f>PI()*(N5^2-N6^2)/4</f>
        <v>2278.3458242363904</v>
      </c>
      <c r="O11" s="6" t="s">
        <v>11</v>
      </c>
      <c r="P11" s="6"/>
      <c r="W11" s="6" t="s">
        <v>214</v>
      </c>
      <c r="X11" s="6">
        <v>300</v>
      </c>
      <c r="Y11" s="6">
        <v>290</v>
      </c>
      <c r="Z11" s="6">
        <v>280</v>
      </c>
      <c r="AA11" s="6">
        <v>440</v>
      </c>
    </row>
    <row r="12" spans="1:27" x14ac:dyDescent="0.3">
      <c r="A12" s="71">
        <v>10</v>
      </c>
      <c r="B12" s="7" t="s">
        <v>49</v>
      </c>
      <c r="C12" s="71" t="s">
        <v>5</v>
      </c>
      <c r="D12" s="6">
        <f>VLOOKUP(D$3,$W$9:$AA$15,5,FALSE)</f>
        <v>490</v>
      </c>
      <c r="E12" s="6" t="s">
        <v>7</v>
      </c>
      <c r="F12" s="6"/>
      <c r="L12" s="36"/>
      <c r="W12" s="6" t="s">
        <v>107</v>
      </c>
      <c r="X12" s="6">
        <v>350</v>
      </c>
      <c r="Y12" s="6">
        <v>330</v>
      </c>
      <c r="Z12" s="6">
        <v>320</v>
      </c>
      <c r="AA12" s="6">
        <v>490</v>
      </c>
    </row>
    <row r="13" spans="1:27" x14ac:dyDescent="0.3">
      <c r="A13" s="71">
        <v>11</v>
      </c>
      <c r="B13" s="7" t="s">
        <v>50</v>
      </c>
      <c r="C13" s="71" t="s">
        <v>6</v>
      </c>
      <c r="D13" s="48">
        <v>210000</v>
      </c>
      <c r="E13" s="6" t="s">
        <v>7</v>
      </c>
      <c r="F13" s="6"/>
      <c r="H13" s="3" t="s">
        <v>312</v>
      </c>
      <c r="I13" s="3">
        <v>1</v>
      </c>
      <c r="W13" s="6" t="s">
        <v>215</v>
      </c>
      <c r="X13" s="6">
        <v>410</v>
      </c>
      <c r="Y13" s="6">
        <v>390</v>
      </c>
      <c r="Z13" s="6">
        <v>380</v>
      </c>
      <c r="AA13" s="6">
        <v>540</v>
      </c>
    </row>
    <row r="14" spans="1:27" x14ac:dyDescent="0.3">
      <c r="A14" s="71">
        <v>12</v>
      </c>
      <c r="B14" s="7" t="s">
        <v>10</v>
      </c>
      <c r="C14" s="71" t="s">
        <v>51</v>
      </c>
      <c r="D14" s="6">
        <f>D5*D6-(D5-2*D9)*(D6-2*D8)</f>
        <v>21487.040000000001</v>
      </c>
      <c r="E14" s="6" t="s">
        <v>11</v>
      </c>
      <c r="F14" s="6"/>
      <c r="K14" s="430" t="s">
        <v>9</v>
      </c>
      <c r="L14" s="431"/>
      <c r="M14" s="431"/>
      <c r="N14" s="431"/>
      <c r="O14" s="431"/>
      <c r="P14" s="432"/>
      <c r="W14" s="6" t="s">
        <v>221</v>
      </c>
      <c r="X14" s="6">
        <v>450</v>
      </c>
      <c r="Y14" s="6">
        <v>430</v>
      </c>
      <c r="Z14" s="6">
        <v>420</v>
      </c>
      <c r="AA14" s="6">
        <v>570</v>
      </c>
    </row>
    <row r="15" spans="1:27" x14ac:dyDescent="0.3">
      <c r="K15" s="29" t="s">
        <v>74</v>
      </c>
      <c r="L15" s="4" t="s">
        <v>35</v>
      </c>
      <c r="M15" s="4" t="s">
        <v>36</v>
      </c>
      <c r="N15" s="249" t="s">
        <v>37</v>
      </c>
      <c r="O15" s="249" t="s">
        <v>38</v>
      </c>
      <c r="P15" s="249" t="s">
        <v>39</v>
      </c>
      <c r="W15" s="6" t="s">
        <v>222</v>
      </c>
      <c r="X15" s="6">
        <v>450</v>
      </c>
      <c r="Y15" s="6">
        <v>430</v>
      </c>
      <c r="Z15" s="6">
        <v>420</v>
      </c>
      <c r="AA15" s="6">
        <v>590</v>
      </c>
    </row>
    <row r="16" spans="1:27" x14ac:dyDescent="0.3">
      <c r="A16" s="430" t="s">
        <v>9</v>
      </c>
      <c r="B16" s="431"/>
      <c r="C16" s="431"/>
      <c r="D16" s="431"/>
      <c r="E16" s="431"/>
      <c r="F16" s="431"/>
      <c r="G16" s="432"/>
      <c r="K16" s="71">
        <v>1</v>
      </c>
      <c r="L16" s="6" t="s">
        <v>52</v>
      </c>
      <c r="M16" s="71" t="s">
        <v>12</v>
      </c>
      <c r="N16" s="8">
        <f>PI()*(N5^4-(N6)^4)/64</f>
        <v>5144974.7799520157</v>
      </c>
      <c r="O16" s="6" t="s">
        <v>13</v>
      </c>
      <c r="P16" s="6"/>
    </row>
    <row r="17" spans="1:18" ht="28.8" x14ac:dyDescent="0.3">
      <c r="A17" s="448" t="s">
        <v>74</v>
      </c>
      <c r="B17" s="450" t="s">
        <v>35</v>
      </c>
      <c r="C17" s="450" t="s">
        <v>36</v>
      </c>
      <c r="D17" s="249" t="s">
        <v>37</v>
      </c>
      <c r="E17" s="249" t="s">
        <v>37</v>
      </c>
      <c r="F17" s="249" t="s">
        <v>38</v>
      </c>
      <c r="G17" s="249" t="s">
        <v>39</v>
      </c>
      <c r="K17" s="71">
        <v>2</v>
      </c>
      <c r="L17" s="9" t="s">
        <v>14</v>
      </c>
      <c r="M17" s="16" t="s">
        <v>53</v>
      </c>
      <c r="N17" s="8">
        <f>N16/(N5/2)</f>
        <v>73657.477164667376</v>
      </c>
      <c r="O17" s="6" t="s">
        <v>15</v>
      </c>
      <c r="P17" s="8"/>
      <c r="Q17"/>
    </row>
    <row r="18" spans="1:18" ht="28.8" x14ac:dyDescent="0.3">
      <c r="A18" s="449"/>
      <c r="B18" s="450"/>
      <c r="C18" s="450"/>
      <c r="D18" s="249" t="s">
        <v>574</v>
      </c>
      <c r="E18" s="249" t="s">
        <v>575</v>
      </c>
      <c r="F18" s="249"/>
      <c r="G18" s="249"/>
      <c r="K18" s="71">
        <v>3</v>
      </c>
      <c r="L18" s="9" t="s">
        <v>54</v>
      </c>
      <c r="M18" s="16" t="s">
        <v>55</v>
      </c>
      <c r="N18" s="6">
        <f>(N5^3-N6^3)/6</f>
        <v>97449.533999999985</v>
      </c>
      <c r="O18" s="6" t="s">
        <v>15</v>
      </c>
      <c r="P18" s="6"/>
    </row>
    <row r="19" spans="1:18" x14ac:dyDescent="0.3">
      <c r="A19" s="71">
        <v>1</v>
      </c>
      <c r="B19" s="6" t="s">
        <v>52</v>
      </c>
      <c r="C19" s="71" t="s">
        <v>12</v>
      </c>
      <c r="D19" s="8">
        <f>(D5*D6^3-F5*F6^3)/12</f>
        <v>144323088.86186665</v>
      </c>
      <c r="E19" s="8">
        <f>(D5^3*D6-F5^3*F6)/12</f>
        <v>401294538.79786682</v>
      </c>
      <c r="F19" s="6" t="s">
        <v>13</v>
      </c>
      <c r="G19" s="6"/>
      <c r="K19" s="71">
        <v>4</v>
      </c>
      <c r="L19" s="9" t="s">
        <v>56</v>
      </c>
      <c r="M19" s="16" t="s">
        <v>44</v>
      </c>
      <c r="N19" s="47">
        <f>N18/N17</f>
        <v>1.3230093909155143</v>
      </c>
      <c r="O19" s="6"/>
      <c r="P19" s="6"/>
    </row>
    <row r="20" spans="1:18" ht="28.8" x14ac:dyDescent="0.3">
      <c r="A20" s="71">
        <v>2</v>
      </c>
      <c r="B20" s="9" t="s">
        <v>14</v>
      </c>
      <c r="C20" s="16" t="s">
        <v>53</v>
      </c>
      <c r="D20" s="8">
        <f>D19/(D6/2)</f>
        <v>1443230.8886186664</v>
      </c>
      <c r="E20" s="8">
        <f>E19/(D6/2)</f>
        <v>4012945.3879786683</v>
      </c>
      <c r="F20" s="6" t="s">
        <v>15</v>
      </c>
      <c r="G20" s="6"/>
      <c r="K20" s="71">
        <v>5</v>
      </c>
      <c r="L20" s="9" t="s">
        <v>57</v>
      </c>
      <c r="M20" s="16" t="s">
        <v>58</v>
      </c>
      <c r="N20" s="47">
        <f>SQRT(N16/$N$11)</f>
        <v>47.520587643672911</v>
      </c>
      <c r="O20" s="6" t="s">
        <v>8</v>
      </c>
      <c r="P20" s="6"/>
    </row>
    <row r="21" spans="1:18" ht="28.8" x14ac:dyDescent="0.3">
      <c r="A21" s="71">
        <v>3</v>
      </c>
      <c r="B21" s="9" t="s">
        <v>54</v>
      </c>
      <c r="C21" s="16" t="s">
        <v>55</v>
      </c>
      <c r="D21" s="6">
        <f>(D5*D6^2-F5*F6^2)/4</f>
        <v>1682886.784</v>
      </c>
      <c r="E21" s="6">
        <f>(D5^2*D6-F5^2*F6)/4</f>
        <v>2596328.1440000003</v>
      </c>
      <c r="F21" s="6" t="s">
        <v>15</v>
      </c>
      <c r="G21" s="6"/>
      <c r="K21" s="71">
        <v>6</v>
      </c>
      <c r="L21" s="9" t="s">
        <v>59</v>
      </c>
      <c r="M21" s="16" t="s">
        <v>60</v>
      </c>
      <c r="N21" s="10">
        <f>N18*$N$8/(1.1*1000^2)</f>
        <v>31.006669909090903</v>
      </c>
      <c r="O21" s="6" t="s">
        <v>16</v>
      </c>
      <c r="P21" s="6"/>
    </row>
    <row r="22" spans="1:18" x14ac:dyDescent="0.3">
      <c r="A22" s="71">
        <v>4</v>
      </c>
      <c r="B22" s="9" t="s">
        <v>56</v>
      </c>
      <c r="C22" s="16" t="s">
        <v>44</v>
      </c>
      <c r="D22" s="286">
        <f>D21/D20</f>
        <v>1.1660551317680785</v>
      </c>
      <c r="E22" s="286">
        <f>E21/E20</f>
        <v>0.64698815781985464</v>
      </c>
      <c r="F22" s="6"/>
      <c r="G22" s="6"/>
      <c r="K22" s="71"/>
      <c r="L22" s="9"/>
      <c r="M22" s="16"/>
      <c r="N22" s="10"/>
      <c r="O22" s="6"/>
      <c r="P22" s="6"/>
    </row>
    <row r="23" spans="1:18" x14ac:dyDescent="0.3">
      <c r="A23" s="71">
        <v>5</v>
      </c>
      <c r="B23" s="9" t="s">
        <v>57</v>
      </c>
      <c r="C23" s="16" t="s">
        <v>58</v>
      </c>
      <c r="D23" s="286">
        <f>SQRT(D19/$D$14)</f>
        <v>81.955784434720371</v>
      </c>
      <c r="E23" s="286">
        <f>SQRT(E19/$D$14)</f>
        <v>136.66060171501408</v>
      </c>
      <c r="F23" s="6" t="s">
        <v>8</v>
      </c>
      <c r="G23" s="6"/>
      <c r="K23" s="71">
        <v>7</v>
      </c>
      <c r="L23" s="17" t="s">
        <v>72</v>
      </c>
      <c r="M23" s="16"/>
      <c r="N23" s="6"/>
      <c r="O23" s="6"/>
      <c r="P23" s="6" t="s">
        <v>71</v>
      </c>
      <c r="R23" s="3">
        <f>SQRT(N5^2+N6^2)/4</f>
        <v>47.520587643672918</v>
      </c>
    </row>
    <row r="24" spans="1:18" x14ac:dyDescent="0.3">
      <c r="A24" s="71">
        <v>6</v>
      </c>
      <c r="B24" s="9" t="s">
        <v>59</v>
      </c>
      <c r="C24" s="16" t="s">
        <v>60</v>
      </c>
      <c r="D24" s="10">
        <f>D21*$D$11/(1.1*1000^2)</f>
        <v>535.46397672727267</v>
      </c>
      <c r="E24" s="10">
        <f>E21*$D$11/(1.1*1000^2)</f>
        <v>826.10440945454559</v>
      </c>
      <c r="F24" s="6" t="s">
        <v>16</v>
      </c>
      <c r="G24" s="6"/>
      <c r="K24" s="71"/>
      <c r="L24" s="14" t="s">
        <v>18</v>
      </c>
      <c r="M24" s="16"/>
      <c r="N24" s="6" t="s">
        <v>95</v>
      </c>
      <c r="O24" s="6"/>
      <c r="P24" s="6"/>
    </row>
    <row r="25" spans="1:18" x14ac:dyDescent="0.3">
      <c r="A25" s="71"/>
      <c r="B25" s="9"/>
      <c r="C25" s="16"/>
      <c r="D25" s="10"/>
      <c r="E25" s="10"/>
      <c r="F25" s="6"/>
      <c r="G25" s="6"/>
      <c r="K25" s="71"/>
      <c r="L25" s="15"/>
      <c r="M25" s="71"/>
      <c r="N25" s="12">
        <f>2*N11/PI()</f>
        <v>1450.4400000000005</v>
      </c>
      <c r="O25" s="6" t="s">
        <v>11</v>
      </c>
      <c r="P25" s="6"/>
    </row>
    <row r="26" spans="1:18" x14ac:dyDescent="0.3">
      <c r="A26" s="71">
        <v>7</v>
      </c>
      <c r="B26" s="17" t="s">
        <v>72</v>
      </c>
      <c r="C26" s="16"/>
      <c r="D26" s="6"/>
      <c r="E26" s="6"/>
      <c r="F26" s="6"/>
      <c r="G26" s="6" t="s">
        <v>71</v>
      </c>
      <c r="K26" s="71"/>
      <c r="L26" s="14" t="s">
        <v>17</v>
      </c>
      <c r="M26" s="16" t="s">
        <v>32</v>
      </c>
      <c r="N26" s="12">
        <f>N25*$N$8/(SQRT(3)*1.1*1000)</f>
        <v>266.44924868653669</v>
      </c>
      <c r="O26" s="6" t="s">
        <v>19</v>
      </c>
      <c r="P26" s="6"/>
    </row>
    <row r="27" spans="1:18" ht="28.8" x14ac:dyDescent="0.3">
      <c r="A27" s="71"/>
      <c r="B27" s="14" t="s">
        <v>18</v>
      </c>
      <c r="C27" s="16"/>
      <c r="D27" s="6"/>
      <c r="E27" s="6"/>
      <c r="F27" s="6"/>
      <c r="G27" s="6"/>
      <c r="K27" s="71"/>
      <c r="L27" s="18" t="s">
        <v>34</v>
      </c>
      <c r="M27" s="50" t="s">
        <v>61</v>
      </c>
      <c r="N27" s="34">
        <f>N26</f>
        <v>266.44924868653669</v>
      </c>
      <c r="O27" s="4" t="s">
        <v>19</v>
      </c>
      <c r="P27" s="6"/>
    </row>
    <row r="28" spans="1:18" ht="28.8" x14ac:dyDescent="0.3">
      <c r="A28" s="71"/>
      <c r="B28" s="14" t="s">
        <v>576</v>
      </c>
      <c r="C28" s="16"/>
      <c r="D28" s="6" t="s">
        <v>577</v>
      </c>
      <c r="E28" s="6" t="s">
        <v>578</v>
      </c>
      <c r="F28" s="6"/>
      <c r="G28" s="6"/>
      <c r="K28" s="71"/>
      <c r="L28" s="6"/>
      <c r="M28" s="71"/>
      <c r="N28" s="6"/>
      <c r="O28" s="6"/>
      <c r="P28" s="6"/>
    </row>
    <row r="29" spans="1:18" x14ac:dyDescent="0.3">
      <c r="A29" s="71"/>
      <c r="B29" s="15"/>
      <c r="C29" s="71"/>
      <c r="D29" s="6">
        <f>$D$14*D6/($D$5+$D$6)</f>
        <v>7162.3466666666664</v>
      </c>
      <c r="E29" s="6">
        <f>$D$14*D5/($D$5+$D$6)</f>
        <v>14324.693333333333</v>
      </c>
      <c r="F29" s="6" t="s">
        <v>11</v>
      </c>
      <c r="G29" s="6"/>
      <c r="K29" s="71">
        <v>8</v>
      </c>
      <c r="L29" s="17" t="s">
        <v>20</v>
      </c>
      <c r="M29" s="16"/>
      <c r="N29" s="6"/>
      <c r="O29" s="6"/>
      <c r="P29" s="6"/>
    </row>
    <row r="30" spans="1:18" x14ac:dyDescent="0.3">
      <c r="A30" s="71"/>
      <c r="B30" s="14" t="s">
        <v>17</v>
      </c>
      <c r="C30" s="16" t="s">
        <v>32</v>
      </c>
      <c r="D30" s="12">
        <f>D29*$D$11/(SQRT(3)*1.1*1000)</f>
        <v>1315.7399741911786</v>
      </c>
      <c r="E30" s="12">
        <f>E29*$D$11/(SQRT(3)*1.1*1000)</f>
        <v>2631.4799483823572</v>
      </c>
      <c r="F30" s="6" t="s">
        <v>19</v>
      </c>
      <c r="G30" s="6"/>
      <c r="K30" s="71"/>
      <c r="L30" s="14" t="s">
        <v>62</v>
      </c>
      <c r="M30" s="16" t="s">
        <v>25</v>
      </c>
      <c r="N30" s="6">
        <f>IF(OR(N87=1,N87=2),1,IF(N87=3,1/N19,0))</f>
        <v>1</v>
      </c>
      <c r="O30" s="6"/>
      <c r="P30" s="6"/>
    </row>
    <row r="31" spans="1:18" ht="43.2" x14ac:dyDescent="0.3">
      <c r="A31" s="71"/>
      <c r="B31" s="18" t="s">
        <v>34</v>
      </c>
      <c r="C31" s="50" t="s">
        <v>61</v>
      </c>
      <c r="D31" s="446">
        <f>MIN(D30,E30)</f>
        <v>1315.7399741911786</v>
      </c>
      <c r="E31" s="446"/>
      <c r="F31" s="4" t="s">
        <v>19</v>
      </c>
      <c r="G31" s="6"/>
      <c r="K31" s="71"/>
      <c r="L31" s="14" t="s">
        <v>63</v>
      </c>
      <c r="M31" s="16" t="s">
        <v>23</v>
      </c>
      <c r="N31" s="12">
        <f>(1.1*PI()^2*N10/(N4*1000/N20)^2)*SQRT(1+(1/20)*((N4*1000/N20)/((N5-N7)/N7))^2)</f>
        <v>17111.52377197551</v>
      </c>
      <c r="O31" s="6" t="s">
        <v>7</v>
      </c>
      <c r="P31" s="6"/>
    </row>
    <row r="32" spans="1:18" ht="28.8" x14ac:dyDescent="0.3">
      <c r="A32" s="71"/>
      <c r="B32" s="6"/>
      <c r="C32" s="71"/>
      <c r="D32" s="6"/>
      <c r="E32" s="6"/>
      <c r="F32" s="6"/>
      <c r="G32" s="6"/>
      <c r="K32" s="71"/>
      <c r="L32" s="14" t="s">
        <v>64</v>
      </c>
      <c r="M32" s="16" t="s">
        <v>24</v>
      </c>
      <c r="N32" s="12">
        <f>N30*(N18)*N31/1000^2</f>
        <v>1667.5100176089354</v>
      </c>
      <c r="O32" s="6" t="s">
        <v>16</v>
      </c>
      <c r="P32" s="6"/>
    </row>
    <row r="33" spans="1:16" ht="28.8" x14ac:dyDescent="0.3">
      <c r="A33" s="71">
        <v>8</v>
      </c>
      <c r="B33" s="17" t="s">
        <v>20</v>
      </c>
      <c r="C33" s="16"/>
      <c r="D33" s="6"/>
      <c r="E33" s="6"/>
      <c r="F33" s="6"/>
      <c r="G33" s="6" t="s">
        <v>579</v>
      </c>
      <c r="K33" s="71"/>
      <c r="L33" s="14" t="s">
        <v>65</v>
      </c>
      <c r="M33" s="16" t="s">
        <v>26</v>
      </c>
      <c r="N33" s="10">
        <f>SQRT($N$8/N31)</f>
        <v>0.14301766385134304</v>
      </c>
      <c r="O33" s="10"/>
      <c r="P33" s="6"/>
    </row>
    <row r="34" spans="1:16" ht="57.6" x14ac:dyDescent="0.3">
      <c r="A34" s="71"/>
      <c r="B34" s="9" t="s">
        <v>580</v>
      </c>
      <c r="C34" s="16"/>
      <c r="D34" s="6"/>
      <c r="E34" s="6"/>
      <c r="F34" s="6"/>
      <c r="G34" s="6"/>
      <c r="K34" s="71"/>
      <c r="L34" s="14" t="s">
        <v>66</v>
      </c>
      <c r="M34" s="16" t="s">
        <v>28</v>
      </c>
      <c r="N34" s="6">
        <v>0.21</v>
      </c>
      <c r="O34" s="6"/>
      <c r="P34" s="9" t="s">
        <v>100</v>
      </c>
    </row>
    <row r="35" spans="1:16" x14ac:dyDescent="0.3">
      <c r="A35" s="71"/>
      <c r="B35" s="14" t="s">
        <v>62</v>
      </c>
      <c r="C35" s="16" t="s">
        <v>25</v>
      </c>
      <c r="D35" s="6">
        <f>IF(OR($D$98=1,$D$98=2),1,IF($D$98=3,1/D22,0))</f>
        <v>1</v>
      </c>
      <c r="E35" s="6">
        <f>IF(OR($D$98=1,$D$98=2),1,IF($D$98=3,1/E22,0))</f>
        <v>1</v>
      </c>
      <c r="F35" s="6"/>
      <c r="G35" s="6"/>
      <c r="K35" s="71"/>
      <c r="L35" s="15"/>
      <c r="M35" s="16" t="s">
        <v>27</v>
      </c>
      <c r="N35" s="10">
        <f>0.5*(1+N34*(N33-0.2)+N33^2)</f>
        <v>0.50424388079113891</v>
      </c>
      <c r="O35" s="6"/>
      <c r="P35" s="6"/>
    </row>
    <row r="36" spans="1:16" ht="57.6" x14ac:dyDescent="0.3">
      <c r="A36" s="71"/>
      <c r="B36" s="14" t="s">
        <v>63</v>
      </c>
      <c r="C36" s="16" t="s">
        <v>23</v>
      </c>
      <c r="D36" s="12">
        <f>(1.1*PI()^2*D13/(D4*1000/D23)^2)*SQRT(1+(1/20)*((D4*1000/D23)/((D6-D8)/D8))^2)</f>
        <v>16062.927706920427</v>
      </c>
      <c r="E36" s="8">
        <f>(1.1*PI()^2*D13/(D4*1000/E23)^2)*SQRT(1+(1/20)*((D4*1000/E23)/((D6-D8)/D8))^2)</f>
        <v>43340.380569951201</v>
      </c>
      <c r="F36" s="6" t="s">
        <v>7</v>
      </c>
      <c r="G36" s="6"/>
      <c r="K36" s="71"/>
      <c r="L36" s="14" t="s">
        <v>67</v>
      </c>
      <c r="M36" s="16" t="s">
        <v>29</v>
      </c>
      <c r="N36" s="10">
        <f>1/(N35+(N35^2-N33^2)^0.5)</f>
        <v>1.012370475710294</v>
      </c>
      <c r="O36" s="6"/>
      <c r="P36" s="6"/>
    </row>
    <row r="37" spans="1:16" ht="28.8" x14ac:dyDescent="0.3">
      <c r="A37" s="71"/>
      <c r="B37" s="14" t="s">
        <v>64</v>
      </c>
      <c r="C37" s="16" t="s">
        <v>24</v>
      </c>
      <c r="D37" s="12">
        <f>D35*(D21)*D36/1000^2</f>
        <v>27032.088750323812</v>
      </c>
      <c r="E37" s="12">
        <f>E35*(E21)*E36/1000^2</f>
        <v>112525.84984543508</v>
      </c>
      <c r="F37" s="6" t="s">
        <v>16</v>
      </c>
      <c r="G37" s="6"/>
      <c r="K37" s="71"/>
      <c r="L37" s="14"/>
      <c r="M37" s="16"/>
      <c r="N37" s="10">
        <f>IF(N36&gt;1,1,N36)</f>
        <v>1</v>
      </c>
      <c r="O37" s="6"/>
      <c r="P37" s="6"/>
    </row>
    <row r="38" spans="1:16" ht="43.2" x14ac:dyDescent="0.3">
      <c r="A38" s="71"/>
      <c r="B38" s="14" t="s">
        <v>65</v>
      </c>
      <c r="C38" s="16" t="s">
        <v>26</v>
      </c>
      <c r="D38" s="10">
        <f>SQRT($D$11/D36)</f>
        <v>0.14761200178220629</v>
      </c>
      <c r="E38" s="10">
        <f>SQRT($D$11/E36)</f>
        <v>8.9864396466681762E-2</v>
      </c>
      <c r="F38" s="10"/>
      <c r="G38" s="6"/>
      <c r="K38" s="71"/>
      <c r="L38" s="14" t="s">
        <v>68</v>
      </c>
      <c r="M38" s="16" t="s">
        <v>30</v>
      </c>
      <c r="N38" s="12">
        <f>N37*$N$8/1.1</f>
        <v>318.18181818181813</v>
      </c>
      <c r="O38" s="6" t="s">
        <v>7</v>
      </c>
      <c r="P38" s="6"/>
    </row>
    <row r="39" spans="1:16" ht="28.8" x14ac:dyDescent="0.3">
      <c r="A39" s="71"/>
      <c r="B39" s="14" t="s">
        <v>66</v>
      </c>
      <c r="C39" s="16" t="s">
        <v>28</v>
      </c>
      <c r="D39" s="6">
        <f>IF($D$10="Rolled",0.21,0.49)</f>
        <v>0.21</v>
      </c>
      <c r="E39" s="6">
        <f>IF($D$10="Rolled",0.21,0.49)</f>
        <v>0.21</v>
      </c>
      <c r="F39" s="6"/>
      <c r="G39" s="6"/>
      <c r="K39" s="71"/>
      <c r="L39" s="14" t="s">
        <v>69</v>
      </c>
      <c r="M39" s="16" t="s">
        <v>31</v>
      </c>
      <c r="N39" s="12">
        <f>N30*N18*N38/1000^2</f>
        <v>31.006669909090899</v>
      </c>
      <c r="O39" s="6" t="s">
        <v>16</v>
      </c>
      <c r="P39" s="6"/>
    </row>
    <row r="40" spans="1:16" ht="28.8" x14ac:dyDescent="0.3">
      <c r="A40" s="71"/>
      <c r="B40" s="15"/>
      <c r="C40" s="16" t="s">
        <v>27</v>
      </c>
      <c r="D40" s="10">
        <f>0.5*(1+D39*(D38-0.2)+D38^2)</f>
        <v>0.50539391172220671</v>
      </c>
      <c r="E40" s="10">
        <f>0.5*(1+E39*(E38-0.2)+E38^2)</f>
        <v>0.49247356650516205</v>
      </c>
      <c r="F40" s="6"/>
      <c r="G40" s="6"/>
      <c r="K40" s="71"/>
      <c r="L40" s="11" t="s">
        <v>96</v>
      </c>
      <c r="M40" s="16"/>
      <c r="N40" s="12"/>
      <c r="O40" s="6"/>
      <c r="P40" s="6"/>
    </row>
    <row r="41" spans="1:16" ht="57.6" x14ac:dyDescent="0.3">
      <c r="A41" s="71"/>
      <c r="B41" s="14" t="s">
        <v>67</v>
      </c>
      <c r="C41" s="16" t="s">
        <v>29</v>
      </c>
      <c r="D41" s="10">
        <f>1/(D40+(D40^2-D38^2)^0.5)</f>
        <v>1.0113773731028297</v>
      </c>
      <c r="E41" s="10">
        <f>1/(E40+(E40^2-E38^2)^0.5)</f>
        <v>1.0238781779204129</v>
      </c>
      <c r="F41" s="6"/>
      <c r="G41" s="6"/>
      <c r="K41" s="71"/>
      <c r="L41" s="14" t="s">
        <v>69</v>
      </c>
      <c r="M41" s="16" t="s">
        <v>31</v>
      </c>
      <c r="N41" s="12">
        <f>N30*N18*$N$8/(1.1*1000^2)</f>
        <v>31.006669909090903</v>
      </c>
      <c r="O41" s="6" t="s">
        <v>16</v>
      </c>
      <c r="P41" s="6"/>
    </row>
    <row r="42" spans="1:16" ht="43.2" x14ac:dyDescent="0.3">
      <c r="A42" s="71"/>
      <c r="B42" s="14"/>
      <c r="C42" s="16"/>
      <c r="D42" s="10">
        <f>IF(D41&gt;1,1,D41)</f>
        <v>1</v>
      </c>
      <c r="E42" s="10">
        <f>IF(E41&gt;1,1,E41)</f>
        <v>1</v>
      </c>
      <c r="F42" s="6"/>
      <c r="G42" s="6"/>
      <c r="K42" s="71"/>
      <c r="L42" s="14" t="s">
        <v>97</v>
      </c>
      <c r="M42" s="16" t="s">
        <v>99</v>
      </c>
      <c r="N42" s="10">
        <f>1.2*N17*$N$8/(1.1*1000^2)</f>
        <v>28.123764008327544</v>
      </c>
      <c r="O42" s="6" t="s">
        <v>16</v>
      </c>
      <c r="P42" s="9" t="s">
        <v>98</v>
      </c>
    </row>
    <row r="43" spans="1:16" ht="43.2" x14ac:dyDescent="0.3">
      <c r="A43" s="71"/>
      <c r="B43" s="14" t="s">
        <v>68</v>
      </c>
      <c r="C43" s="16" t="s">
        <v>30</v>
      </c>
      <c r="D43" s="12">
        <f>D42*$D$11/1.1</f>
        <v>318.18181818181813</v>
      </c>
      <c r="E43" s="12">
        <f>E42*$D$11/1.1</f>
        <v>318.18181818181813</v>
      </c>
      <c r="F43" s="6" t="s">
        <v>7</v>
      </c>
      <c r="G43" s="6"/>
      <c r="K43" s="71"/>
      <c r="L43" s="18" t="s">
        <v>33</v>
      </c>
      <c r="M43" s="50" t="s">
        <v>70</v>
      </c>
      <c r="N43" s="34">
        <f>MIN(N42,N41,N39)</f>
        <v>28.123764008327544</v>
      </c>
      <c r="O43" s="4" t="s">
        <v>16</v>
      </c>
      <c r="P43" s="6"/>
    </row>
    <row r="44" spans="1:16" x14ac:dyDescent="0.3">
      <c r="A44" s="71"/>
      <c r="B44" s="14" t="s">
        <v>69</v>
      </c>
      <c r="C44" s="16" t="s">
        <v>31</v>
      </c>
      <c r="D44" s="12">
        <f>D35*D21*D43/1000^2</f>
        <v>535.46397672727267</v>
      </c>
      <c r="E44" s="12">
        <f>E35*E21*E43/1000^2</f>
        <v>826.10440945454536</v>
      </c>
      <c r="F44" s="6" t="s">
        <v>16</v>
      </c>
      <c r="G44" s="6"/>
    </row>
    <row r="45" spans="1:16" ht="28.8" x14ac:dyDescent="0.3">
      <c r="A45" s="71"/>
      <c r="B45" s="11" t="s">
        <v>96</v>
      </c>
      <c r="C45" s="16"/>
      <c r="D45" s="12"/>
      <c r="E45" s="12"/>
      <c r="F45" s="6"/>
      <c r="G45" s="6"/>
      <c r="K45" s="23">
        <v>9</v>
      </c>
      <c r="L45" s="24" t="s">
        <v>183</v>
      </c>
    </row>
    <row r="46" spans="1:16" x14ac:dyDescent="0.3">
      <c r="A46" s="71"/>
      <c r="B46" s="14" t="s">
        <v>69</v>
      </c>
      <c r="C46" s="16" t="s">
        <v>31</v>
      </c>
      <c r="D46" s="12">
        <f>D35*D21*$D$11/(1.1*1000^2)</f>
        <v>535.46397672727267</v>
      </c>
      <c r="E46" s="12">
        <f>E35*E21*$D$11/(1.1*1000^2)</f>
        <v>826.10440945454559</v>
      </c>
      <c r="F46" s="6" t="s">
        <v>16</v>
      </c>
      <c r="G46" s="6"/>
      <c r="L46" s="41" t="s">
        <v>192</v>
      </c>
    </row>
    <row r="47" spans="1:16" ht="43.2" x14ac:dyDescent="0.3">
      <c r="A47" s="71"/>
      <c r="B47" s="14" t="s">
        <v>97</v>
      </c>
      <c r="C47" s="16" t="s">
        <v>99</v>
      </c>
      <c r="D47" s="12">
        <f>1.2*D20*$D$11/(1.1*1000^2)</f>
        <v>551.05179383621817</v>
      </c>
      <c r="E47" s="12">
        <f>1.2*E20*$D$11/(1.1*1000^2)</f>
        <v>1532.2155117736731</v>
      </c>
      <c r="F47" s="6" t="s">
        <v>16</v>
      </c>
      <c r="G47" s="9" t="s">
        <v>98</v>
      </c>
      <c r="L47" s="43" t="s">
        <v>187</v>
      </c>
      <c r="M47" s="1" t="s">
        <v>188</v>
      </c>
      <c r="N47" s="3">
        <v>0.65</v>
      </c>
    </row>
    <row r="48" spans="1:16" ht="28.8" x14ac:dyDescent="0.3">
      <c r="A48" s="71"/>
      <c r="B48" s="18" t="s">
        <v>33</v>
      </c>
      <c r="C48" s="50" t="s">
        <v>70</v>
      </c>
      <c r="D48" s="446">
        <f>MIN(D47:E47,D46:E46,D44:E44)</f>
        <v>535.46397672727267</v>
      </c>
      <c r="E48" s="446"/>
      <c r="F48" s="4" t="s">
        <v>16</v>
      </c>
      <c r="G48" s="6"/>
      <c r="L48" s="43" t="s">
        <v>21</v>
      </c>
      <c r="M48" s="1" t="s">
        <v>40</v>
      </c>
      <c r="N48" s="22">
        <f>N4</f>
        <v>0.55000000000000004</v>
      </c>
      <c r="O48" s="3" t="s">
        <v>22</v>
      </c>
    </row>
    <row r="49" spans="1:17" x14ac:dyDescent="0.3">
      <c r="L49" s="43" t="s">
        <v>189</v>
      </c>
      <c r="M49" s="1" t="s">
        <v>58</v>
      </c>
      <c r="N49" s="22">
        <f>N20</f>
        <v>47.520587643672911</v>
      </c>
      <c r="O49" s="3" t="s">
        <v>8</v>
      </c>
    </row>
    <row r="50" spans="1:17" x14ac:dyDescent="0.3">
      <c r="A50" s="23">
        <v>9</v>
      </c>
      <c r="B50" s="24" t="s">
        <v>183</v>
      </c>
      <c r="L50" s="43" t="s">
        <v>190</v>
      </c>
      <c r="M50" s="1" t="s">
        <v>191</v>
      </c>
      <c r="N50" s="38">
        <f>N47*N48*1000/N49</f>
        <v>7.5230551162512631</v>
      </c>
    </row>
    <row r="51" spans="1:17" x14ac:dyDescent="0.3">
      <c r="B51" s="41" t="s">
        <v>192</v>
      </c>
      <c r="L51" s="41" t="s">
        <v>193</v>
      </c>
      <c r="M51" s="1" t="s">
        <v>194</v>
      </c>
      <c r="N51" s="49">
        <f>PI()^2*$N$10/N50^2</f>
        <v>36621.029817784103</v>
      </c>
      <c r="O51" s="3" t="s">
        <v>7</v>
      </c>
    </row>
    <row r="52" spans="1:17" ht="28.8" x14ac:dyDescent="0.3">
      <c r="B52" s="43" t="s">
        <v>187</v>
      </c>
      <c r="C52" s="1" t="s">
        <v>188</v>
      </c>
      <c r="D52" s="3">
        <v>0.65</v>
      </c>
      <c r="E52" s="3">
        <f>D52</f>
        <v>0.65</v>
      </c>
      <c r="L52" s="42" t="s">
        <v>196</v>
      </c>
      <c r="M52" s="1" t="s">
        <v>195</v>
      </c>
      <c r="N52" s="22">
        <f>SQRT($N$8/N51)</f>
        <v>9.7761700160762521E-2</v>
      </c>
      <c r="O52" s="3" t="s">
        <v>7</v>
      </c>
    </row>
    <row r="53" spans="1:17" x14ac:dyDescent="0.3">
      <c r="B53" s="43" t="s">
        <v>21</v>
      </c>
      <c r="C53" s="1" t="s">
        <v>40</v>
      </c>
      <c r="D53" s="22">
        <f>D4</f>
        <v>1</v>
      </c>
      <c r="E53" s="22">
        <f>D53</f>
        <v>1</v>
      </c>
      <c r="F53" s="3" t="s">
        <v>22</v>
      </c>
      <c r="L53" s="41" t="s">
        <v>198</v>
      </c>
      <c r="M53" s="1" t="s">
        <v>154</v>
      </c>
      <c r="N53" s="3">
        <f>VLOOKUP($P$53,$W$67:$X$70,2,FALSE)</f>
        <v>0.21</v>
      </c>
      <c r="P53" s="3" t="s">
        <v>154</v>
      </c>
      <c r="Q53" s="3" t="s">
        <v>206</v>
      </c>
    </row>
    <row r="54" spans="1:17" x14ac:dyDescent="0.3">
      <c r="B54" s="43" t="s">
        <v>189</v>
      </c>
      <c r="C54" s="1" t="s">
        <v>58</v>
      </c>
      <c r="D54" s="22">
        <f>D23</f>
        <v>81.955784434720371</v>
      </c>
      <c r="E54" s="22">
        <f>E23</f>
        <v>136.66060171501408</v>
      </c>
      <c r="F54" s="3" t="s">
        <v>8</v>
      </c>
      <c r="L54" s="41"/>
      <c r="M54" s="1" t="s">
        <v>197</v>
      </c>
      <c r="N54" s="22">
        <f>0.5*(1+N53*(N52-0.2)+N52^2)</f>
        <v>0.49404365352604146</v>
      </c>
    </row>
    <row r="55" spans="1:17" x14ac:dyDescent="0.3">
      <c r="B55" s="43" t="s">
        <v>190</v>
      </c>
      <c r="C55" s="1" t="s">
        <v>191</v>
      </c>
      <c r="D55" s="287">
        <f>D52*D53*1000/D54</f>
        <v>7.9311058332647608</v>
      </c>
      <c r="E55" s="287">
        <f>E52*E53*1000/E54</f>
        <v>4.7563086349896295</v>
      </c>
      <c r="L55" s="3" t="s">
        <v>203</v>
      </c>
      <c r="M55" s="1" t="s">
        <v>204</v>
      </c>
      <c r="N55" s="22">
        <f>($N$8/1.1)/(N54+(N54^2-N52^2)^0.5)</f>
        <v>325.23348393243867</v>
      </c>
      <c r="O55" s="3" t="s">
        <v>7</v>
      </c>
      <c r="P55" s="3" t="str">
        <f>"&lt;="&amp;TRUNC(N6/1.1,2)</f>
        <v>&lt;=117.18</v>
      </c>
    </row>
    <row r="56" spans="1:17" x14ac:dyDescent="0.3">
      <c r="B56" s="41" t="s">
        <v>193</v>
      </c>
      <c r="C56" s="1" t="s">
        <v>194</v>
      </c>
      <c r="D56" s="49">
        <f>PI()^2*$D$13/D55^2</f>
        <v>32949.706447744829</v>
      </c>
      <c r="E56" s="49">
        <f>PI()^2*$D$13/E55^2</f>
        <v>91617.615426235119</v>
      </c>
      <c r="F56" s="3" t="s">
        <v>7</v>
      </c>
      <c r="N56" s="22">
        <f>MIN(($N$8/1.1),N55)</f>
        <v>318.18181818181813</v>
      </c>
      <c r="O56" s="3" t="s">
        <v>7</v>
      </c>
    </row>
    <row r="57" spans="1:17" ht="28.8" x14ac:dyDescent="0.3">
      <c r="B57" s="42" t="s">
        <v>196</v>
      </c>
      <c r="C57" s="1" t="s">
        <v>195</v>
      </c>
      <c r="D57" s="22">
        <f>SQRT($D$11/D56)</f>
        <v>0.10306429747403806</v>
      </c>
      <c r="E57" s="22">
        <f>SQRT($D$11/E56)</f>
        <v>6.1807977139692112E-2</v>
      </c>
      <c r="F57" s="3" t="s">
        <v>7</v>
      </c>
      <c r="M57" s="3"/>
      <c r="N57" s="38">
        <f>N56*$N$11/1000</f>
        <v>724.92821680248778</v>
      </c>
      <c r="O57" s="39" t="s">
        <v>19</v>
      </c>
    </row>
    <row r="58" spans="1:17" x14ac:dyDescent="0.3">
      <c r="B58" s="41" t="s">
        <v>198</v>
      </c>
      <c r="C58" s="1" t="s">
        <v>154</v>
      </c>
      <c r="D58" s="3">
        <f>VLOOKUP($G$58,$W$67:$X$70,2,FALSE)</f>
        <v>0.21</v>
      </c>
      <c r="E58" s="3">
        <f>VLOOKUP($G$58,$W$67:$X$70,2,FALSE)</f>
        <v>0.21</v>
      </c>
      <c r="G58" s="3" t="str">
        <f>IF(D10="Rolled","a",IF(OR(B83/B85&lt;30,B82/B84&lt;30),"c","b"))</f>
        <v>a</v>
      </c>
      <c r="L58" s="24" t="s">
        <v>205</v>
      </c>
      <c r="M58" s="23" t="s">
        <v>186</v>
      </c>
      <c r="N58" s="40">
        <f>N57</f>
        <v>724.92821680248778</v>
      </c>
      <c r="O58" s="24" t="s">
        <v>19</v>
      </c>
    </row>
    <row r="59" spans="1:17" x14ac:dyDescent="0.3">
      <c r="B59" s="41"/>
      <c r="C59" s="1" t="s">
        <v>197</v>
      </c>
      <c r="D59" s="22">
        <f>0.5*(1+D58*(D57-0.2)+D57^2)</f>
        <v>0.49513287594168248</v>
      </c>
      <c r="E59" s="22">
        <f>0.5*(1+E58*(E57-0.2)+E57^2)</f>
        <v>0.48739995061871805</v>
      </c>
    </row>
    <row r="60" spans="1:17" x14ac:dyDescent="0.3">
      <c r="B60" s="3" t="s">
        <v>203</v>
      </c>
      <c r="C60" s="1" t="s">
        <v>204</v>
      </c>
      <c r="D60" s="22">
        <f>($D$11/1.1)/(D59+(D59^2-D57^2)^0.5)</f>
        <v>324.8674915773064</v>
      </c>
      <c r="E60" s="22">
        <f>($D$11/1.1)/(E59+(E59^2-E57^2)^0.5)</f>
        <v>327.73022756614995</v>
      </c>
      <c r="F60" s="3" t="s">
        <v>7</v>
      </c>
      <c r="G60" s="3" t="str">
        <f>"&lt;="&amp;TRUNC(D11/1.1,2)</f>
        <v>&lt;=318.18</v>
      </c>
    </row>
    <row r="61" spans="1:17" x14ac:dyDescent="0.3">
      <c r="D61" s="22">
        <f>MIN(($D$11/1.1),D60)</f>
        <v>318.18181818181813</v>
      </c>
      <c r="E61" s="22">
        <f>MIN(($D$11/1.1),E60)</f>
        <v>318.18181818181813</v>
      </c>
      <c r="F61" s="3" t="s">
        <v>7</v>
      </c>
    </row>
    <row r="62" spans="1:17" x14ac:dyDescent="0.3">
      <c r="C62" s="3"/>
      <c r="D62" s="38">
        <f>D61*$D$14/1000</f>
        <v>6836.7854545454538</v>
      </c>
      <c r="E62" s="38">
        <f>E61*$D$14/1000</f>
        <v>6836.7854545454538</v>
      </c>
      <c r="F62" s="39" t="s">
        <v>19</v>
      </c>
    </row>
    <row r="63" spans="1:17" x14ac:dyDescent="0.3">
      <c r="B63" s="24" t="s">
        <v>205</v>
      </c>
      <c r="C63" s="23" t="s">
        <v>186</v>
      </c>
      <c r="D63" s="447">
        <f>MIN(D62:E62)</f>
        <v>6836.7854545454538</v>
      </c>
      <c r="E63" s="447"/>
      <c r="F63" s="24" t="s">
        <v>19</v>
      </c>
    </row>
    <row r="65" spans="11:24" x14ac:dyDescent="0.3">
      <c r="W65" s="433" t="s">
        <v>199</v>
      </c>
      <c r="X65" s="433"/>
    </row>
    <row r="66" spans="11:24" x14ac:dyDescent="0.3">
      <c r="W66" s="4" t="s">
        <v>200</v>
      </c>
      <c r="X66" s="4" t="s">
        <v>201</v>
      </c>
    </row>
    <row r="67" spans="11:24" x14ac:dyDescent="0.3">
      <c r="W67" s="6" t="s">
        <v>154</v>
      </c>
      <c r="X67" s="6">
        <v>0.21</v>
      </c>
    </row>
    <row r="68" spans="11:24" x14ac:dyDescent="0.3">
      <c r="W68" s="6" t="s">
        <v>78</v>
      </c>
      <c r="X68" s="6">
        <v>0.34</v>
      </c>
    </row>
    <row r="69" spans="11:24" x14ac:dyDescent="0.3">
      <c r="W69" s="6" t="s">
        <v>202</v>
      </c>
      <c r="X69" s="6">
        <v>0.49</v>
      </c>
    </row>
    <row r="70" spans="11:24" x14ac:dyDescent="0.3">
      <c r="W70" s="6" t="s">
        <v>77</v>
      </c>
      <c r="X70" s="6">
        <v>0.76</v>
      </c>
    </row>
    <row r="76" spans="11:24" x14ac:dyDescent="0.3">
      <c r="K76" s="71" t="s">
        <v>41</v>
      </c>
      <c r="L76" s="6">
        <f>N5</f>
        <v>139.69999999999999</v>
      </c>
      <c r="M76" s="71" t="s">
        <v>8</v>
      </c>
    </row>
    <row r="77" spans="11:24" x14ac:dyDescent="0.3">
      <c r="K77" s="71" t="s">
        <v>43</v>
      </c>
      <c r="L77" s="6">
        <f>N7</f>
        <v>5.4</v>
      </c>
      <c r="M77" s="71" t="s">
        <v>8</v>
      </c>
    </row>
    <row r="80" spans="11:24" x14ac:dyDescent="0.3">
      <c r="K80" s="71" t="s">
        <v>86</v>
      </c>
      <c r="L80" s="10">
        <f>(250/N8)^0.5</f>
        <v>0.84515425472851657</v>
      </c>
      <c r="M80" s="71"/>
      <c r="N80" s="6"/>
    </row>
    <row r="81" spans="1:14" x14ac:dyDescent="0.3">
      <c r="K81" s="249" t="s">
        <v>79</v>
      </c>
      <c r="L81" s="4" t="s">
        <v>80</v>
      </c>
      <c r="M81" s="249" t="s">
        <v>81</v>
      </c>
      <c r="N81" s="4" t="s">
        <v>82</v>
      </c>
    </row>
    <row r="82" spans="1:14" x14ac:dyDescent="0.3">
      <c r="A82" s="71" t="s">
        <v>77</v>
      </c>
      <c r="B82" s="6">
        <f>D6-2*D8</f>
        <v>158.4</v>
      </c>
      <c r="C82" s="71" t="s">
        <v>8</v>
      </c>
      <c r="K82" s="249"/>
      <c r="L82" s="4" t="s">
        <v>83</v>
      </c>
      <c r="M82" s="249" t="s">
        <v>84</v>
      </c>
      <c r="N82" s="4" t="s">
        <v>85</v>
      </c>
    </row>
    <row r="83" spans="1:14" x14ac:dyDescent="0.3">
      <c r="A83" s="71" t="s">
        <v>78</v>
      </c>
      <c r="B83" s="6">
        <f>D5-2*D9</f>
        <v>369.4</v>
      </c>
      <c r="C83" s="71" t="s">
        <v>8</v>
      </c>
      <c r="K83" s="71" t="s">
        <v>89</v>
      </c>
      <c r="L83" s="6" t="s">
        <v>90</v>
      </c>
      <c r="M83" s="71" t="s">
        <v>92</v>
      </c>
      <c r="N83" s="6" t="s">
        <v>91</v>
      </c>
    </row>
    <row r="84" spans="1:14" x14ac:dyDescent="0.3">
      <c r="A84" s="71" t="s">
        <v>530</v>
      </c>
      <c r="B84" s="6">
        <f>D9</f>
        <v>15.3</v>
      </c>
      <c r="C84" s="71" t="s">
        <v>8</v>
      </c>
      <c r="K84" s="71"/>
      <c r="L84" s="25">
        <f>42*L80^2</f>
        <v>30</v>
      </c>
      <c r="M84" s="28">
        <f>52*L80^2</f>
        <v>37.142857142857146</v>
      </c>
      <c r="N84" s="25">
        <f>146*L80^2</f>
        <v>104.28571428571429</v>
      </c>
    </row>
    <row r="85" spans="1:14" x14ac:dyDescent="0.3">
      <c r="A85" s="71" t="s">
        <v>529</v>
      </c>
      <c r="B85" s="6">
        <f>D8</f>
        <v>20.8</v>
      </c>
      <c r="C85" s="71" t="s">
        <v>8</v>
      </c>
    </row>
    <row r="86" spans="1:14" x14ac:dyDescent="0.3">
      <c r="K86" s="71"/>
      <c r="L86" s="25"/>
      <c r="M86" s="26" t="s">
        <v>88</v>
      </c>
      <c r="N86" s="27" t="s">
        <v>87</v>
      </c>
    </row>
    <row r="87" spans="1:14" x14ac:dyDescent="0.3">
      <c r="A87" s="71" t="s">
        <v>86</v>
      </c>
      <c r="B87" s="10">
        <f>(250/D11)^0.5</f>
        <v>0.84515425472851657</v>
      </c>
      <c r="C87" s="71"/>
      <c r="D87" s="6"/>
      <c r="K87" s="71" t="s">
        <v>89</v>
      </c>
      <c r="L87" s="25">
        <f>L76/L77</f>
        <v>25.870370370370367</v>
      </c>
      <c r="M87" s="71" t="str">
        <f>IF(L87&lt;=L84,"Plastic",IF(L87&lt;=M84,"Compact",IF(L87&lt;=N84,"Semi-compact","Slender")))</f>
        <v>Plastic</v>
      </c>
      <c r="N87" s="6">
        <f>IF(L87&lt;=L84,1,IF(L87&lt;=M84,2,IF(L87&lt;=N84,3,4)))</f>
        <v>1</v>
      </c>
    </row>
    <row r="88" spans="1:14" x14ac:dyDescent="0.3">
      <c r="A88" s="249" t="s">
        <v>79</v>
      </c>
      <c r="B88" s="4" t="s">
        <v>80</v>
      </c>
      <c r="C88" s="249" t="s">
        <v>81</v>
      </c>
      <c r="D88" s="4" t="s">
        <v>82</v>
      </c>
    </row>
    <row r="89" spans="1:14" x14ac:dyDescent="0.3">
      <c r="A89" s="249"/>
      <c r="B89" s="4" t="s">
        <v>83</v>
      </c>
      <c r="C89" s="249" t="s">
        <v>84</v>
      </c>
      <c r="D89" s="4" t="s">
        <v>85</v>
      </c>
    </row>
    <row r="90" spans="1:14" x14ac:dyDescent="0.3">
      <c r="A90" s="71" t="s">
        <v>581</v>
      </c>
      <c r="B90" s="6" t="s">
        <v>582</v>
      </c>
      <c r="C90" s="71" t="s">
        <v>583</v>
      </c>
      <c r="D90" s="6" t="s">
        <v>584</v>
      </c>
    </row>
    <row r="91" spans="1:14" x14ac:dyDescent="0.3">
      <c r="A91" s="71"/>
      <c r="B91" s="25">
        <f>84*B87</f>
        <v>70.992957397195397</v>
      </c>
      <c r="C91" s="28">
        <f>105*B87</f>
        <v>88.741196746494239</v>
      </c>
      <c r="D91" s="25">
        <f>IF(126*B87&lt;42*B87,126*B87,42*B87)</f>
        <v>35.496478698597699</v>
      </c>
    </row>
    <row r="92" spans="1:14" x14ac:dyDescent="0.3">
      <c r="A92" s="71" t="s">
        <v>585</v>
      </c>
      <c r="B92" s="6" t="s">
        <v>586</v>
      </c>
      <c r="C92" s="71" t="s">
        <v>587</v>
      </c>
      <c r="D92" s="6" t="s">
        <v>588</v>
      </c>
    </row>
    <row r="93" spans="1:14" x14ac:dyDescent="0.3">
      <c r="A93" s="71"/>
      <c r="B93" s="25">
        <f>29.3*B87</f>
        <v>24.763019663545535</v>
      </c>
      <c r="C93" s="28">
        <f>33.5*B87</f>
        <v>28.312667533405307</v>
      </c>
      <c r="D93" s="25">
        <f>42*B87</f>
        <v>35.496478698597699</v>
      </c>
    </row>
    <row r="94" spans="1:14" x14ac:dyDescent="0.3">
      <c r="B94" s="83"/>
      <c r="C94" s="288"/>
      <c r="D94" s="83"/>
    </row>
    <row r="95" spans="1:14" x14ac:dyDescent="0.3">
      <c r="A95" s="71"/>
      <c r="B95" s="25"/>
      <c r="C95" s="26" t="s">
        <v>88</v>
      </c>
      <c r="D95" s="27" t="s">
        <v>87</v>
      </c>
    </row>
    <row r="96" spans="1:14" x14ac:dyDescent="0.3">
      <c r="A96" s="71" t="s">
        <v>581</v>
      </c>
      <c r="B96" s="25">
        <f>B82/B84</f>
        <v>10.352941176470589</v>
      </c>
      <c r="C96" s="71" t="str">
        <f>IF(B96&lt;=B91,"Plastic",IF(B96&lt;=C91,"Compact",IF(B96&lt;=D91,"Semi-Compact","Slender")))</f>
        <v>Plastic</v>
      </c>
      <c r="D96" s="6">
        <f>IF(B96&lt;=B91,1,IF(B96&lt;=C91,2,IF(B96&lt;=D91,3,4)))</f>
        <v>1</v>
      </c>
    </row>
    <row r="97" spans="1:13" x14ac:dyDescent="0.3">
      <c r="A97" s="71" t="s">
        <v>585</v>
      </c>
      <c r="B97" s="25">
        <f>B83/B85</f>
        <v>17.759615384615383</v>
      </c>
      <c r="C97" s="71" t="str">
        <f>IF(B97&lt;=B93,"Plastic",IF(B97&lt;=C93,"Compact",IF(B97&lt;=D93,"Semi-compact","Slender")))</f>
        <v>Plastic</v>
      </c>
      <c r="D97" s="6">
        <f>IF(B97&lt;=B93,1,IF(B97&lt;=C93,2,IF(B97&lt;=D93,3,4)))</f>
        <v>1</v>
      </c>
    </row>
    <row r="98" spans="1:13" x14ac:dyDescent="0.3">
      <c r="A98" s="71" t="s">
        <v>589</v>
      </c>
      <c r="B98" s="6"/>
      <c r="C98" s="249" t="str">
        <f>IF(D98,"Plastic",IF(D98=2,"Compact",IF(D98=3,"Semi-Compact","Slender")))</f>
        <v>Plastic</v>
      </c>
      <c r="D98" s="4">
        <f>MAX(D96:D97)</f>
        <v>1</v>
      </c>
    </row>
    <row r="101" spans="1:13" x14ac:dyDescent="0.3">
      <c r="A101" s="1" t="s">
        <v>595</v>
      </c>
      <c r="B101" s="3" t="s">
        <v>344</v>
      </c>
      <c r="C101" s="1" t="s">
        <v>563</v>
      </c>
      <c r="D101" s="3" t="s">
        <v>564</v>
      </c>
      <c r="E101" s="3" t="s">
        <v>592</v>
      </c>
      <c r="F101" s="3" t="s">
        <v>593</v>
      </c>
      <c r="G101" s="3" t="s">
        <v>594</v>
      </c>
      <c r="H101" s="3" t="s">
        <v>598</v>
      </c>
    </row>
    <row r="102" spans="1:13" x14ac:dyDescent="0.3">
      <c r="A102" s="1">
        <v>1</v>
      </c>
      <c r="B102" s="3" t="str">
        <f>VLOOKUP($A102,RHS_SUMMARY!$A$9:$I$13,2,FALSE)</f>
        <v>SHS200X12</v>
      </c>
      <c r="C102" s="3">
        <f>VLOOKUP($A102,RHS_SUMMARY!$A$9:$I$13,3,FALSE)</f>
        <v>200</v>
      </c>
      <c r="D102" s="3">
        <f>VLOOKUP($A102,RHS_SUMMARY!$A$9:$I$13,4,FALSE)</f>
        <v>200</v>
      </c>
      <c r="E102" s="3">
        <f>VLOOKUP($A102,RHS_SUMMARY!$A$9:$I$13,5,FALSE)</f>
        <v>12</v>
      </c>
      <c r="F102" s="3">
        <f>VLOOKUP($A102,RHS_SUMMARY!$A$9:$I$13,6,FALSE)</f>
        <v>12</v>
      </c>
      <c r="G102" s="3">
        <f>VLOOKUP($A102,RHS_SUMMARY!$A$9:$I$13,7,FALSE)</f>
        <v>0.5</v>
      </c>
      <c r="H102" s="3">
        <f>VLOOKUP($A102,RHS_SUMMARY!$A$9:$I$13,8,FALSE)</f>
        <v>350</v>
      </c>
    </row>
    <row r="103" spans="1:13" x14ac:dyDescent="0.3">
      <c r="A103" s="1">
        <v>2</v>
      </c>
      <c r="B103" s="3" t="str">
        <f>VLOOKUP($A103,RHS_SUMMARY!$A$9:$I$13,2,FALSE)</f>
        <v>BOX_ISMC250</v>
      </c>
      <c r="C103" s="3">
        <f>VLOOKUP($A103,RHS_SUMMARY!$A$9:$I$13,3,FALSE)</f>
        <v>160</v>
      </c>
      <c r="D103" s="3">
        <f>VLOOKUP($A103,RHS_SUMMARY!$A$9:$I$13,4,FALSE)</f>
        <v>250</v>
      </c>
      <c r="E103" s="3">
        <f>VLOOKUP($A103,RHS_SUMMARY!$A$9:$I$13,5,FALSE)</f>
        <v>7.2</v>
      </c>
      <c r="F103" s="3">
        <f>VLOOKUP($A103,RHS_SUMMARY!$A$9:$I$13,6,FALSE)</f>
        <v>14.1</v>
      </c>
      <c r="G103" s="3">
        <f>VLOOKUP($A103,RHS_SUMMARY!$A$9:$I$13,7,FALSE)</f>
        <v>0.5</v>
      </c>
      <c r="H103" s="3">
        <f>VLOOKUP($A103,RHS_SUMMARY!$A$9:$I$13,8,FALSE)</f>
        <v>350</v>
      </c>
    </row>
    <row r="104" spans="1:13" x14ac:dyDescent="0.3">
      <c r="A104" s="356">
        <v>3</v>
      </c>
      <c r="B104" s="3" t="str">
        <f>VLOOKUP($A104,RHS_SUMMARY!$A$9:$I$13,2,FALSE)</f>
        <v>BOX_ISMC150</v>
      </c>
      <c r="C104" s="3">
        <f>VLOOKUP($A104,RHS_SUMMARY!$A$9:$I$13,3,FALSE)</f>
        <v>150</v>
      </c>
      <c r="D104" s="3">
        <f>VLOOKUP($A104,RHS_SUMMARY!$A$9:$I$13,4,FALSE)</f>
        <v>150</v>
      </c>
      <c r="E104" s="3">
        <f>VLOOKUP($A104,RHS_SUMMARY!$A$9:$I$13,5,FALSE)</f>
        <v>5.7</v>
      </c>
      <c r="F104" s="3">
        <f>VLOOKUP($A104,RHS_SUMMARY!$A$9:$I$13,6,FALSE)</f>
        <v>9</v>
      </c>
      <c r="G104" s="3">
        <f>VLOOKUP($A104,RHS_SUMMARY!$A$9:$I$13,7,FALSE)</f>
        <v>0.5</v>
      </c>
      <c r="H104" s="3">
        <f>VLOOKUP($A104,RHS_SUMMARY!$A$9:$I$13,8,FALSE)</f>
        <v>350</v>
      </c>
      <c r="K104" s="356"/>
      <c r="M104" s="356"/>
    </row>
    <row r="105" spans="1:13" x14ac:dyDescent="0.3">
      <c r="A105" s="356">
        <v>4</v>
      </c>
      <c r="B105" s="3" t="str">
        <f>VLOOKUP($A105,RHS_SUMMARY!$A$9:$I$13,2,FALSE)</f>
        <v>BOX_ISMC400</v>
      </c>
      <c r="C105" s="3">
        <f>VLOOKUP($A105,RHS_SUMMARY!$A$9:$I$13,3,FALSE)</f>
        <v>200</v>
      </c>
      <c r="D105" s="3">
        <f>VLOOKUP($A105,RHS_SUMMARY!$A$9:$I$13,4,FALSE)</f>
        <v>400</v>
      </c>
      <c r="E105" s="3">
        <f>VLOOKUP($A105,RHS_SUMMARY!$A$9:$I$13,5,FALSE)</f>
        <v>20.8</v>
      </c>
      <c r="F105" s="3">
        <f>VLOOKUP($A105,RHS_SUMMARY!$A$9:$I$13,6,FALSE)</f>
        <v>15.3</v>
      </c>
      <c r="G105" s="3">
        <f>VLOOKUP($A105,RHS_SUMMARY!$A$9:$I$13,7,FALSE)</f>
        <v>1</v>
      </c>
      <c r="H105" s="3">
        <f>VLOOKUP($A105,RHS_SUMMARY!$A$9:$I$13,8,FALSE)</f>
        <v>350</v>
      </c>
      <c r="K105" s="356"/>
      <c r="M105" s="356"/>
    </row>
    <row r="106" spans="1:13" x14ac:dyDescent="0.3">
      <c r="A106" s="356">
        <v>5</v>
      </c>
      <c r="B106" s="3" t="e">
        <f>VLOOKUP($A106,RHS_SUMMARY!$A$9:$I$13,2,FALSE)</f>
        <v>#N/A</v>
      </c>
      <c r="C106" s="3" t="e">
        <f>VLOOKUP($A106,RHS_SUMMARY!$A$9:$I$13,3,FALSE)</f>
        <v>#N/A</v>
      </c>
      <c r="D106" s="3" t="e">
        <f>VLOOKUP($A106,RHS_SUMMARY!$A$9:$I$13,4,FALSE)</f>
        <v>#N/A</v>
      </c>
      <c r="E106" s="3" t="e">
        <f>VLOOKUP($A106,RHS_SUMMARY!$A$9:$I$13,5,FALSE)</f>
        <v>#N/A</v>
      </c>
      <c r="F106" s="3" t="e">
        <f>VLOOKUP($A106,RHS_SUMMARY!$A$9:$I$13,6,FALSE)</f>
        <v>#N/A</v>
      </c>
      <c r="G106" s="3" t="e">
        <f>VLOOKUP($A106,RHS_SUMMARY!$A$9:$I$13,7,FALSE)</f>
        <v>#N/A</v>
      </c>
      <c r="H106" s="3" t="e">
        <f>VLOOKUP($A106,RHS_SUMMARY!$A$9:$I$13,8,FALSE)</f>
        <v>#N/A</v>
      </c>
      <c r="K106" s="356"/>
      <c r="M106" s="356"/>
    </row>
    <row r="107" spans="1:13" ht="15" thickBot="1" x14ac:dyDescent="0.35"/>
    <row r="108" spans="1:13" x14ac:dyDescent="0.3">
      <c r="C108" s="233"/>
      <c r="D108" s="289">
        <v>4</v>
      </c>
      <c r="E108" s="293">
        <v>1</v>
      </c>
      <c r="F108" s="294">
        <v>2</v>
      </c>
      <c r="G108" s="3">
        <v>3</v>
      </c>
      <c r="H108" s="3">
        <v>4</v>
      </c>
      <c r="I108" s="3">
        <v>5</v>
      </c>
    </row>
    <row r="109" spans="1:13" x14ac:dyDescent="0.3">
      <c r="C109" s="234" t="s">
        <v>344</v>
      </c>
      <c r="D109" s="290" t="str">
        <f>VLOOKUP($D$108,$A$102:$G$106,2,FALSE)</f>
        <v>BOX_ISMC400</v>
      </c>
      <c r="E109" s="32" t="str">
        <f t="dataTable" ref="E109:I112" dt2D="0" dtr="1" r1="D108"/>
        <v>SHS200X12</v>
      </c>
      <c r="F109" s="141" t="str">
        <v>BOX_ISMC250</v>
      </c>
      <c r="G109" s="3" t="str">
        <v>BOX_ISMC150</v>
      </c>
      <c r="H109" s="3" t="str">
        <v>BOX_ISMC400</v>
      </c>
      <c r="I109" s="3" t="e">
        <v>#N/A</v>
      </c>
    </row>
    <row r="110" spans="1:13" x14ac:dyDescent="0.3">
      <c r="C110" s="187" t="s">
        <v>596</v>
      </c>
      <c r="D110" s="291">
        <f>H3</f>
        <v>535.46397672727267</v>
      </c>
      <c r="E110" s="32">
        <v>202.69963636363636</v>
      </c>
      <c r="F110" s="141">
        <v>112.48594722909088</v>
      </c>
      <c r="G110" s="3">
        <v>65.672701736727291</v>
      </c>
      <c r="H110" s="3">
        <v>535.46397672727267</v>
      </c>
      <c r="I110" s="3" t="e">
        <v>#N/A</v>
      </c>
    </row>
    <row r="111" spans="1:13" x14ac:dyDescent="0.3">
      <c r="C111" s="187" t="s">
        <v>350</v>
      </c>
      <c r="D111" s="291">
        <f>H4</f>
        <v>1315.7399741911786</v>
      </c>
      <c r="E111" s="32">
        <v>828.86504100387003</v>
      </c>
      <c r="F111" s="141">
        <v>552.4275814541204</v>
      </c>
      <c r="G111" s="3">
        <v>386.21583825499471</v>
      </c>
      <c r="H111" s="3">
        <v>1315.7399741911786</v>
      </c>
      <c r="I111" s="3" t="e">
        <v>#N/A</v>
      </c>
    </row>
    <row r="112" spans="1:13" ht="15" thickBot="1" x14ac:dyDescent="0.35">
      <c r="C112" s="189" t="s">
        <v>597</v>
      </c>
      <c r="D112" s="292">
        <f>H5</f>
        <v>6836.7854545454538</v>
      </c>
      <c r="E112" s="150">
        <v>2871.2727272727266</v>
      </c>
      <c r="F112" s="151">
        <v>2451.8836363636351</v>
      </c>
      <c r="G112" s="3">
        <v>1337.8909090909087</v>
      </c>
      <c r="H112" s="3">
        <v>6836.7854545454538</v>
      </c>
      <c r="I112" s="3" t="e">
        <v>#N/A</v>
      </c>
    </row>
  </sheetData>
  <mergeCells count="12">
    <mergeCell ref="A1:F1"/>
    <mergeCell ref="K1:P1"/>
    <mergeCell ref="K14:P14"/>
    <mergeCell ref="A16:G16"/>
    <mergeCell ref="A17:A18"/>
    <mergeCell ref="B17:B18"/>
    <mergeCell ref="C17:C18"/>
    <mergeCell ref="D31:E31"/>
    <mergeCell ref="D48:E48"/>
    <mergeCell ref="D63:E63"/>
    <mergeCell ref="W65:X65"/>
    <mergeCell ref="X7:Z7"/>
  </mergeCells>
  <dataValidations count="1">
    <dataValidation type="list" allowBlank="1" showInputMessage="1" showErrorMessage="1" sqref="D10" xr:uid="{8761DBE0-5A04-4FE2-AAF6-F6F89C705E44}">
      <formula1>"Rolled,Welded"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68B8-33D6-4824-B637-623A433EBC09}">
  <sheetPr>
    <tabColor rgb="FF92D050"/>
  </sheetPr>
  <dimension ref="A1:AM24"/>
  <sheetViews>
    <sheetView zoomScale="80" zoomScaleNormal="80" workbookViewId="0">
      <selection activeCell="G14" sqref="G14:J16"/>
    </sheetView>
  </sheetViews>
  <sheetFormatPr defaultRowHeight="15.6" x14ac:dyDescent="0.35"/>
  <cols>
    <col min="1" max="1" width="17.5546875" style="191" customWidth="1"/>
    <col min="2" max="2" width="10.88671875" style="191" customWidth="1"/>
    <col min="3" max="3" width="8.88671875" style="191" bestFit="1" customWidth="1"/>
    <col min="4" max="4" width="7.109375" style="191" customWidth="1"/>
    <col min="5" max="5" width="7.77734375" style="191" customWidth="1"/>
    <col min="6" max="6" width="12.5546875" style="191" customWidth="1"/>
    <col min="7" max="7" width="8.44140625" style="191" bestFit="1" customWidth="1"/>
    <col min="8" max="8" width="12" style="191" customWidth="1"/>
    <col min="9" max="9" width="9.6640625" style="191" customWidth="1"/>
    <col min="10" max="10" width="7.44140625" style="191" customWidth="1"/>
    <col min="11" max="11" width="9.21875" style="191" customWidth="1"/>
    <col min="12" max="12" width="9.77734375" style="191" customWidth="1"/>
    <col min="13" max="13" width="10.33203125" style="191" customWidth="1"/>
    <col min="14" max="14" width="13" style="191" customWidth="1"/>
    <col min="15" max="15" width="13.88671875" style="191" customWidth="1"/>
    <col min="16" max="16" width="9.109375" style="191" bestFit="1" customWidth="1"/>
    <col min="17" max="17" width="11.33203125" style="191" customWidth="1"/>
    <col min="18" max="18" width="9.5546875" style="191" customWidth="1"/>
    <col min="19" max="20" width="10.88671875" style="191" customWidth="1"/>
    <col min="21" max="21" width="12.77734375" style="191" hidden="1" customWidth="1"/>
    <col min="22" max="22" width="12" style="191" customWidth="1"/>
    <col min="23" max="23" width="13.21875" style="191" customWidth="1"/>
    <col min="24" max="24" width="11.88671875" style="191" customWidth="1"/>
    <col min="25" max="26" width="12.6640625" style="191" customWidth="1"/>
    <col min="27" max="27" width="11.5546875" style="191" customWidth="1"/>
    <col min="28" max="28" width="14.88671875" style="191" hidden="1" customWidth="1"/>
    <col min="29" max="29" width="15.5546875" style="191" hidden="1" customWidth="1"/>
    <col min="30" max="31" width="16.109375" style="191" hidden="1" customWidth="1"/>
    <col min="32" max="32" width="14.33203125" style="191" customWidth="1"/>
    <col min="33" max="33" width="13.6640625" style="191" customWidth="1"/>
    <col min="34" max="35" width="13" style="191" customWidth="1"/>
    <col min="36" max="36" width="8.88671875" style="191" customWidth="1"/>
    <col min="37" max="37" width="12.33203125" style="191" bestFit="1" customWidth="1"/>
    <col min="38" max="16384" width="8.88671875" style="191"/>
  </cols>
  <sheetData>
    <row r="1" spans="1:39" x14ac:dyDescent="0.35">
      <c r="A1" s="190" t="s">
        <v>297</v>
      </c>
      <c r="B1" s="191">
        <v>350</v>
      </c>
      <c r="C1" s="191" t="s">
        <v>7</v>
      </c>
      <c r="P1" s="190"/>
      <c r="Q1" s="190"/>
      <c r="R1" s="190"/>
    </row>
    <row r="2" spans="1:39" x14ac:dyDescent="0.35">
      <c r="A2" s="190" t="s">
        <v>298</v>
      </c>
      <c r="B2" s="191">
        <v>490</v>
      </c>
      <c r="C2" s="191" t="s">
        <v>7</v>
      </c>
      <c r="P2" s="190"/>
      <c r="Q2" s="190"/>
      <c r="R2" s="190"/>
    </row>
    <row r="3" spans="1:39" x14ac:dyDescent="0.35">
      <c r="A3" s="190" t="s">
        <v>299</v>
      </c>
      <c r="B3" s="191">
        <v>350</v>
      </c>
      <c r="C3" s="191" t="s">
        <v>7</v>
      </c>
      <c r="I3"/>
    </row>
    <row r="4" spans="1:39" x14ac:dyDescent="0.35">
      <c r="A4" s="190" t="s">
        <v>300</v>
      </c>
      <c r="B4" s="191">
        <v>490</v>
      </c>
      <c r="C4" s="191" t="s">
        <v>7</v>
      </c>
    </row>
    <row r="5" spans="1:39" x14ac:dyDescent="0.35">
      <c r="A5" s="190" t="s">
        <v>316</v>
      </c>
      <c r="B5" s="191">
        <v>1100</v>
      </c>
      <c r="C5" s="191" t="s">
        <v>8</v>
      </c>
    </row>
    <row r="6" spans="1:39" ht="62.4" hidden="1" x14ac:dyDescent="0.35">
      <c r="A6" s="190" t="str">
        <f>HLOOKUP(A7,CHS!$W$40:$BC$41,2,FALSE)</f>
        <v>ID</v>
      </c>
      <c r="B6" s="190" t="str">
        <f>HLOOKUP(B7,CHS!$W$40:$BC$41,2,FALSE)</f>
        <v>Profile</v>
      </c>
      <c r="C6" s="190" t="str">
        <f>HLOOKUP(C7,CHS!$W$40:$BC$41,2,FALSE)</f>
        <v>Pipe dia</v>
      </c>
      <c r="D6" s="190" t="str">
        <f>HLOOKUP(D7,CHS!$W$40:$BC$41,2,FALSE)</f>
        <v>Wt of profile</v>
      </c>
      <c r="E6" s="190" t="str">
        <f>HLOOKUP(E7,CHS!$W$40:$BC$41,2,FALSE)</f>
        <v>Moment capacity</v>
      </c>
      <c r="F6" s="190" t="str">
        <f>HLOOKUP(F7,CHS!$W$40:$BC$41,2,FALSE)</f>
        <v>Tension capacity</v>
      </c>
      <c r="G6" s="190" t="str">
        <f>HLOOKUP(G7,CHS!$W$40:$BC$41,2,FALSE)</f>
        <v>Tension capacity</v>
      </c>
      <c r="H6" s="190" t="str">
        <f>HLOOKUP(H7,CHS!$W$40:$BC$41,2,FALSE)</f>
        <v>Shear capacity</v>
      </c>
      <c r="I6" s="190" t="str">
        <f>HLOOKUP(I7,CHS!$W$40:$BC$41,2,FALSE)</f>
        <v>Moment capacity</v>
      </c>
      <c r="J6" s="190" t="str">
        <f>HLOOKUP(J7,CHS!$W$40:$BC$41,2,FALSE)</f>
        <v>Bolt size</v>
      </c>
      <c r="K6" s="190" t="str">
        <f>HLOOKUP(K7,CHS!$W$40:$BC$41,2,FALSE)</f>
        <v>Bolt grade</v>
      </c>
      <c r="L6" s="190" t="str">
        <f>HLOOKUP(L7,CHS!$W$40:$BC$41,2,FALSE)</f>
        <v>No. of bolt</v>
      </c>
      <c r="M6" s="190" t="str">
        <f>HLOOKUP(M7,CHS!$W$40:$BC$41,2,FALSE)</f>
        <v>Moment cap/bolt</v>
      </c>
      <c r="N6" s="190" t="str">
        <f>HLOOKUP(N7,CHS!$W$40:$BC$41,2,FALSE)</f>
        <v>Tension cap/bolt</v>
      </c>
      <c r="O6" s="190" t="str">
        <f>HLOOKUP(O7,CHS!$W$40:$BC$41,2,FALSE)</f>
        <v>Shear cap/bolt</v>
      </c>
      <c r="P6" s="190" t="str">
        <f>HLOOKUP(P7,CHS!$W$40:$BC$41,2,FALSE)</f>
        <v>Tension cap</v>
      </c>
      <c r="Q6" s="190" t="str">
        <f>HLOOKUP(Q7,CHS!$W$40:$BC$41,2,FALSE)</f>
        <v>Shear cap</v>
      </c>
      <c r="R6" s="190" t="str">
        <f>HLOOKUP(R7,CHS!$W$40:$BC$41,2,FALSE)</f>
        <v>Moment cap</v>
      </c>
      <c r="S6" s="190" t="str">
        <f>HLOOKUP(S7,CHS!$W$40:$BC$41,2,FALSE)</f>
        <v>End Plate Dia</v>
      </c>
      <c r="T6" s="190" t="str">
        <f>HLOOKUP(T7,CHS!$W$40:$BC$41,2,FALSE)</f>
        <v>End plate thk</v>
      </c>
      <c r="U6" s="190" t="str">
        <f>HLOOKUP(U7,CHS!$W$40:$BC$41,2,FALSE)</f>
        <v>Plate moment capacity</v>
      </c>
      <c r="V6" s="190" t="str">
        <f>HLOOKUP(V7,CHS!$W$40:$BC$41,2,FALSE)</f>
        <v>Thk of end plate without stiffner, req</v>
      </c>
      <c r="W6" s="190" t="str">
        <f>HLOOKUP(W7,CHS!$W$40:$BC$41,2,FALSE)</f>
        <v>Thk of end plate with stiffner, req</v>
      </c>
      <c r="X6" s="190" t="str">
        <f>HLOOKUP(X7,CHS!$W$40:$BC$41,2,FALSE)</f>
        <v>Stiffner Len</v>
      </c>
      <c r="Y6" s="190" t="str">
        <f>HLOOKUP(Y7,CHS!$W$40:$BC$41,2,FALSE)</f>
        <v>Stiffner Ht</v>
      </c>
      <c r="Z6" s="190" t="str">
        <f>HLOOKUP(Z7,CHS!$W$40:$BC$41,2,FALSE)</f>
        <v>Stiffner Ht</v>
      </c>
      <c r="AA6" s="190" t="str">
        <f>HLOOKUP(AA7,CHS!$W$40:$BC$41,2,FALSE)</f>
        <v>Stiffner thk</v>
      </c>
      <c r="AB6" s="190" t="str">
        <f>HLOOKUP(AB7,CHS!$W$40:$BC$41,2,FALSE)</f>
        <v>Bending stress on stiff</v>
      </c>
      <c r="AC6" s="190" t="str">
        <f>HLOOKUP(AC7,CHS!$W$40:$BC$41,2,FALSE)</f>
        <v>Shear stress on stiff</v>
      </c>
      <c r="AD6" s="190" t="str">
        <f>HLOOKUP(AD7,CHS!$W$40:$BC$41,2,FALSE)</f>
        <v>Allowable Bending stress on stiff</v>
      </c>
      <c r="AE6" s="190" t="str">
        <f>HLOOKUP(AE7,CHS!$W$40:$BC$41,2,FALSE)</f>
        <v>Allowable Shear stress on stiff</v>
      </c>
      <c r="AF6" s="190"/>
      <c r="AG6" s="190"/>
      <c r="AH6" s="190" t="str">
        <f>HLOOKUP(AH7,CHS!$W$40:$AZ$41,2,FALSE)</f>
        <v>Stiffner weld req</v>
      </c>
      <c r="AI6" s="190" t="str">
        <f>HLOOKUP(AI7,CHS!$W$40:$AZ$41,2,FALSE)</f>
        <v>Stiffner weld provide</v>
      </c>
    </row>
    <row r="7" spans="1:39" hidden="1" x14ac:dyDescent="0.35">
      <c r="A7" s="211">
        <v>1</v>
      </c>
      <c r="B7" s="211">
        <v>2</v>
      </c>
      <c r="C7" s="211">
        <v>3</v>
      </c>
      <c r="D7" s="211">
        <v>4</v>
      </c>
      <c r="E7" s="211">
        <v>5</v>
      </c>
      <c r="F7" s="211">
        <v>6</v>
      </c>
      <c r="G7" s="190">
        <v>6</v>
      </c>
      <c r="H7" s="190">
        <v>7</v>
      </c>
      <c r="I7" s="190">
        <v>5</v>
      </c>
      <c r="J7" s="190">
        <v>8</v>
      </c>
      <c r="K7" s="190">
        <v>9</v>
      </c>
      <c r="L7" s="190">
        <v>10</v>
      </c>
      <c r="M7" s="190">
        <v>11</v>
      </c>
      <c r="N7" s="190">
        <v>12</v>
      </c>
      <c r="O7" s="190">
        <v>13</v>
      </c>
      <c r="P7" s="190">
        <v>15</v>
      </c>
      <c r="Q7" s="190">
        <v>16</v>
      </c>
      <c r="R7" s="190">
        <v>14</v>
      </c>
      <c r="S7" s="190">
        <v>17</v>
      </c>
      <c r="T7" s="190">
        <v>18</v>
      </c>
      <c r="U7" s="190">
        <v>19</v>
      </c>
      <c r="V7" s="190">
        <v>31</v>
      </c>
      <c r="W7" s="190">
        <v>32</v>
      </c>
      <c r="X7" s="190">
        <v>22</v>
      </c>
      <c r="Y7" s="190">
        <v>23</v>
      </c>
      <c r="Z7" s="190">
        <v>23</v>
      </c>
      <c r="AA7" s="190">
        <v>24</v>
      </c>
      <c r="AB7" s="190">
        <v>25</v>
      </c>
      <c r="AC7" s="190">
        <v>26</v>
      </c>
      <c r="AD7" s="190">
        <v>27</v>
      </c>
      <c r="AE7" s="190">
        <v>28</v>
      </c>
      <c r="AF7" s="190"/>
      <c r="AG7" s="190"/>
      <c r="AH7" s="190">
        <v>29</v>
      </c>
      <c r="AI7" s="190">
        <v>30</v>
      </c>
    </row>
    <row r="8" spans="1:39" ht="19.8" x14ac:dyDescent="0.45">
      <c r="J8" s="451" t="s">
        <v>463</v>
      </c>
      <c r="K8" s="452"/>
      <c r="L8" s="452"/>
      <c r="M8" s="452"/>
      <c r="N8" s="452"/>
      <c r="O8" s="452"/>
      <c r="P8" s="452"/>
      <c r="Q8" s="452"/>
      <c r="R8" s="453"/>
      <c r="S8" s="451" t="s">
        <v>342</v>
      </c>
      <c r="T8" s="452"/>
      <c r="U8" s="452"/>
      <c r="V8" s="452"/>
      <c r="W8" s="453"/>
      <c r="X8" s="451" t="s">
        <v>466</v>
      </c>
      <c r="Y8" s="452"/>
      <c r="Z8" s="452"/>
      <c r="AA8" s="452"/>
      <c r="AB8" s="452"/>
      <c r="AC8" s="452"/>
      <c r="AD8" s="452"/>
      <c r="AE8" s="452"/>
      <c r="AF8" s="452"/>
      <c r="AG8" s="453"/>
    </row>
    <row r="9" spans="1:39" ht="87" x14ac:dyDescent="0.35">
      <c r="A9" s="205" t="s">
        <v>292</v>
      </c>
      <c r="B9" s="205" t="s">
        <v>344</v>
      </c>
      <c r="C9" s="205" t="s">
        <v>345</v>
      </c>
      <c r="D9" s="205" t="s">
        <v>358</v>
      </c>
      <c r="E9" s="205" t="s">
        <v>346</v>
      </c>
      <c r="F9" s="205" t="s">
        <v>347</v>
      </c>
      <c r="G9" s="206" t="s">
        <v>349</v>
      </c>
      <c r="H9" s="206" t="s">
        <v>350</v>
      </c>
      <c r="I9" s="206" t="s">
        <v>348</v>
      </c>
      <c r="J9" s="207" t="s">
        <v>351</v>
      </c>
      <c r="K9" s="207" t="s">
        <v>352</v>
      </c>
      <c r="L9" s="207" t="s">
        <v>353</v>
      </c>
      <c r="M9" s="207" t="s">
        <v>354</v>
      </c>
      <c r="N9" s="207" t="s">
        <v>355</v>
      </c>
      <c r="O9" s="207" t="s">
        <v>356</v>
      </c>
      <c r="P9" s="207" t="s">
        <v>357</v>
      </c>
      <c r="Q9" s="207" t="s">
        <v>350</v>
      </c>
      <c r="R9" s="207" t="s">
        <v>348</v>
      </c>
      <c r="S9" s="208" t="s">
        <v>464</v>
      </c>
      <c r="T9" s="208" t="s">
        <v>465</v>
      </c>
      <c r="U9" s="208" t="s">
        <v>348</v>
      </c>
      <c r="V9" s="208" t="s">
        <v>501</v>
      </c>
      <c r="W9" s="208" t="s">
        <v>502</v>
      </c>
      <c r="X9" s="207" t="s">
        <v>362</v>
      </c>
      <c r="Y9" s="207" t="s">
        <v>467</v>
      </c>
      <c r="Z9" s="207" t="s">
        <v>468</v>
      </c>
      <c r="AA9" s="207" t="s">
        <v>469</v>
      </c>
      <c r="AB9" s="207" t="s">
        <v>433</v>
      </c>
      <c r="AC9" s="207" t="s">
        <v>434</v>
      </c>
      <c r="AD9" s="207" t="s">
        <v>432</v>
      </c>
      <c r="AE9" s="207" t="s">
        <v>435</v>
      </c>
      <c r="AF9" s="207" t="s">
        <v>438</v>
      </c>
      <c r="AG9" s="207" t="s">
        <v>439</v>
      </c>
      <c r="AH9" s="192" t="s">
        <v>436</v>
      </c>
      <c r="AI9" s="192" t="s">
        <v>437</v>
      </c>
    </row>
    <row r="10" spans="1:39" x14ac:dyDescent="0.35">
      <c r="A10" s="193"/>
      <c r="B10" s="193"/>
      <c r="C10" s="193" t="s">
        <v>8</v>
      </c>
      <c r="D10" s="193" t="s">
        <v>8</v>
      </c>
      <c r="E10" s="193" t="s">
        <v>11</v>
      </c>
      <c r="F10" s="193" t="s">
        <v>317</v>
      </c>
      <c r="G10" s="185" t="s">
        <v>16</v>
      </c>
      <c r="H10" s="185" t="s">
        <v>19</v>
      </c>
      <c r="I10" s="185" t="s">
        <v>19</v>
      </c>
      <c r="J10" s="194" t="s">
        <v>8</v>
      </c>
      <c r="K10" s="194" t="s">
        <v>343</v>
      </c>
      <c r="L10" s="194" t="s">
        <v>131</v>
      </c>
      <c r="M10" s="194" t="s">
        <v>19</v>
      </c>
      <c r="N10" s="194" t="s">
        <v>19</v>
      </c>
      <c r="O10" s="194" t="s">
        <v>19</v>
      </c>
      <c r="P10" s="194" t="s">
        <v>19</v>
      </c>
      <c r="Q10" s="194" t="s">
        <v>19</v>
      </c>
      <c r="R10" s="194" t="s">
        <v>16</v>
      </c>
      <c r="S10" s="195" t="s">
        <v>8</v>
      </c>
      <c r="T10" s="195" t="s">
        <v>8</v>
      </c>
      <c r="U10" s="195" t="s">
        <v>16</v>
      </c>
      <c r="V10" s="195" t="s">
        <v>8</v>
      </c>
      <c r="W10" s="195" t="s">
        <v>8</v>
      </c>
      <c r="X10" s="194" t="s">
        <v>131</v>
      </c>
      <c r="Y10" s="194" t="s">
        <v>8</v>
      </c>
      <c r="Z10" s="194" t="s">
        <v>8</v>
      </c>
      <c r="AA10" s="194" t="s">
        <v>8</v>
      </c>
      <c r="AB10" s="194" t="s">
        <v>7</v>
      </c>
      <c r="AC10" s="194" t="s">
        <v>7</v>
      </c>
      <c r="AD10" s="194" t="s">
        <v>7</v>
      </c>
      <c r="AE10" s="194" t="s">
        <v>7</v>
      </c>
      <c r="AF10" s="194" t="s">
        <v>440</v>
      </c>
      <c r="AG10" s="194" t="s">
        <v>440</v>
      </c>
      <c r="AH10" s="194" t="s">
        <v>8</v>
      </c>
      <c r="AI10" s="194" t="s">
        <v>8</v>
      </c>
      <c r="AK10" s="191" t="s">
        <v>505</v>
      </c>
      <c r="AM10" s="191" t="s">
        <v>506</v>
      </c>
    </row>
    <row r="11" spans="1:39" ht="19.8" x14ac:dyDescent="0.45">
      <c r="A11" s="197">
        <v>1</v>
      </c>
      <c r="B11" s="197" t="s">
        <v>102</v>
      </c>
      <c r="C11" s="223">
        <v>76.099999999999994</v>
      </c>
      <c r="D11" s="197">
        <v>3.6</v>
      </c>
      <c r="E11" s="198">
        <f>PI()*(C11^2-(C11-2*D11)^2)/4</f>
        <v>819.95568258693595</v>
      </c>
      <c r="F11" s="199">
        <f>E11*7850/1000^2</f>
        <v>6.4366521083074471</v>
      </c>
      <c r="G11" s="200">
        <f>VLOOKUP($A11,CHS!$W$42:$BC$43,G$7,FALSE)</f>
        <v>326.11873739253076</v>
      </c>
      <c r="H11" s="200">
        <f>VLOOKUP($A11,CHS!$W$42:$BC$43,H$7,FALSE)</f>
        <v>119.86578884198232</v>
      </c>
      <c r="I11" s="200">
        <f>VLOOKUP($A11,CHS!$W$42:$BC$43,I$7,FALSE)</f>
        <v>6.7741975516009099</v>
      </c>
      <c r="J11" s="201">
        <v>12</v>
      </c>
      <c r="K11" s="201">
        <v>8.8000000000000007</v>
      </c>
      <c r="L11" s="201">
        <v>8</v>
      </c>
      <c r="M11" s="200">
        <f>VLOOKUP($A11,CHS!$W$42:$AZ$43,M$7,FALSE)</f>
        <v>1.397340199930774</v>
      </c>
      <c r="N11" s="200">
        <f>VLOOKUP($A11,CHS!$W$42:$BC$43,N$7,FALSE)</f>
        <v>50.812370906573598</v>
      </c>
      <c r="O11" s="200">
        <f>VLOOKUP($A11,CHS!$W$42:$BC$43,O$7,FALSE)</f>
        <v>32.596151134525975</v>
      </c>
      <c r="P11" s="200">
        <f>VLOOKUP($A11,CHS!$W$42:$BC$43,P$7,FALSE)</f>
        <v>406.49896725258878</v>
      </c>
      <c r="Q11" s="200">
        <f>VLOOKUP($A11,CHS!$W$42:$BC$43,Q$7,FALSE)</f>
        <v>260.7692090762078</v>
      </c>
      <c r="R11" s="200">
        <f>VLOOKUP($A11,CHS!$W$42:$BC$43,R$7,FALSE)</f>
        <v>11.178721599446192</v>
      </c>
      <c r="S11" s="200">
        <f>VLOOKUP($A11,CHS!$W$42:$BC$43,S$7,FALSE)</f>
        <v>145</v>
      </c>
      <c r="T11" s="201">
        <v>20</v>
      </c>
      <c r="U11" s="200">
        <f>VLOOKUP($A11,CHS!$W$42:$AZ$43,U$7,FALSE)</f>
        <v>10.058400000000002</v>
      </c>
      <c r="V11" s="200">
        <f>VLOOKUP($A11,CHS!$W$42:$BC$43,V$7,FALSE)</f>
        <v>19.311445286510189</v>
      </c>
      <c r="W11" s="200">
        <f>VLOOKUP($A11,CHS!$W$42:$BC$43,W$7,FALSE)</f>
        <v>10.098156349401139</v>
      </c>
      <c r="X11" s="201">
        <v>6</v>
      </c>
      <c r="Y11" s="201">
        <v>50</v>
      </c>
      <c r="Z11" s="200">
        <f>VLOOKUP($A11,CHS!$W$42:$BC$43,Z$7,FALSE)</f>
        <v>34</v>
      </c>
      <c r="AA11" s="201">
        <v>6</v>
      </c>
      <c r="AB11" s="200">
        <f>VLOOKUP($A11,CHS!$W$42:$BC$43,AB$7,FALSE)</f>
        <v>43.728603932137993</v>
      </c>
      <c r="AC11" s="200">
        <f>VLOOKUP($A11,CHS!$W$42:$BC$43,AC$7,FALSE)</f>
        <v>136.32756654792115</v>
      </c>
      <c r="AD11" s="200">
        <f>VLOOKUP($A11,CHS!$W$42:$BC$43,AD$7,FALSE)</f>
        <v>318.18181818181813</v>
      </c>
      <c r="AE11" s="200">
        <f>VLOOKUP($A11,CHS!$W$42:$BC$43,AE$7,FALSE)</f>
        <v>226.32130552233332</v>
      </c>
      <c r="AF11" s="202">
        <f>AB11/AC11</f>
        <v>0.32076127403599436</v>
      </c>
      <c r="AG11" s="202">
        <f>AC11/AD11</f>
        <v>0.42845806629346656</v>
      </c>
      <c r="AH11" s="202">
        <f>VLOOKUP($A11,CHS!$W$42:$BC$43,AH$7,FALSE)</f>
        <v>3</v>
      </c>
      <c r="AI11" s="216">
        <v>3</v>
      </c>
      <c r="AK11" s="219">
        <f>(7850*PI()*S11^2*T11/4/1000^3)</f>
        <v>2.5925404325127221</v>
      </c>
      <c r="AL11" s="225">
        <f>(Y11*Z11*AA11)*X11*7850/1000^3</f>
        <v>0.48042000000000001</v>
      </c>
      <c r="AM11" s="219">
        <f>AK11+AL11</f>
        <v>3.0729604325127222</v>
      </c>
    </row>
    <row r="12" spans="1:39" ht="19.8" x14ac:dyDescent="0.45">
      <c r="A12" s="201">
        <v>2</v>
      </c>
      <c r="B12" s="201" t="s">
        <v>103</v>
      </c>
      <c r="C12" s="224">
        <v>139.69999999999999</v>
      </c>
      <c r="D12" s="201">
        <v>5.4</v>
      </c>
      <c r="E12" s="203">
        <f>PI()*(C12^2-(C12-2*D12)^2)/4</f>
        <v>2278.3458242363904</v>
      </c>
      <c r="F12" s="204">
        <f>E12*7850/1000^2</f>
        <v>17.885014720255665</v>
      </c>
      <c r="G12" s="200">
        <f>VLOOKUP($A12,CHS!$W$42:$BC$43,G$7,FALSE)</f>
        <v>326.11873739253076</v>
      </c>
      <c r="H12" s="200">
        <f>VLOOKUP($A12,CHS!$W$42:$BC$43,H$7,FALSE)</f>
        <v>119.86578884198232</v>
      </c>
      <c r="I12" s="200">
        <f>VLOOKUP($A12,CHS!$W$42:$BC$43,I$7,FALSE)</f>
        <v>6.7741975516009099</v>
      </c>
      <c r="J12" s="201">
        <v>20</v>
      </c>
      <c r="K12" s="201">
        <v>8.8000000000000007</v>
      </c>
      <c r="L12" s="201">
        <v>8</v>
      </c>
      <c r="M12" s="200">
        <f>VLOOKUP($A12,CHS!$W$42:$AZ$43,M$7,FALSE)</f>
        <v>1.397340199930774</v>
      </c>
      <c r="N12" s="200">
        <f>VLOOKUP($A12,CHS!$W$42:$BC$43,N$7,FALSE)</f>
        <v>50.812370906573598</v>
      </c>
      <c r="O12" s="200">
        <f>VLOOKUP($A12,CHS!$W$42:$BC$43,O$7,FALSE)</f>
        <v>32.596151134525975</v>
      </c>
      <c r="P12" s="200">
        <f>VLOOKUP($A12,CHS!$W$42:$BC$43,P$7,FALSE)</f>
        <v>406.49896725258878</v>
      </c>
      <c r="Q12" s="200">
        <f>VLOOKUP($A12,CHS!$W$42:$BC$43,Q$7,FALSE)</f>
        <v>260.7692090762078</v>
      </c>
      <c r="R12" s="200">
        <f>VLOOKUP($A12,CHS!$W$42:$BC$43,R$7,FALSE)</f>
        <v>11.178721599446192</v>
      </c>
      <c r="S12" s="200">
        <f>VLOOKUP($A12,CHS!$W$42:$BC$43,S$7,FALSE)</f>
        <v>145</v>
      </c>
      <c r="T12" s="201">
        <v>32</v>
      </c>
      <c r="U12" s="200">
        <f>VLOOKUP($A12,CHS!$W$42:$AZ$43,U$7,FALSE)</f>
        <v>10.058400000000002</v>
      </c>
      <c r="V12" s="200">
        <f>VLOOKUP($A12,CHS!$W$42:$BC$43,V$7,FALSE)</f>
        <v>19.311445286510189</v>
      </c>
      <c r="W12" s="200">
        <f>VLOOKUP($A12,CHS!$W$42:$BC$43,W$7,FALSE)</f>
        <v>10.098156349401139</v>
      </c>
      <c r="X12" s="201">
        <v>6</v>
      </c>
      <c r="Y12" s="201">
        <v>100</v>
      </c>
      <c r="Z12" s="200">
        <f>VLOOKUP($A12,CHS!$W$42:$BC$43,Z$7,FALSE)</f>
        <v>34</v>
      </c>
      <c r="AA12" s="201">
        <v>6</v>
      </c>
      <c r="AB12" s="200">
        <f>VLOOKUP($A12,CHS!$W$42:$BC$43,AB$7,FALSE)</f>
        <v>43.728603932137993</v>
      </c>
      <c r="AC12" s="200">
        <f>VLOOKUP($A12,CHS!$W$42:$BC$43,AC$7,FALSE)</f>
        <v>136.32756654792115</v>
      </c>
      <c r="AD12" s="200">
        <f>VLOOKUP($A12,CHS!$W$42:$BC$43,AD$7,FALSE)</f>
        <v>318.18181818181813</v>
      </c>
      <c r="AE12" s="200">
        <f>VLOOKUP($A12,CHS!$W$42:$BC$43,AE$7,FALSE)</f>
        <v>226.32130552233332</v>
      </c>
      <c r="AF12" s="202">
        <f>AB12/AC12</f>
        <v>0.32076127403599436</v>
      </c>
      <c r="AG12" s="202">
        <f>AC12/AD12</f>
        <v>0.42845806629346656</v>
      </c>
      <c r="AH12" s="202">
        <f>VLOOKUP($A12,CHS!$W$42:$BC$43,AH$7,FALSE)</f>
        <v>3</v>
      </c>
      <c r="AI12" s="216">
        <v>5</v>
      </c>
      <c r="AK12" s="219">
        <f>(7850*PI()*S12^2*T12/4/1000^3)</f>
        <v>4.1480646920203554</v>
      </c>
      <c r="AL12" s="225">
        <f>(Y12*Z12*AA12)*X12*7850/1000^3</f>
        <v>0.96084000000000003</v>
      </c>
      <c r="AM12" s="219">
        <f>AK12+AL12</f>
        <v>5.1089046920203556</v>
      </c>
    </row>
    <row r="13" spans="1:39" x14ac:dyDescent="0.35">
      <c r="A13" s="215"/>
      <c r="B13" s="215"/>
      <c r="C13" s="215"/>
      <c r="D13" s="215"/>
      <c r="E13" s="215"/>
      <c r="F13" s="215"/>
    </row>
    <row r="14" spans="1:39" x14ac:dyDescent="0.35">
      <c r="G14" s="218"/>
      <c r="H14" s="218"/>
      <c r="I14" s="218"/>
      <c r="S14" s="220"/>
      <c r="T14" s="218"/>
    </row>
    <row r="15" spans="1:39" x14ac:dyDescent="0.35">
      <c r="A15" s="196"/>
      <c r="B15" s="196"/>
      <c r="C15" s="196"/>
      <c r="D15" s="196"/>
      <c r="E15" s="196"/>
      <c r="F15" s="196"/>
      <c r="G15" s="218"/>
      <c r="H15" s="218"/>
      <c r="I15" s="218"/>
      <c r="J15" s="196"/>
      <c r="K15" s="196"/>
      <c r="L15" s="196"/>
      <c r="M15" s="196"/>
      <c r="N15" s="217"/>
      <c r="P15" s="196"/>
      <c r="R15" s="196"/>
      <c r="S15" s="217"/>
      <c r="T15" s="212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</row>
    <row r="16" spans="1:39" x14ac:dyDescent="0.35">
      <c r="A16" s="196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221"/>
      <c r="Q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</row>
    <row r="17" spans="15:27" x14ac:dyDescent="0.35">
      <c r="O17" s="196"/>
      <c r="P17" s="196"/>
      <c r="Q17" s="196"/>
    </row>
    <row r="18" spans="15:27" x14ac:dyDescent="0.35">
      <c r="P18" s="222"/>
    </row>
    <row r="19" spans="15:27" x14ac:dyDescent="0.35">
      <c r="Q19"/>
      <c r="Y19" s="225"/>
      <c r="AA19" s="219"/>
    </row>
    <row r="20" spans="15:27" x14ac:dyDescent="0.35">
      <c r="Z20" s="219"/>
      <c r="AA20" s="219"/>
    </row>
    <row r="24" spans="15:27" x14ac:dyDescent="0.35">
      <c r="O24" s="226"/>
    </row>
  </sheetData>
  <mergeCells count="3">
    <mergeCell ref="J8:R8"/>
    <mergeCell ref="X8:AG8"/>
    <mergeCell ref="S8:W8"/>
  </mergeCells>
  <conditionalFormatting sqref="AF11:AG12">
    <cfRule type="expression" dxfId="50" priority="8">
      <formula>AF11&gt;=1</formula>
    </cfRule>
  </conditionalFormatting>
  <conditionalFormatting sqref="U11">
    <cfRule type="expression" dxfId="49" priority="7">
      <formula>U11&lt;I11</formula>
    </cfRule>
  </conditionalFormatting>
  <conditionalFormatting sqref="U12">
    <cfRule type="expression" dxfId="48" priority="5">
      <formula>U12&lt;I12</formula>
    </cfRule>
  </conditionalFormatting>
  <conditionalFormatting sqref="T11">
    <cfRule type="expression" dxfId="47" priority="3">
      <formula>V11&gt;T11</formula>
    </cfRule>
  </conditionalFormatting>
  <conditionalFormatting sqref="T12">
    <cfRule type="expression" dxfId="46" priority="2">
      <formula>V12&gt;T12</formula>
    </cfRule>
  </conditionalFormatting>
  <conditionalFormatting sqref="P11:R12">
    <cfRule type="expression" dxfId="45" priority="1">
      <formula>P11&lt;=G11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2" id="{A963997B-5E58-4BFD-8345-90178B52F071}">
            <xm:f>Z11&lt;=J11*CHS!$K$10</xm:f>
            <x14:dxf>
              <fill>
                <patternFill>
                  <bgColor theme="7" tint="0.39994506668294322"/>
                </patternFill>
              </fill>
            </x14:dxf>
          </x14:cfRule>
          <xm:sqref>Z11:Z12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C70D-869C-4134-9327-D903151EE118}">
  <dimension ref="A1:AD225"/>
  <sheetViews>
    <sheetView zoomScaleNormal="100" workbookViewId="0">
      <selection activeCell="D12" sqref="D12"/>
    </sheetView>
  </sheetViews>
  <sheetFormatPr defaultRowHeight="14.4" x14ac:dyDescent="0.3"/>
  <cols>
    <col min="1" max="1" width="5.5546875" style="3" bestFit="1" customWidth="1"/>
    <col min="2" max="2" width="33.44140625" style="3" bestFit="1" customWidth="1"/>
    <col min="3" max="3" width="10.5546875" style="3" bestFit="1" customWidth="1"/>
    <col min="4" max="4" width="38.88671875" style="3" bestFit="1" customWidth="1"/>
    <col min="5" max="5" width="13" style="3" bestFit="1" customWidth="1"/>
    <col min="6" max="6" width="19.44140625" style="3" bestFit="1" customWidth="1"/>
    <col min="7" max="7" width="8.88671875" style="3"/>
    <col min="8" max="8" width="15.21875" style="3" customWidth="1"/>
    <col min="9" max="9" width="35.88671875" style="3" bestFit="1" customWidth="1"/>
    <col min="10" max="10" width="23.33203125" style="3" bestFit="1" customWidth="1"/>
    <col min="11" max="11" width="10.77734375" style="3" bestFit="1" customWidth="1"/>
    <col min="12" max="12" width="17.6640625" style="3" bestFit="1" customWidth="1"/>
    <col min="13" max="13" width="14.6640625" style="3" bestFit="1" customWidth="1"/>
    <col min="14" max="14" width="13" style="3" bestFit="1" customWidth="1"/>
    <col min="15" max="15" width="11.44140625" style="3" bestFit="1" customWidth="1"/>
    <col min="16" max="16" width="11.44140625" style="3" customWidth="1"/>
    <col min="17" max="17" width="9.109375" style="3" bestFit="1" customWidth="1"/>
    <col min="18" max="18" width="25" style="3" bestFit="1" customWidth="1"/>
    <col min="19" max="19" width="12.6640625" style="3" bestFit="1" customWidth="1"/>
    <col min="20" max="20" width="10.33203125" style="3" bestFit="1" customWidth="1"/>
    <col min="21" max="22" width="8.88671875" style="3"/>
    <col min="23" max="23" width="9.5546875" style="3" bestFit="1" customWidth="1"/>
    <col min="24" max="24" width="10.33203125" style="3" bestFit="1" customWidth="1"/>
    <col min="25" max="25" width="17.21875" style="3" bestFit="1" customWidth="1"/>
    <col min="26" max="26" width="9.5546875" style="3" bestFit="1" customWidth="1"/>
    <col min="27" max="27" width="10.5546875" style="3" bestFit="1" customWidth="1"/>
    <col min="28" max="28" width="8.88671875" style="3"/>
    <col min="29" max="29" width="13" style="3" bestFit="1" customWidth="1"/>
    <col min="30" max="30" width="12.6640625" style="3" bestFit="1" customWidth="1"/>
    <col min="31" max="16384" width="8.88671875" style="3"/>
  </cols>
  <sheetData>
    <row r="1" spans="1:25" x14ac:dyDescent="0.3">
      <c r="A1" s="454" t="s">
        <v>342</v>
      </c>
      <c r="B1" s="455"/>
      <c r="C1" s="455"/>
      <c r="D1" s="455"/>
      <c r="E1" s="455"/>
      <c r="F1" s="456"/>
    </row>
    <row r="2" spans="1:25" x14ac:dyDescent="0.3">
      <c r="A2" s="250" t="s">
        <v>527</v>
      </c>
      <c r="B2" s="248" t="s">
        <v>445</v>
      </c>
      <c r="C2" s="248" t="s">
        <v>446</v>
      </c>
      <c r="D2" s="248" t="s">
        <v>447</v>
      </c>
      <c r="E2" s="248" t="s">
        <v>38</v>
      </c>
      <c r="F2" s="251" t="s">
        <v>448</v>
      </c>
      <c r="M2" s="4"/>
      <c r="N2" s="4" t="s">
        <v>38</v>
      </c>
      <c r="O2" s="4" t="s">
        <v>177</v>
      </c>
      <c r="P2" s="4" t="s">
        <v>179</v>
      </c>
      <c r="Q2" s="4" t="s">
        <v>180</v>
      </c>
      <c r="R2" s="4" t="s">
        <v>181</v>
      </c>
    </row>
    <row r="3" spans="1:25" x14ac:dyDescent="0.3">
      <c r="A3" s="252">
        <v>1</v>
      </c>
      <c r="B3" s="170" t="s">
        <v>455</v>
      </c>
      <c r="C3" s="96"/>
      <c r="D3" s="253" t="str">
        <f>HLOOKUP($K$38,$Z$22:$AD$42,2,FALSE)</f>
        <v>BOX_ISMC250</v>
      </c>
      <c r="E3" s="96"/>
      <c r="F3" s="254" t="str">
        <f>IF(LEFT(D3,2)="NB","CHS","Box")</f>
        <v>Box</v>
      </c>
      <c r="H3" s="424" t="s">
        <v>712</v>
      </c>
      <c r="M3" s="6" t="s">
        <v>110</v>
      </c>
      <c r="N3" s="6"/>
      <c r="O3" s="6"/>
      <c r="P3" s="6"/>
      <c r="Q3" s="6"/>
      <c r="R3" s="6"/>
    </row>
    <row r="4" spans="1:25" x14ac:dyDescent="0.3">
      <c r="A4" s="57"/>
      <c r="B4" s="41" t="s">
        <v>2</v>
      </c>
      <c r="C4" s="36" t="s">
        <v>41</v>
      </c>
      <c r="D4" s="255">
        <f>HLOOKUP($K$38,$Z$22:$AD$42,3,FALSE)</f>
        <v>160</v>
      </c>
      <c r="F4" s="141"/>
      <c r="H4" s="45">
        <v>1</v>
      </c>
      <c r="M4" s="33" t="s">
        <v>17</v>
      </c>
      <c r="N4" s="6" t="s">
        <v>19</v>
      </c>
      <c r="O4" s="10">
        <f>D38</f>
        <v>49.323891201260757</v>
      </c>
      <c r="P4" s="10">
        <f>D57</f>
        <v>211.36566751294185</v>
      </c>
      <c r="Q4" s="10">
        <f>O4/P4</f>
        <v>0.23335810295794926</v>
      </c>
      <c r="R4" s="6" t="str">
        <f>IF(Q4&lt;1,"OK","Check")</f>
        <v>OK</v>
      </c>
    </row>
    <row r="5" spans="1:25" x14ac:dyDescent="0.3">
      <c r="A5" s="57"/>
      <c r="B5" s="41" t="s">
        <v>1</v>
      </c>
      <c r="C5" s="36" t="s">
        <v>528</v>
      </c>
      <c r="D5" s="255">
        <f>HLOOKUP($K$38,$Z$22:$AD$42,4,FALSE)</f>
        <v>250</v>
      </c>
      <c r="F5" s="141"/>
      <c r="M5" s="33" t="s">
        <v>132</v>
      </c>
      <c r="N5" s="6" t="s">
        <v>19</v>
      </c>
      <c r="O5" s="10">
        <f>D94</f>
        <v>218.91818181818169</v>
      </c>
      <c r="P5" s="10">
        <f>D64</f>
        <v>329.48646759731315</v>
      </c>
      <c r="Q5" s="10">
        <f>O5/P5</f>
        <v>0.66442237647749425</v>
      </c>
      <c r="R5" s="6" t="str">
        <f>IF(Q5&lt;1,"OK","Check")</f>
        <v>OK</v>
      </c>
    </row>
    <row r="6" spans="1:25" ht="43.2" x14ac:dyDescent="0.3">
      <c r="A6" s="57"/>
      <c r="B6" s="41" t="s">
        <v>46</v>
      </c>
      <c r="C6" s="36" t="s">
        <v>529</v>
      </c>
      <c r="D6" s="255">
        <f>HLOOKUP($K$38,$Z$22:$AD$42,5,FALSE)</f>
        <v>7.2</v>
      </c>
      <c r="F6" s="141"/>
      <c r="M6" s="11" t="s">
        <v>242</v>
      </c>
      <c r="N6" s="6"/>
      <c r="O6" s="6"/>
      <c r="P6" s="6"/>
      <c r="Q6" s="10">
        <f>D96</f>
        <v>0.49591309858013394</v>
      </c>
      <c r="R6" s="6" t="str">
        <f>IF(Q6&lt;1,"OK","Check")</f>
        <v>OK</v>
      </c>
    </row>
    <row r="7" spans="1:25" x14ac:dyDescent="0.3">
      <c r="A7" s="57"/>
      <c r="B7" s="41" t="s">
        <v>47</v>
      </c>
      <c r="C7" s="36" t="s">
        <v>530</v>
      </c>
      <c r="D7" s="255">
        <f>HLOOKUP($K$38,$Z$22:$AD$42,6,FALSE)</f>
        <v>14.1</v>
      </c>
      <c r="F7" s="141"/>
      <c r="M7" s="6" t="s">
        <v>178</v>
      </c>
      <c r="N7" s="6"/>
      <c r="O7" s="6"/>
      <c r="P7" s="6"/>
      <c r="Q7" s="6"/>
      <c r="R7" s="6"/>
      <c r="S7" s="24" t="s">
        <v>531</v>
      </c>
      <c r="T7" s="24" t="s">
        <v>532</v>
      </c>
      <c r="U7" s="24" t="s">
        <v>533</v>
      </c>
    </row>
    <row r="8" spans="1:25" x14ac:dyDescent="0.3">
      <c r="A8" s="256"/>
      <c r="B8" s="94"/>
      <c r="C8" s="94"/>
      <c r="E8" s="94"/>
      <c r="F8" s="257"/>
      <c r="M8" s="44" t="s">
        <v>182</v>
      </c>
      <c r="N8" s="6" t="s">
        <v>8</v>
      </c>
      <c r="O8" s="6">
        <f>D43</f>
        <v>40</v>
      </c>
      <c r="P8" s="12">
        <f ca="1">D144</f>
        <v>15.432760747127348</v>
      </c>
      <c r="Q8" s="10">
        <f ca="1">P8/O8</f>
        <v>0.38581901867818369</v>
      </c>
      <c r="R8" s="6" t="str">
        <f ca="1">IF(Q8&lt;1,"OK","Check")</f>
        <v>OK</v>
      </c>
      <c r="S8" s="24" t="s">
        <v>8</v>
      </c>
      <c r="T8" s="24" t="s">
        <v>8</v>
      </c>
      <c r="U8" s="24" t="s">
        <v>8</v>
      </c>
    </row>
    <row r="9" spans="1:25" x14ac:dyDescent="0.3">
      <c r="A9" s="252">
        <v>2</v>
      </c>
      <c r="B9" s="170" t="s">
        <v>534</v>
      </c>
      <c r="C9" s="157"/>
      <c r="D9" s="94"/>
      <c r="E9" s="96"/>
      <c r="F9" s="254"/>
      <c r="G9" s="3" t="s">
        <v>238</v>
      </c>
      <c r="M9" s="44" t="s">
        <v>2</v>
      </c>
      <c r="N9" s="6" t="s">
        <v>8</v>
      </c>
      <c r="O9" s="6">
        <f>D41</f>
        <v>340</v>
      </c>
      <c r="P9" s="12">
        <f>2*(D32*2+(D26-1)*D34)+CEILING(D4,5)</f>
        <v>360</v>
      </c>
      <c r="Q9" s="10">
        <f>O9/P9</f>
        <v>0.94444444444444442</v>
      </c>
      <c r="R9" s="6" t="str">
        <f>IF(Q9&gt;=1,"OK","Check")</f>
        <v>Check</v>
      </c>
      <c r="S9" s="3">
        <f>(O9-D4)/2</f>
        <v>90</v>
      </c>
      <c r="T9" s="3">
        <v>127</v>
      </c>
      <c r="U9" s="3">
        <f>T9-S9</f>
        <v>37</v>
      </c>
    </row>
    <row r="10" spans="1:25" x14ac:dyDescent="0.3">
      <c r="A10" s="57"/>
      <c r="B10" s="41" t="s">
        <v>128</v>
      </c>
      <c r="C10" s="36" t="s">
        <v>152</v>
      </c>
      <c r="D10" s="258">
        <f>HLOOKUP(RHS!$K$38,RHS_Section_prop!$E$108:$J$112,3,FALSE)*G10</f>
        <v>140.6074340363636</v>
      </c>
      <c r="E10" s="3" t="s">
        <v>16</v>
      </c>
      <c r="F10" s="141" t="s">
        <v>207</v>
      </c>
      <c r="G10" s="3">
        <v>1.25</v>
      </c>
      <c r="M10" s="44" t="s">
        <v>1</v>
      </c>
      <c r="N10" s="6" t="s">
        <v>8</v>
      </c>
      <c r="O10" s="6">
        <f>D42</f>
        <v>420</v>
      </c>
      <c r="P10" s="12">
        <f>MAX(2*(D31*2+(D28-1)*D33)+CEILING(IF(F3="CHS",D4,D5),5),2*D31+(D25-1)*D33)</f>
        <v>450</v>
      </c>
      <c r="Q10" s="10">
        <f>O10/P10</f>
        <v>0.93333333333333335</v>
      </c>
      <c r="R10" s="6" t="str">
        <f>IF(Q10&gt;=1,"OK","Check")</f>
        <v>Check</v>
      </c>
      <c r="T10" s="3">
        <v>202</v>
      </c>
      <c r="U10" s="3">
        <f>T10-S9</f>
        <v>112</v>
      </c>
    </row>
    <row r="11" spans="1:25" ht="15" thickBot="1" x14ac:dyDescent="0.35">
      <c r="A11" s="57"/>
      <c r="B11" s="41" t="s">
        <v>17</v>
      </c>
      <c r="C11" s="36" t="s">
        <v>32</v>
      </c>
      <c r="D11" s="258">
        <f>HLOOKUP(RHS!$K$38,RHS_Section_prop!$E$108:$J$112,4,FALSE)*G11</f>
        <v>690.53447681765056</v>
      </c>
      <c r="E11" s="3" t="s">
        <v>19</v>
      </c>
      <c r="F11" s="141"/>
      <c r="G11" s="3">
        <v>1.25</v>
      </c>
      <c r="Y11" s="3" t="s">
        <v>227</v>
      </c>
    </row>
    <row r="12" spans="1:25" ht="15" thickBot="1" x14ac:dyDescent="0.35">
      <c r="A12" s="57"/>
      <c r="B12" s="42" t="s">
        <v>535</v>
      </c>
      <c r="C12" s="36" t="s">
        <v>42</v>
      </c>
      <c r="D12" s="258">
        <f>HLOOKUP(RHS!$K$38,RHS_Section_prop!$E$108:$J$112,5,FALSE)*G12</f>
        <v>3064.8545454545438</v>
      </c>
      <c r="E12" s="3" t="s">
        <v>19</v>
      </c>
      <c r="F12" s="141">
        <f>8550/5/304</f>
        <v>5.625</v>
      </c>
      <c r="G12" s="3">
        <v>1.25</v>
      </c>
      <c r="H12" s="22"/>
      <c r="J12" s="437" t="s">
        <v>234</v>
      </c>
      <c r="K12" s="438"/>
      <c r="L12" s="439"/>
      <c r="M12"/>
      <c r="N12" s="66" t="s">
        <v>245</v>
      </c>
      <c r="Y12" s="3">
        <v>16</v>
      </c>
    </row>
    <row r="13" spans="1:25" x14ac:dyDescent="0.3">
      <c r="A13" s="256"/>
      <c r="B13" s="94"/>
      <c r="C13" s="94"/>
      <c r="D13" s="94"/>
      <c r="E13" s="94"/>
      <c r="F13" s="257"/>
      <c r="H13" s="3">
        <v>1</v>
      </c>
      <c r="I13" s="53" t="s">
        <v>235</v>
      </c>
      <c r="J13" s="54" t="s">
        <v>2</v>
      </c>
      <c r="K13" s="55">
        <f>D41</f>
        <v>340</v>
      </c>
      <c r="L13" s="56" t="s">
        <v>8</v>
      </c>
      <c r="M13"/>
      <c r="N13" s="55" t="e">
        <v>#N/A</v>
      </c>
      <c r="O13" s="51" t="e">
        <f>IF(K13=N13,0,1)</f>
        <v>#N/A</v>
      </c>
      <c r="Y13" s="3">
        <v>20</v>
      </c>
    </row>
    <row r="14" spans="1:25" x14ac:dyDescent="0.3">
      <c r="A14" s="252">
        <v>3</v>
      </c>
      <c r="B14" s="170" t="s">
        <v>453</v>
      </c>
      <c r="C14" s="96"/>
      <c r="D14" s="96"/>
      <c r="E14" s="96"/>
      <c r="F14" s="254"/>
      <c r="H14" s="3">
        <v>2</v>
      </c>
      <c r="I14" s="57"/>
      <c r="J14" s="7" t="s">
        <v>1</v>
      </c>
      <c r="K14" s="6">
        <f>D42</f>
        <v>420</v>
      </c>
      <c r="L14" s="58" t="s">
        <v>8</v>
      </c>
      <c r="M14"/>
      <c r="N14" s="6" t="e">
        <v>#N/A</v>
      </c>
      <c r="O14" s="51" t="e">
        <f t="shared" ref="O14:O29" si="0">IF(K14=N14,0,1)</f>
        <v>#N/A</v>
      </c>
      <c r="P14" s="4" t="s">
        <v>208</v>
      </c>
      <c r="Q14" s="4" t="s">
        <v>159</v>
      </c>
      <c r="R14" s="4" t="s">
        <v>157</v>
      </c>
      <c r="Y14" s="3">
        <v>24</v>
      </c>
    </row>
    <row r="15" spans="1:25" x14ac:dyDescent="0.3">
      <c r="A15" s="57"/>
      <c r="B15" s="41" t="s">
        <v>76</v>
      </c>
      <c r="C15" s="36" t="s">
        <v>77</v>
      </c>
      <c r="D15" s="84">
        <f>HLOOKUP($K$38,$Z$22:$AD$42,10,FALSE)</f>
        <v>30</v>
      </c>
      <c r="E15" s="3" t="s">
        <v>8</v>
      </c>
      <c r="F15" s="141"/>
      <c r="H15" s="3">
        <v>3</v>
      </c>
      <c r="I15" s="57"/>
      <c r="J15" s="7" t="s">
        <v>182</v>
      </c>
      <c r="K15" s="6">
        <f>D43</f>
        <v>40</v>
      </c>
      <c r="L15" s="58" t="s">
        <v>8</v>
      </c>
      <c r="M15"/>
      <c r="N15" s="6" t="e">
        <v>#N/A</v>
      </c>
      <c r="O15" s="51" t="e">
        <f t="shared" si="0"/>
        <v>#N/A</v>
      </c>
      <c r="P15" s="6">
        <v>3.6</v>
      </c>
      <c r="Q15" s="6">
        <f>(P15-TRUNC(P15,0))*R15</f>
        <v>198.00000000000003</v>
      </c>
      <c r="R15" s="6">
        <v>330</v>
      </c>
      <c r="Y15" s="3">
        <v>30</v>
      </c>
    </row>
    <row r="16" spans="1:25" ht="15" thickBot="1" x14ac:dyDescent="0.35">
      <c r="A16" s="57"/>
      <c r="B16" s="41" t="s">
        <v>457</v>
      </c>
      <c r="C16" s="36" t="s">
        <v>155</v>
      </c>
      <c r="D16" s="3">
        <f>IF(D15&lt;15,1,IF(D15&lt;=24,2,3))+D15</f>
        <v>33</v>
      </c>
      <c r="E16" s="3" t="s">
        <v>8</v>
      </c>
      <c r="F16" s="141"/>
      <c r="H16" s="3">
        <v>4</v>
      </c>
      <c r="I16" s="59"/>
      <c r="J16" s="60" t="s">
        <v>0</v>
      </c>
      <c r="K16" s="62" t="str">
        <f>D44</f>
        <v>E350</v>
      </c>
      <c r="L16" s="61"/>
      <c r="M16"/>
      <c r="N16" s="62" t="e">
        <v>#N/A</v>
      </c>
      <c r="O16" s="51" t="e">
        <f t="shared" si="0"/>
        <v>#N/A</v>
      </c>
      <c r="P16" s="6">
        <v>4.5999999999999996</v>
      </c>
      <c r="Q16" s="6">
        <f t="shared" ref="Q16:Q20" si="1">(P16-TRUNC(P16,0))*R16</f>
        <v>239.99999999999986</v>
      </c>
      <c r="R16" s="6">
        <v>400</v>
      </c>
      <c r="Y16" s="3">
        <v>36</v>
      </c>
    </row>
    <row r="17" spans="1:30" x14ac:dyDescent="0.3">
      <c r="A17" s="57"/>
      <c r="B17" s="41" t="s">
        <v>0</v>
      </c>
      <c r="C17" s="36"/>
      <c r="D17" s="84">
        <f>HLOOKUP($K$38,$Z$22:$AD$42,11,FALSE)</f>
        <v>8.8000000000000007</v>
      </c>
      <c r="F17" s="141"/>
      <c r="H17" s="3">
        <v>5</v>
      </c>
      <c r="I17" s="53" t="s">
        <v>110</v>
      </c>
      <c r="J17" s="54" t="s">
        <v>111</v>
      </c>
      <c r="K17" s="55">
        <f>D15</f>
        <v>30</v>
      </c>
      <c r="L17" s="56" t="s">
        <v>8</v>
      </c>
      <c r="M17"/>
      <c r="N17" s="55" t="e">
        <v>#N/A</v>
      </c>
      <c r="O17" s="51" t="e">
        <f t="shared" si="0"/>
        <v>#N/A</v>
      </c>
      <c r="P17" s="6">
        <v>4.8</v>
      </c>
      <c r="Q17" s="6">
        <f t="shared" si="1"/>
        <v>335.99999999999994</v>
      </c>
      <c r="R17" s="6">
        <v>420</v>
      </c>
    </row>
    <row r="18" spans="1:30" x14ac:dyDescent="0.3">
      <c r="A18" s="57"/>
      <c r="B18" s="41" t="s">
        <v>156</v>
      </c>
      <c r="C18" s="36" t="s">
        <v>157</v>
      </c>
      <c r="D18" s="3">
        <f>VLOOKUP($D$17,$P$15:$R$25,3,IF(D15&lt;=16,FALSE,TRUE))</f>
        <v>830</v>
      </c>
      <c r="E18" s="3" t="s">
        <v>7</v>
      </c>
      <c r="F18" s="141"/>
      <c r="H18" s="3">
        <v>6</v>
      </c>
      <c r="I18" s="57"/>
      <c r="J18" s="7" t="s">
        <v>236</v>
      </c>
      <c r="K18" s="6">
        <f>D20</f>
        <v>130</v>
      </c>
      <c r="L18" s="58" t="s">
        <v>8</v>
      </c>
      <c r="M18"/>
      <c r="N18" s="6" t="e">
        <v>#N/A</v>
      </c>
      <c r="O18" s="51" t="e">
        <f t="shared" si="0"/>
        <v>#N/A</v>
      </c>
      <c r="P18" s="6">
        <v>5.6</v>
      </c>
      <c r="Q18" s="6">
        <f t="shared" si="1"/>
        <v>299.99999999999983</v>
      </c>
      <c r="R18" s="6">
        <v>500</v>
      </c>
    </row>
    <row r="19" spans="1:30" x14ac:dyDescent="0.3">
      <c r="A19" s="57"/>
      <c r="B19" s="41" t="s">
        <v>158</v>
      </c>
      <c r="C19" s="36" t="s">
        <v>159</v>
      </c>
      <c r="D19" s="3">
        <f>VLOOKUP($D$17,$P$15:$R$25,2,IF(D15&lt;=16,FALSE,TRUE))</f>
        <v>660</v>
      </c>
      <c r="E19" s="3" t="s">
        <v>7</v>
      </c>
      <c r="F19" s="141"/>
      <c r="H19" s="3">
        <v>7</v>
      </c>
      <c r="I19" s="57"/>
      <c r="J19" s="7" t="s">
        <v>0</v>
      </c>
      <c r="K19" s="6">
        <f>D17</f>
        <v>8.8000000000000007</v>
      </c>
      <c r="L19" s="58"/>
      <c r="M19"/>
      <c r="N19" s="6" t="e">
        <v>#N/A</v>
      </c>
      <c r="O19" s="51" t="e">
        <f t="shared" si="0"/>
        <v>#N/A</v>
      </c>
      <c r="P19" s="6">
        <v>5.8</v>
      </c>
      <c r="Q19" s="6">
        <f t="shared" si="1"/>
        <v>415.99999999999989</v>
      </c>
      <c r="R19" s="6">
        <v>520</v>
      </c>
    </row>
    <row r="20" spans="1:30" x14ac:dyDescent="0.3">
      <c r="A20" s="57"/>
      <c r="B20" s="41" t="s">
        <v>160</v>
      </c>
      <c r="C20" s="36" t="s">
        <v>161</v>
      </c>
      <c r="D20" s="3">
        <f>CEILING(2*D43+F20*D15+20,10)</f>
        <v>130</v>
      </c>
      <c r="E20" s="3" t="s">
        <v>8</v>
      </c>
      <c r="F20" s="141">
        <v>0.8</v>
      </c>
      <c r="H20" s="3">
        <v>8</v>
      </c>
      <c r="I20" s="57"/>
      <c r="J20" s="7" t="s">
        <v>237</v>
      </c>
      <c r="K20" s="6">
        <f>D29</f>
        <v>14</v>
      </c>
      <c r="L20" s="58" t="s">
        <v>131</v>
      </c>
      <c r="M20"/>
      <c r="N20" s="6" t="e">
        <v>#N/A</v>
      </c>
      <c r="O20" s="51" t="e">
        <f t="shared" si="0"/>
        <v>#N/A</v>
      </c>
      <c r="P20" s="6">
        <v>6.8</v>
      </c>
      <c r="Q20" s="6">
        <f t="shared" si="1"/>
        <v>479.99999999999989</v>
      </c>
      <c r="R20" s="6">
        <v>600</v>
      </c>
    </row>
    <row r="21" spans="1:30" x14ac:dyDescent="0.3">
      <c r="A21" s="57"/>
      <c r="B21" s="41" t="s">
        <v>162</v>
      </c>
      <c r="C21" s="36" t="s">
        <v>118</v>
      </c>
      <c r="D21" s="37">
        <f>D22*0.78</f>
        <v>551.3495107050087</v>
      </c>
      <c r="E21" s="3" t="s">
        <v>11</v>
      </c>
      <c r="F21" s="141"/>
      <c r="H21" s="3">
        <v>9</v>
      </c>
      <c r="I21" s="57"/>
      <c r="J21" s="15" t="s">
        <v>115</v>
      </c>
      <c r="K21" s="6">
        <f>IF(F3="CHS",D31,(K14-D5-2*(D31+(D28-1)*D33))/2)</f>
        <v>35</v>
      </c>
      <c r="L21" s="58" t="s">
        <v>8</v>
      </c>
      <c r="M21"/>
      <c r="N21" s="6" t="e">
        <v>#N/A</v>
      </c>
      <c r="O21" s="51" t="e">
        <f t="shared" si="0"/>
        <v>#N/A</v>
      </c>
      <c r="P21" s="6">
        <v>8.8000000000000007</v>
      </c>
      <c r="Q21" s="6">
        <v>640</v>
      </c>
      <c r="R21" s="6">
        <v>800</v>
      </c>
      <c r="S21" s="3" t="s">
        <v>209</v>
      </c>
      <c r="V21" s="3" t="s">
        <v>620</v>
      </c>
      <c r="W21" s="3" t="s">
        <v>527</v>
      </c>
    </row>
    <row r="22" spans="1:30" x14ac:dyDescent="0.3">
      <c r="A22" s="57"/>
      <c r="B22" s="41" t="s">
        <v>163</v>
      </c>
      <c r="C22" s="36" t="s">
        <v>119</v>
      </c>
      <c r="D22" s="37">
        <f>PI()*D15^2/4</f>
        <v>706.85834705770344</v>
      </c>
      <c r="E22" s="3" t="s">
        <v>11</v>
      </c>
      <c r="F22" s="141"/>
      <c r="H22" s="3">
        <v>10</v>
      </c>
      <c r="I22" s="57"/>
      <c r="J22" s="15" t="s">
        <v>116</v>
      </c>
      <c r="K22" s="6">
        <f>D32</f>
        <v>50</v>
      </c>
      <c r="L22" s="58" t="s">
        <v>8</v>
      </c>
      <c r="M22"/>
      <c r="N22" s="6" t="e">
        <v>#N/A</v>
      </c>
      <c r="O22" s="51" t="e">
        <f t="shared" si="0"/>
        <v>#N/A</v>
      </c>
      <c r="P22" s="6">
        <v>8.8000000000000007</v>
      </c>
      <c r="Q22" s="6">
        <v>660</v>
      </c>
      <c r="R22" s="6">
        <v>830</v>
      </c>
      <c r="S22" s="3" t="s">
        <v>210</v>
      </c>
      <c r="W22" s="3">
        <v>1</v>
      </c>
      <c r="Y22" s="3" t="s">
        <v>292</v>
      </c>
      <c r="Z22" s="3">
        <v>1</v>
      </c>
      <c r="AA22" s="3">
        <v>2</v>
      </c>
      <c r="AB22" s="3">
        <v>3</v>
      </c>
      <c r="AC22" s="3">
        <v>4</v>
      </c>
    </row>
    <row r="23" spans="1:30" x14ac:dyDescent="0.3">
      <c r="A23" s="57"/>
      <c r="B23" s="41" t="s">
        <v>164</v>
      </c>
      <c r="C23" s="36" t="s">
        <v>120</v>
      </c>
      <c r="D23" s="3">
        <v>1</v>
      </c>
      <c r="F23" s="141"/>
      <c r="H23" s="3">
        <v>11</v>
      </c>
      <c r="I23" s="57"/>
      <c r="J23" s="15" t="s">
        <v>112</v>
      </c>
      <c r="K23" s="6">
        <f>D33</f>
        <v>80</v>
      </c>
      <c r="L23" s="58" t="s">
        <v>8</v>
      </c>
      <c r="M23"/>
      <c r="N23" s="6" t="e">
        <v>#N/A</v>
      </c>
      <c r="O23" s="51" t="e">
        <f t="shared" si="0"/>
        <v>#N/A</v>
      </c>
      <c r="P23" s="6">
        <v>9.8000000000000007</v>
      </c>
      <c r="Q23" s="6">
        <v>720</v>
      </c>
      <c r="R23" s="6">
        <v>900</v>
      </c>
      <c r="V23" s="3">
        <v>2</v>
      </c>
      <c r="W23" s="3">
        <v>2</v>
      </c>
      <c r="Y23" s="3" t="s">
        <v>344</v>
      </c>
      <c r="Z23" s="3" t="str">
        <f>VLOOKUP(Z$22,RHS_SUMMARY!$A$9:$AW$14,$V23,FALSE)</f>
        <v>SHS200X12</v>
      </c>
      <c r="AA23" s="3" t="str">
        <f>VLOOKUP(AA$22,RHS_SUMMARY!$A$9:$AW$14,$V23,FALSE)</f>
        <v>BOX_ISMC250</v>
      </c>
      <c r="AB23" s="3" t="str">
        <f>VLOOKUP(AB$22,RHS_SUMMARY!$A$9:$AW$14,$V23,FALSE)</f>
        <v>BOX_ISMC150</v>
      </c>
      <c r="AC23" s="3" t="str">
        <f>VLOOKUP(AC$22,RHS_SUMMARY!$A$9:$AW$14,$V23,FALSE)</f>
        <v>BOX_ISMC400</v>
      </c>
    </row>
    <row r="24" spans="1:30" x14ac:dyDescent="0.3">
      <c r="A24" s="57"/>
      <c r="B24" s="41" t="s">
        <v>165</v>
      </c>
      <c r="C24" s="36" t="s">
        <v>121</v>
      </c>
      <c r="D24" s="3">
        <v>0</v>
      </c>
      <c r="F24" s="141"/>
      <c r="H24" s="3">
        <v>12</v>
      </c>
      <c r="I24" s="57"/>
      <c r="J24" s="15" t="s">
        <v>113</v>
      </c>
      <c r="K24" s="6">
        <f>D34</f>
        <v>80</v>
      </c>
      <c r="L24" s="58" t="s">
        <v>8</v>
      </c>
      <c r="M24"/>
      <c r="N24" s="6" t="e">
        <v>#N/A</v>
      </c>
      <c r="O24" s="51" t="e">
        <f t="shared" si="0"/>
        <v>#N/A</v>
      </c>
      <c r="P24" s="6">
        <v>10.9</v>
      </c>
      <c r="Q24" s="6">
        <v>940</v>
      </c>
      <c r="R24" s="6">
        <v>1040</v>
      </c>
      <c r="V24" s="3">
        <v>3</v>
      </c>
      <c r="W24" s="3">
        <v>3</v>
      </c>
      <c r="Y24" s="3" t="s">
        <v>563</v>
      </c>
      <c r="Z24" s="3">
        <f>VLOOKUP(Z$22,RHS_SUMMARY!$A$9:$AW$14,$V24,FALSE)</f>
        <v>200</v>
      </c>
      <c r="AA24" s="3">
        <f>VLOOKUP(AA$22,RHS_SUMMARY!$A$9:$AW$14,$V24,FALSE)</f>
        <v>160</v>
      </c>
      <c r="AB24" s="3">
        <f>VLOOKUP(AB$22,RHS_SUMMARY!$A$9:$AW$14,$V24,FALSE)</f>
        <v>150</v>
      </c>
      <c r="AC24" s="3">
        <f>VLOOKUP(AC$22,RHS_SUMMARY!$A$9:$AW$14,$V24,FALSE)</f>
        <v>200</v>
      </c>
    </row>
    <row r="25" spans="1:30" x14ac:dyDescent="0.3">
      <c r="A25" s="57"/>
      <c r="B25" s="41" t="s">
        <v>239</v>
      </c>
      <c r="C25" s="36"/>
      <c r="D25" s="84">
        <f>HLOOKUP($K$38,$Z$22:$AD$42,12,FALSE)</f>
        <v>5</v>
      </c>
      <c r="F25" s="141">
        <f>TRUNC((D42-2*D31)/D33,0)+1</f>
        <v>5</v>
      </c>
      <c r="H25" s="3">
        <v>13</v>
      </c>
      <c r="I25" s="57"/>
      <c r="J25" s="6" t="s">
        <v>239</v>
      </c>
      <c r="K25" s="6">
        <f>D25</f>
        <v>5</v>
      </c>
      <c r="L25" s="58" t="s">
        <v>131</v>
      </c>
      <c r="M25"/>
      <c r="N25" s="6" t="e">
        <v>#N/A</v>
      </c>
      <c r="O25" s="51" t="e">
        <f t="shared" si="0"/>
        <v>#N/A</v>
      </c>
      <c r="P25" s="6">
        <v>12.9</v>
      </c>
      <c r="Q25" s="6">
        <v>1100</v>
      </c>
      <c r="R25" s="6">
        <v>1220</v>
      </c>
      <c r="V25" s="3">
        <v>4</v>
      </c>
      <c r="W25" s="3">
        <v>4</v>
      </c>
      <c r="Y25" s="3" t="s">
        <v>564</v>
      </c>
      <c r="Z25" s="3">
        <f>VLOOKUP(Z$22,RHS_SUMMARY!$A$9:$AW$14,$V25,FALSE)</f>
        <v>200</v>
      </c>
      <c r="AA25" s="3">
        <f>VLOOKUP(AA$22,RHS_SUMMARY!$A$9:$AW$14,$V25,FALSE)</f>
        <v>250</v>
      </c>
      <c r="AB25" s="3">
        <f>VLOOKUP(AB$22,RHS_SUMMARY!$A$9:$AW$14,$V25,FALSE)</f>
        <v>150</v>
      </c>
      <c r="AC25" s="3">
        <f>VLOOKUP(AC$22,RHS_SUMMARY!$A$9:$AW$14,$V25,FALSE)</f>
        <v>400</v>
      </c>
    </row>
    <row r="26" spans="1:30" x14ac:dyDescent="0.3">
      <c r="A26" s="57"/>
      <c r="B26" s="41" t="s">
        <v>243</v>
      </c>
      <c r="C26" s="36"/>
      <c r="D26" s="84">
        <v>1</v>
      </c>
      <c r="F26" s="141"/>
      <c r="H26" s="3">
        <v>14</v>
      </c>
      <c r="I26" s="57"/>
      <c r="J26" s="6" t="s">
        <v>243</v>
      </c>
      <c r="K26" s="6">
        <f>D26</f>
        <v>1</v>
      </c>
      <c r="L26" s="58" t="s">
        <v>131</v>
      </c>
      <c r="M26"/>
      <c r="N26" s="6" t="e">
        <v>#N/A</v>
      </c>
      <c r="O26" s="51" t="e">
        <f t="shared" si="0"/>
        <v>#N/A</v>
      </c>
      <c r="V26" s="3">
        <v>5</v>
      </c>
      <c r="W26" s="3">
        <v>5</v>
      </c>
      <c r="Y26" s="3" t="s">
        <v>565</v>
      </c>
      <c r="Z26" s="3">
        <f>VLOOKUP(Z$22,RHS_SUMMARY!$A$9:$AW$14,$V26,FALSE)</f>
        <v>12</v>
      </c>
      <c r="AA26" s="3">
        <f>VLOOKUP(AA$22,RHS_SUMMARY!$A$9:$AW$14,$V26,FALSE)</f>
        <v>7.2</v>
      </c>
      <c r="AB26" s="3">
        <f>VLOOKUP(AB$22,RHS_SUMMARY!$A$9:$AW$14,$V26,FALSE)</f>
        <v>5.7</v>
      </c>
      <c r="AC26" s="3">
        <f>VLOOKUP(AC$22,RHS_SUMMARY!$A$9:$AW$14,$V26,FALSE)</f>
        <v>20.8</v>
      </c>
    </row>
    <row r="27" spans="1:30" x14ac:dyDescent="0.3">
      <c r="A27" s="57"/>
      <c r="B27" s="41" t="s">
        <v>224</v>
      </c>
      <c r="C27" s="36"/>
      <c r="D27" s="3">
        <f>HLOOKUP($K$38,$Z$22:$AD$42,13,FALSE)</f>
        <v>2</v>
      </c>
      <c r="E27" s="3" t="s">
        <v>131</v>
      </c>
      <c r="F27" s="141">
        <f>TRUNC((D41-2*D32)/D34,0)+1-D26*2</f>
        <v>2</v>
      </c>
      <c r="H27" s="3">
        <v>15</v>
      </c>
      <c r="I27" s="57"/>
      <c r="J27" s="6" t="s">
        <v>224</v>
      </c>
      <c r="K27" s="6">
        <f>D27</f>
        <v>2</v>
      </c>
      <c r="L27" s="58" t="s">
        <v>131</v>
      </c>
      <c r="M27"/>
      <c r="N27" s="6" t="e">
        <v>#N/A</v>
      </c>
      <c r="O27" s="51" t="e">
        <f t="shared" si="0"/>
        <v>#N/A</v>
      </c>
      <c r="P27" s="4" t="s">
        <v>211</v>
      </c>
      <c r="Q27" s="430" t="s">
        <v>219</v>
      </c>
      <c r="R27" s="431"/>
      <c r="S27" s="432"/>
      <c r="T27" s="4" t="s">
        <v>220</v>
      </c>
      <c r="V27" s="3">
        <v>6</v>
      </c>
      <c r="W27" s="3">
        <v>6</v>
      </c>
      <c r="Y27" s="3" t="s">
        <v>566</v>
      </c>
      <c r="Z27" s="3">
        <f>VLOOKUP(Z$22,RHS_SUMMARY!$A$9:$AW$14,$V27,FALSE)</f>
        <v>12</v>
      </c>
      <c r="AA27" s="3">
        <f>VLOOKUP(AA$22,RHS_SUMMARY!$A$9:$AW$14,$V27,FALSE)</f>
        <v>14.1</v>
      </c>
      <c r="AB27" s="3">
        <f>VLOOKUP(AB$22,RHS_SUMMARY!$A$9:$AW$14,$V27,FALSE)</f>
        <v>9</v>
      </c>
      <c r="AC27" s="3">
        <f>VLOOKUP(AC$22,RHS_SUMMARY!$A$9:$AW$14,$V27,FALSE)</f>
        <v>15.3</v>
      </c>
    </row>
    <row r="28" spans="1:30" x14ac:dyDescent="0.3">
      <c r="A28" s="57"/>
      <c r="B28" s="41" t="s">
        <v>225</v>
      </c>
      <c r="C28" s="36"/>
      <c r="D28" s="84">
        <v>1</v>
      </c>
      <c r="E28" s="3" t="s">
        <v>131</v>
      </c>
      <c r="F28" s="141"/>
      <c r="H28" s="3">
        <v>16</v>
      </c>
      <c r="I28" s="57"/>
      <c r="J28" s="6" t="s">
        <v>225</v>
      </c>
      <c r="K28" s="6">
        <f>D28</f>
        <v>1</v>
      </c>
      <c r="L28" s="58" t="s">
        <v>131</v>
      </c>
      <c r="M28"/>
      <c r="N28" s="6" t="e">
        <v>#N/A</v>
      </c>
      <c r="O28" s="51" t="e">
        <f t="shared" si="0"/>
        <v>#N/A</v>
      </c>
      <c r="P28" s="4"/>
      <c r="Q28" s="4" t="s">
        <v>216</v>
      </c>
      <c r="R28" s="4" t="s">
        <v>217</v>
      </c>
      <c r="S28" s="4" t="s">
        <v>218</v>
      </c>
      <c r="T28" s="4"/>
      <c r="V28" s="3">
        <v>11</v>
      </c>
      <c r="W28" s="3">
        <v>7</v>
      </c>
      <c r="Y28" s="3" t="s">
        <v>349</v>
      </c>
      <c r="Z28" s="51">
        <f>VLOOKUP(Z$22,RHS_SUMMARY!$A$9:$AW$14,$V28,FALSE)</f>
        <v>3589.0909090909081</v>
      </c>
      <c r="AA28" s="51">
        <f>VLOOKUP(AA$22,RHS_SUMMARY!$A$9:$AW$14,$V28,FALSE)</f>
        <v>3064.8545454545438</v>
      </c>
      <c r="AB28" s="51">
        <f>VLOOKUP(AB$22,RHS_SUMMARY!$A$9:$AW$14,$V28,FALSE)</f>
        <v>1672.363636363636</v>
      </c>
      <c r="AC28" s="51">
        <f>VLOOKUP(AC$22,RHS_SUMMARY!$A$9:$AW$14,$V28,FALSE)</f>
        <v>8545.9818181818173</v>
      </c>
      <c r="AD28" s="51"/>
    </row>
    <row r="29" spans="1:30" ht="15" thickBot="1" x14ac:dyDescent="0.35">
      <c r="A29" s="57"/>
      <c r="B29" s="41" t="s">
        <v>226</v>
      </c>
      <c r="C29" s="36"/>
      <c r="D29" s="3">
        <f>D26*D25*2+D27*D28*2</f>
        <v>14</v>
      </c>
      <c r="E29" s="3" t="s">
        <v>131</v>
      </c>
      <c r="F29" s="259">
        <f>D12/D64</f>
        <v>9.3019132706849188</v>
      </c>
      <c r="H29" s="3">
        <v>17</v>
      </c>
      <c r="I29" s="59"/>
      <c r="J29" s="60" t="s">
        <v>226</v>
      </c>
      <c r="K29" s="60">
        <f>D29</f>
        <v>14</v>
      </c>
      <c r="L29" s="61" t="s">
        <v>131</v>
      </c>
      <c r="M29"/>
      <c r="N29" s="60" t="e">
        <v>#N/A</v>
      </c>
      <c r="O29" s="51" t="e">
        <f t="shared" si="0"/>
        <v>#N/A</v>
      </c>
      <c r="P29" s="6" t="s">
        <v>212</v>
      </c>
      <c r="Q29" s="6">
        <v>165</v>
      </c>
      <c r="R29" s="6">
        <v>165</v>
      </c>
      <c r="S29" s="6">
        <v>165</v>
      </c>
      <c r="T29" s="6">
        <v>290</v>
      </c>
      <c r="V29" s="3">
        <v>12</v>
      </c>
      <c r="W29" s="3">
        <v>8</v>
      </c>
      <c r="Y29" s="3" t="s">
        <v>350</v>
      </c>
      <c r="Z29" s="51">
        <f>VLOOKUP(Z$22,RHS_SUMMARY!$A$9:$AW$14,$V29,FALSE)</f>
        <v>1036.0813012548376</v>
      </c>
      <c r="AA29" s="51">
        <f>VLOOKUP(AA$22,RHS_SUMMARY!$A$9:$AW$14,$V29,FALSE)</f>
        <v>690.53447681765056</v>
      </c>
      <c r="AB29" s="51">
        <f>VLOOKUP(AB$22,RHS_SUMMARY!$A$9:$AW$14,$V29,FALSE)</f>
        <v>482.76979781874337</v>
      </c>
      <c r="AC29" s="51">
        <f>VLOOKUP(AC$22,RHS_SUMMARY!$A$9:$AW$14,$V29,FALSE)</f>
        <v>1644.6749677389732</v>
      </c>
      <c r="AD29" s="51"/>
    </row>
    <row r="30" spans="1:30" x14ac:dyDescent="0.3">
      <c r="A30" s="57"/>
      <c r="B30" s="41" t="s">
        <v>171</v>
      </c>
      <c r="F30" s="260" t="s">
        <v>114</v>
      </c>
      <c r="P30" s="6" t="s">
        <v>213</v>
      </c>
      <c r="Q30" s="6">
        <v>250</v>
      </c>
      <c r="R30" s="6">
        <v>240</v>
      </c>
      <c r="S30" s="6">
        <v>230</v>
      </c>
      <c r="T30" s="6">
        <v>410</v>
      </c>
      <c r="V30" s="3">
        <v>13</v>
      </c>
      <c r="W30" s="3">
        <v>9</v>
      </c>
      <c r="Y30" s="3" t="s">
        <v>348</v>
      </c>
      <c r="Z30" s="51">
        <f>VLOOKUP(Z$22,RHS_SUMMARY!$A$9:$AW$14,$V30,FALSE)</f>
        <v>253.37454545454545</v>
      </c>
      <c r="AA30" s="51">
        <f>VLOOKUP(AA$22,RHS_SUMMARY!$A$9:$AW$14,$V30,FALSE)</f>
        <v>140.6074340363636</v>
      </c>
      <c r="AB30" s="51">
        <f>VLOOKUP(AB$22,RHS_SUMMARY!$A$9:$AW$14,$V30,FALSE)</f>
        <v>82.09087717090911</v>
      </c>
      <c r="AC30" s="51">
        <f>VLOOKUP(AC$22,RHS_SUMMARY!$A$9:$AW$14,$V30,FALSE)</f>
        <v>669.32997090909089</v>
      </c>
      <c r="AD30" s="51"/>
    </row>
    <row r="31" spans="1:30" x14ac:dyDescent="0.3">
      <c r="A31" s="57"/>
      <c r="B31" s="43" t="s">
        <v>115</v>
      </c>
      <c r="C31" s="36" t="s">
        <v>168</v>
      </c>
      <c r="D31" s="84">
        <f>HLOOKUP($K$38,$Z$22:$AD$42,14,FALSE)</f>
        <v>50</v>
      </c>
      <c r="E31" s="3" t="s">
        <v>8</v>
      </c>
      <c r="F31" s="141">
        <f>H31*I31</f>
        <v>49.5</v>
      </c>
      <c r="H31" s="3">
        <v>1.5</v>
      </c>
      <c r="I31" s="3">
        <f>D16</f>
        <v>33</v>
      </c>
      <c r="P31" s="6" t="s">
        <v>214</v>
      </c>
      <c r="Q31" s="6">
        <v>300</v>
      </c>
      <c r="R31" s="6">
        <v>290</v>
      </c>
      <c r="S31" s="6">
        <v>280</v>
      </c>
      <c r="T31" s="6">
        <v>440</v>
      </c>
      <c r="V31" s="3">
        <v>14</v>
      </c>
      <c r="W31" s="3">
        <v>10</v>
      </c>
      <c r="X31" s="3" t="s">
        <v>463</v>
      </c>
      <c r="Y31" s="3" t="s">
        <v>599</v>
      </c>
      <c r="Z31" s="3">
        <f>VLOOKUP(Z$22,RHS_SUMMARY!$A$9:$AW$14,$V31,FALSE)</f>
        <v>30</v>
      </c>
      <c r="AA31" s="3">
        <f>VLOOKUP(AA$22,RHS_SUMMARY!$A$9:$AW$14,$V31,FALSE)</f>
        <v>30</v>
      </c>
      <c r="AB31" s="3">
        <f>VLOOKUP(AB$22,RHS_SUMMARY!$A$9:$AW$14,$V31,FALSE)</f>
        <v>24</v>
      </c>
      <c r="AC31" s="3">
        <f>VLOOKUP(AC$22,RHS_SUMMARY!$A$9:$AW$14,$V31,FALSE)</f>
        <v>42</v>
      </c>
    </row>
    <row r="32" spans="1:30" x14ac:dyDescent="0.3">
      <c r="A32" s="57"/>
      <c r="B32" s="43" t="s">
        <v>116</v>
      </c>
      <c r="C32" s="36" t="s">
        <v>169</v>
      </c>
      <c r="D32" s="84">
        <f>HLOOKUP($K$38,$Z$22:$AD$42,15,FALSE)</f>
        <v>50</v>
      </c>
      <c r="E32" s="3" t="s">
        <v>8</v>
      </c>
      <c r="F32" s="141">
        <f>H31*I31</f>
        <v>49.5</v>
      </c>
      <c r="P32" s="6" t="s">
        <v>107</v>
      </c>
      <c r="Q32" s="6">
        <v>350</v>
      </c>
      <c r="R32" s="6">
        <v>330</v>
      </c>
      <c r="S32" s="6">
        <v>320</v>
      </c>
      <c r="T32" s="6">
        <v>490</v>
      </c>
      <c r="V32" s="3">
        <v>15</v>
      </c>
      <c r="W32" s="3">
        <v>11</v>
      </c>
      <c r="Y32" s="3" t="s">
        <v>598</v>
      </c>
      <c r="Z32" s="3">
        <f>VLOOKUP(Z$22,RHS_SUMMARY!$A$9:$AW$14,$V32,FALSE)</f>
        <v>8.8000000000000007</v>
      </c>
      <c r="AA32" s="3">
        <f>VLOOKUP(AA$22,RHS_SUMMARY!$A$9:$AW$14,$V32,FALSE)</f>
        <v>8.8000000000000007</v>
      </c>
      <c r="AB32" s="3">
        <f>VLOOKUP(AB$22,RHS_SUMMARY!$A$9:$AW$14,$V32,FALSE)</f>
        <v>8.8000000000000007</v>
      </c>
      <c r="AC32" s="3">
        <f>VLOOKUP(AC$22,RHS_SUMMARY!$A$9:$AW$14,$V32,FALSE)</f>
        <v>10.9</v>
      </c>
    </row>
    <row r="33" spans="1:29" x14ac:dyDescent="0.3">
      <c r="A33" s="57"/>
      <c r="B33" s="43" t="s">
        <v>112</v>
      </c>
      <c r="C33" s="36" t="s">
        <v>153</v>
      </c>
      <c r="D33" s="84">
        <f>HLOOKUP($K$38,$Z$22:$AD$42,16,FALSE)</f>
        <v>80</v>
      </c>
      <c r="E33" s="3" t="s">
        <v>8</v>
      </c>
      <c r="F33" s="141">
        <f>2.5*D15</f>
        <v>75</v>
      </c>
      <c r="H33" s="6">
        <f>(D42-2*D31)/(D25-1)</f>
        <v>80</v>
      </c>
      <c r="P33" s="6" t="s">
        <v>215</v>
      </c>
      <c r="Q33" s="6">
        <v>410</v>
      </c>
      <c r="R33" s="6">
        <v>390</v>
      </c>
      <c r="S33" s="6">
        <v>380</v>
      </c>
      <c r="T33" s="6">
        <v>540</v>
      </c>
      <c r="V33" s="3">
        <v>17</v>
      </c>
      <c r="W33" s="3">
        <v>12</v>
      </c>
      <c r="Y33" s="3" t="s">
        <v>601</v>
      </c>
      <c r="Z33" s="3">
        <f>VLOOKUP(Z$22,RHS_SUMMARY!$A$9:$AW$14,$V33,FALSE)</f>
        <v>4</v>
      </c>
      <c r="AA33" s="3">
        <f>VLOOKUP(AA$22,RHS_SUMMARY!$A$9:$AW$14,$V33,FALSE)</f>
        <v>5</v>
      </c>
      <c r="AB33" s="3">
        <f>VLOOKUP(AB$22,RHS_SUMMARY!$A$9:$AW$14,$V33,FALSE)</f>
        <v>3</v>
      </c>
      <c r="AC33" s="3">
        <f>VLOOKUP(AC$22,RHS_SUMMARY!$A$9:$AW$14,$V33,FALSE)</f>
        <v>5</v>
      </c>
    </row>
    <row r="34" spans="1:29" x14ac:dyDescent="0.3">
      <c r="A34" s="57"/>
      <c r="B34" s="43" t="s">
        <v>113</v>
      </c>
      <c r="C34" s="36" t="s">
        <v>170</v>
      </c>
      <c r="D34" s="261">
        <f>HLOOKUP($K$38,$Z$22:$AD$42,17,FALSE)</f>
        <v>80</v>
      </c>
      <c r="E34" s="3" t="s">
        <v>8</v>
      </c>
      <c r="F34" s="141">
        <f>2.5*D15</f>
        <v>75</v>
      </c>
      <c r="H34" s="3">
        <f>(D41-2*D32)/(D27+2*D26-1)</f>
        <v>80</v>
      </c>
      <c r="P34" s="6" t="s">
        <v>221</v>
      </c>
      <c r="Q34" s="6">
        <v>450</v>
      </c>
      <c r="R34" s="6">
        <v>430</v>
      </c>
      <c r="S34" s="6">
        <v>420</v>
      </c>
      <c r="T34" s="6">
        <v>570</v>
      </c>
      <c r="V34" s="3">
        <v>19</v>
      </c>
      <c r="W34" s="3">
        <v>13</v>
      </c>
      <c r="Y34" s="3" t="s">
        <v>603</v>
      </c>
      <c r="Z34" s="3">
        <f>VLOOKUP(Z$22,RHS_SUMMARY!$A$9:$AW$14,$V34,FALSE)</f>
        <v>2</v>
      </c>
      <c r="AA34" s="3">
        <f>VLOOKUP(AA$22,RHS_SUMMARY!$A$9:$AW$14,$V34,FALSE)</f>
        <v>2</v>
      </c>
      <c r="AB34" s="3">
        <f>VLOOKUP(AB$22,RHS_SUMMARY!$A$9:$AW$14,$V34,FALSE)</f>
        <v>1</v>
      </c>
      <c r="AC34" s="3">
        <f>VLOOKUP(AC$22,RHS_SUMMARY!$A$9:$AW$14,$V34,FALSE)</f>
        <v>1</v>
      </c>
    </row>
    <row r="35" spans="1:29" x14ac:dyDescent="0.3">
      <c r="A35" s="256"/>
      <c r="B35" s="94"/>
      <c r="C35" s="94"/>
      <c r="D35" s="94"/>
      <c r="E35" s="94"/>
      <c r="F35" s="257"/>
      <c r="P35" s="6" t="s">
        <v>222</v>
      </c>
      <c r="Q35" s="6">
        <v>450</v>
      </c>
      <c r="R35" s="6">
        <v>430</v>
      </c>
      <c r="S35" s="6">
        <v>420</v>
      </c>
      <c r="T35" s="6">
        <v>590</v>
      </c>
      <c r="V35" s="3">
        <v>21</v>
      </c>
      <c r="W35" s="3">
        <v>14</v>
      </c>
      <c r="Y35" s="3" t="s">
        <v>605</v>
      </c>
      <c r="Z35" s="3">
        <f>VLOOKUP(Z$22,RHS_SUMMARY!$A$9:$AW$14,$V35,FALSE)</f>
        <v>50</v>
      </c>
      <c r="AA35" s="3">
        <f>VLOOKUP(AA$22,RHS_SUMMARY!$A$9:$AW$14,$V35,FALSE)</f>
        <v>50</v>
      </c>
      <c r="AB35" s="3">
        <f>VLOOKUP(AB$22,RHS_SUMMARY!$A$9:$AW$14,$V35,FALSE)</f>
        <v>40</v>
      </c>
      <c r="AC35" s="3">
        <f>VLOOKUP(AC$22,RHS_SUMMARY!$A$9:$AW$14,$V35,FALSE)</f>
        <v>50</v>
      </c>
    </row>
    <row r="36" spans="1:29" x14ac:dyDescent="0.3">
      <c r="A36" s="252">
        <v>4</v>
      </c>
      <c r="B36" s="170" t="s">
        <v>452</v>
      </c>
      <c r="C36" s="157"/>
      <c r="D36" s="96"/>
      <c r="E36" s="96"/>
      <c r="F36" s="254"/>
      <c r="V36" s="3">
        <v>22</v>
      </c>
      <c r="W36" s="3">
        <v>15</v>
      </c>
      <c r="Y36" s="3" t="s">
        <v>606</v>
      </c>
      <c r="Z36" s="3">
        <f>VLOOKUP(Z$22,RHS_SUMMARY!$A$9:$AW$14,$V36,FALSE)</f>
        <v>50</v>
      </c>
      <c r="AA36" s="3">
        <f>VLOOKUP(AA$22,RHS_SUMMARY!$A$9:$AW$14,$V36,FALSE)</f>
        <v>50</v>
      </c>
      <c r="AB36" s="3">
        <f>VLOOKUP(AB$22,RHS_SUMMARY!$A$9:$AW$14,$V36,FALSE)</f>
        <v>40</v>
      </c>
      <c r="AC36" s="3">
        <f>VLOOKUP(AC$22,RHS_SUMMARY!$A$9:$AW$14,$V36,FALSE)</f>
        <v>50</v>
      </c>
    </row>
    <row r="37" spans="1:29" x14ac:dyDescent="0.3">
      <c r="A37" s="57"/>
      <c r="B37" s="41" t="s">
        <v>132</v>
      </c>
      <c r="C37" s="36" t="s">
        <v>166</v>
      </c>
      <c r="D37" s="22">
        <f>D12/(D29)</f>
        <v>218.91818181818169</v>
      </c>
      <c r="E37" s="3" t="s">
        <v>19</v>
      </c>
      <c r="F37" s="141"/>
      <c r="V37" s="3">
        <v>23</v>
      </c>
      <c r="W37" s="3">
        <v>16</v>
      </c>
      <c r="Y37" s="3" t="s">
        <v>607</v>
      </c>
      <c r="Z37" s="3">
        <f>VLOOKUP(Z$22,RHS_SUMMARY!$A$9:$AW$14,$V37,FALSE)</f>
        <v>90</v>
      </c>
      <c r="AA37" s="3">
        <f>VLOOKUP(AA$22,RHS_SUMMARY!$A$9:$AW$14,$V37,FALSE)</f>
        <v>80</v>
      </c>
      <c r="AB37" s="3">
        <f>VLOOKUP(AB$22,RHS_SUMMARY!$A$9:$AW$14,$V37,FALSE)</f>
        <v>105</v>
      </c>
      <c r="AC37" s="3">
        <f>VLOOKUP(AC$22,RHS_SUMMARY!$A$9:$AW$14,$V37,FALSE)</f>
        <v>125</v>
      </c>
    </row>
    <row r="38" spans="1:29" x14ac:dyDescent="0.3">
      <c r="A38" s="57"/>
      <c r="B38" s="41" t="s">
        <v>17</v>
      </c>
      <c r="C38" s="36" t="s">
        <v>167</v>
      </c>
      <c r="D38" s="22">
        <f>D11/(D29)</f>
        <v>49.323891201260757</v>
      </c>
      <c r="E38" s="3" t="s">
        <v>19</v>
      </c>
      <c r="F38" s="141"/>
      <c r="J38" s="3" t="s">
        <v>292</v>
      </c>
      <c r="K38" s="299">
        <v>2</v>
      </c>
      <c r="L38" s="3">
        <v>1</v>
      </c>
      <c r="M38" s="3">
        <v>2</v>
      </c>
      <c r="N38" s="3">
        <v>3</v>
      </c>
      <c r="O38" s="3">
        <v>4</v>
      </c>
      <c r="V38" s="3">
        <v>24</v>
      </c>
      <c r="W38" s="3">
        <v>17</v>
      </c>
      <c r="Y38" s="3" t="s">
        <v>608</v>
      </c>
      <c r="Z38" s="3">
        <f>VLOOKUP(Z$22,RHS_SUMMARY!$A$9:$AW$14,$V38,FALSE)</f>
        <v>90</v>
      </c>
      <c r="AA38" s="3">
        <f>VLOOKUP(AA$22,RHS_SUMMARY!$A$9:$AW$14,$V38,FALSE)</f>
        <v>80</v>
      </c>
      <c r="AB38" s="3">
        <f>VLOOKUP(AB$22,RHS_SUMMARY!$A$9:$AW$14,$V38,FALSE)</f>
        <v>105</v>
      </c>
      <c r="AC38" s="3">
        <f>VLOOKUP(AC$22,RHS_SUMMARY!$A$9:$AW$14,$V38,FALSE)</f>
        <v>150</v>
      </c>
    </row>
    <row r="39" spans="1:29" x14ac:dyDescent="0.3">
      <c r="A39" s="256"/>
      <c r="B39" s="154"/>
      <c r="C39" s="155"/>
      <c r="D39" s="163"/>
      <c r="E39" s="94"/>
      <c r="F39" s="257"/>
      <c r="H39" s="3">
        <v>1</v>
      </c>
      <c r="J39" s="3" t="s">
        <v>344</v>
      </c>
      <c r="K39" s="299" t="str">
        <f>D3</f>
        <v>BOX_ISMC250</v>
      </c>
      <c r="L39" s="3" t="str">
        <f t="dataTable" ref="L39:O62" dt2D="0" dtr="1" r1="K38" ca="1"/>
        <v>SHS200X12</v>
      </c>
      <c r="M39" s="3" t="str">
        <v>BOX_ISMC250</v>
      </c>
      <c r="N39" s="3" t="str">
        <v>BOX_ISMC150</v>
      </c>
      <c r="O39" s="3" t="str">
        <v>BOX_ISMC400</v>
      </c>
      <c r="V39" s="3">
        <v>35</v>
      </c>
      <c r="W39" s="3">
        <v>18</v>
      </c>
      <c r="X39" s="3" t="s">
        <v>342</v>
      </c>
      <c r="Y39" s="3" t="s">
        <v>358</v>
      </c>
      <c r="Z39" s="3">
        <f>VLOOKUP(Z$22,RHS_SUMMARY!$A$9:$AW$14,$V39,FALSE)</f>
        <v>40</v>
      </c>
      <c r="AA39" s="3">
        <f>VLOOKUP(AA$22,RHS_SUMMARY!$A$9:$AW$14,$V39,FALSE)</f>
        <v>40</v>
      </c>
      <c r="AB39" s="3">
        <f>VLOOKUP(AB$22,RHS_SUMMARY!$A$9:$AW$14,$V39,FALSE)</f>
        <v>32</v>
      </c>
      <c r="AC39" s="3">
        <f>VLOOKUP(AC$22,RHS_SUMMARY!$A$9:$AW$14,$V39,FALSE)</f>
        <v>36</v>
      </c>
    </row>
    <row r="40" spans="1:29" x14ac:dyDescent="0.3">
      <c r="A40" s="252">
        <v>5</v>
      </c>
      <c r="B40" s="170" t="s">
        <v>451</v>
      </c>
      <c r="C40" s="96"/>
      <c r="D40" s="96"/>
      <c r="E40" s="96"/>
      <c r="F40" s="254"/>
      <c r="H40" s="3">
        <v>2</v>
      </c>
      <c r="I40" s="3" t="s">
        <v>463</v>
      </c>
      <c r="J40" s="3" t="s">
        <v>600</v>
      </c>
      <c r="K40" s="299">
        <f>F25</f>
        <v>5</v>
      </c>
      <c r="L40" s="3">
        <v>4</v>
      </c>
      <c r="M40" s="3">
        <v>5</v>
      </c>
      <c r="N40" s="3">
        <v>3</v>
      </c>
      <c r="O40" s="3">
        <v>5</v>
      </c>
      <c r="V40" s="3">
        <v>39</v>
      </c>
      <c r="W40" s="3">
        <v>19</v>
      </c>
      <c r="X40" s="3" t="s">
        <v>616</v>
      </c>
      <c r="Y40" s="3" t="s">
        <v>594</v>
      </c>
      <c r="Z40" s="3">
        <f>VLOOKUP(Z$22,RHS_SUMMARY!$A$9:$AW$14,$V40,FALSE)</f>
        <v>100</v>
      </c>
      <c r="AA40" s="3">
        <f>VLOOKUP(AA$22,RHS_SUMMARY!$A$9:$AW$14,$V40,FALSE)</f>
        <v>100</v>
      </c>
      <c r="AB40" s="3">
        <f>VLOOKUP(AB$22,RHS_SUMMARY!$A$9:$AW$14,$V40,FALSE)</f>
        <v>100</v>
      </c>
      <c r="AC40" s="3">
        <f>VLOOKUP(AC$22,RHS_SUMMARY!$A$9:$AW$14,$V40,FALSE)</f>
        <v>125</v>
      </c>
    </row>
    <row r="41" spans="1:29" x14ac:dyDescent="0.3">
      <c r="A41" s="57"/>
      <c r="B41" s="41" t="s">
        <v>2</v>
      </c>
      <c r="C41" s="36"/>
      <c r="D41" s="3">
        <f>(D27+D26)*D34+2*D32</f>
        <v>340</v>
      </c>
      <c r="E41" s="3" t="s">
        <v>8</v>
      </c>
      <c r="F41" s="141">
        <f>MAX(CEILING(D4+2*(2*D32+(D26-1)*D34),5),(D26+D27)*D34+2*D32)</f>
        <v>360</v>
      </c>
      <c r="H41" s="3">
        <v>3</v>
      </c>
      <c r="J41" s="3" t="s">
        <v>602</v>
      </c>
      <c r="K41" s="299">
        <f>F27</f>
        <v>2</v>
      </c>
      <c r="L41" s="3">
        <v>2</v>
      </c>
      <c r="M41" s="3">
        <v>2</v>
      </c>
      <c r="N41" s="3">
        <v>1</v>
      </c>
      <c r="O41" s="3">
        <v>1</v>
      </c>
      <c r="V41" s="3">
        <v>41</v>
      </c>
      <c r="W41" s="3">
        <v>20</v>
      </c>
      <c r="Y41" s="3" t="s">
        <v>358</v>
      </c>
      <c r="Z41" s="3">
        <f>VLOOKUP(Z$22,RHS_SUMMARY!$A$9:$AW$14,$V41,FALSE)</f>
        <v>10</v>
      </c>
      <c r="AA41" s="3">
        <f>VLOOKUP(AA$22,RHS_SUMMARY!$A$9:$AW$14,$V41,FALSE)</f>
        <v>8</v>
      </c>
      <c r="AB41" s="3">
        <f>VLOOKUP(AB$22,RHS_SUMMARY!$A$9:$AW$14,$V41,FALSE)</f>
        <v>8</v>
      </c>
      <c r="AC41" s="3">
        <f>VLOOKUP(AC$22,RHS_SUMMARY!$A$9:$AW$14,$V41,FALSE)</f>
        <v>20</v>
      </c>
    </row>
    <row r="42" spans="1:29" x14ac:dyDescent="0.3">
      <c r="A42" s="57"/>
      <c r="B42" s="41" t="s">
        <v>1</v>
      </c>
      <c r="C42" s="36"/>
      <c r="D42" s="261">
        <f>(D25-1)*D33+2*D31</f>
        <v>420</v>
      </c>
      <c r="E42" s="3" t="s">
        <v>8</v>
      </c>
      <c r="F42" s="141">
        <f>D33*(D27-1)+2*D31</f>
        <v>180</v>
      </c>
      <c r="H42" s="3">
        <v>4</v>
      </c>
      <c r="J42" s="3" t="s">
        <v>604</v>
      </c>
      <c r="K42" s="299">
        <f>D29</f>
        <v>14</v>
      </c>
      <c r="L42" s="3">
        <v>12</v>
      </c>
      <c r="M42" s="3">
        <v>14</v>
      </c>
      <c r="N42" s="3">
        <v>8</v>
      </c>
      <c r="O42" s="3">
        <v>12</v>
      </c>
      <c r="V42" s="3">
        <v>48</v>
      </c>
      <c r="W42" s="3">
        <v>21</v>
      </c>
      <c r="Y42" s="3" t="s">
        <v>617</v>
      </c>
      <c r="Z42" s="3">
        <f>VLOOKUP(Z$22,RHS_SUMMARY!$A$9:$AW$14,$V42,FALSE)</f>
        <v>8</v>
      </c>
      <c r="AA42" s="3">
        <f>VLOOKUP(AA$22,RHS_SUMMARY!$A$9:$AW$14,$V42,FALSE)</f>
        <v>6</v>
      </c>
      <c r="AB42" s="3">
        <f>VLOOKUP(AB$22,RHS_SUMMARY!$A$9:$AW$14,$V42,FALSE)</f>
        <v>6</v>
      </c>
      <c r="AC42" s="3">
        <f>VLOOKUP(AC$22,RHS_SUMMARY!$A$9:$AW$14,$V42,FALSE)</f>
        <v>16</v>
      </c>
    </row>
    <row r="43" spans="1:29" x14ac:dyDescent="0.3">
      <c r="A43" s="57"/>
      <c r="B43" s="41" t="s">
        <v>3</v>
      </c>
      <c r="C43" s="36"/>
      <c r="D43" s="84">
        <f>HLOOKUP($K$38,$Z$22:$AD$42,18,FALSE)</f>
        <v>40</v>
      </c>
      <c r="E43" s="3" t="s">
        <v>8</v>
      </c>
      <c r="F43" s="141" t="str">
        <f ca="1">IF(D43&gt;=D144,"OK","Check")</f>
        <v>OK</v>
      </c>
      <c r="H43" s="3">
        <v>5</v>
      </c>
      <c r="J43" s="3" t="s">
        <v>609</v>
      </c>
      <c r="K43" s="299">
        <f>H33</f>
        <v>80</v>
      </c>
      <c r="L43" s="3">
        <v>90</v>
      </c>
      <c r="M43" s="3">
        <v>80</v>
      </c>
      <c r="N43" s="3">
        <v>105</v>
      </c>
      <c r="O43" s="3">
        <v>125</v>
      </c>
    </row>
    <row r="44" spans="1:29" x14ac:dyDescent="0.3">
      <c r="A44" s="57"/>
      <c r="B44" s="41" t="s">
        <v>0</v>
      </c>
      <c r="C44" s="36"/>
      <c r="D44" s="262" t="s">
        <v>107</v>
      </c>
      <c r="F44" s="141"/>
      <c r="H44" s="3">
        <v>6</v>
      </c>
      <c r="J44" s="3" t="s">
        <v>610</v>
      </c>
      <c r="K44" s="299">
        <f>H34</f>
        <v>80</v>
      </c>
      <c r="L44" s="3">
        <v>90</v>
      </c>
      <c r="M44" s="3">
        <v>80</v>
      </c>
      <c r="N44" s="3">
        <v>105</v>
      </c>
      <c r="O44" s="3">
        <v>150</v>
      </c>
    </row>
    <row r="45" spans="1:29" x14ac:dyDescent="0.3">
      <c r="A45" s="57"/>
      <c r="B45" s="41" t="s">
        <v>156</v>
      </c>
      <c r="C45" s="36" t="s">
        <v>5</v>
      </c>
      <c r="D45" s="3">
        <f>VLOOKUP($D$44,$P$29:$T$35,5,FALSE)</f>
        <v>490</v>
      </c>
      <c r="E45" s="3" t="s">
        <v>7</v>
      </c>
      <c r="F45" s="141"/>
      <c r="H45" s="3">
        <v>7</v>
      </c>
      <c r="J45" s="3" t="s">
        <v>611</v>
      </c>
      <c r="K45" s="300">
        <f>D37</f>
        <v>218.91818181818169</v>
      </c>
      <c r="L45" s="22">
        <v>299.09090909090901</v>
      </c>
      <c r="M45" s="22">
        <v>218.91818181818169</v>
      </c>
      <c r="N45" s="22">
        <v>209.0454545454545</v>
      </c>
      <c r="O45" s="22">
        <v>712.16515151515148</v>
      </c>
    </row>
    <row r="46" spans="1:29" x14ac:dyDescent="0.3">
      <c r="A46" s="57"/>
      <c r="B46" s="41" t="s">
        <v>158</v>
      </c>
      <c r="C46" s="36" t="s">
        <v>4</v>
      </c>
      <c r="D46" s="3">
        <f>VLOOKUP($D$44,$P$29:$T$35,IF(D43&lt;20,2,IF(D43&lt;=40,3,4)),FALSE)</f>
        <v>330</v>
      </c>
      <c r="E46" s="3" t="s">
        <v>7</v>
      </c>
      <c r="F46" s="141"/>
      <c r="H46" s="3">
        <v>8</v>
      </c>
      <c r="J46" s="3" t="s">
        <v>612</v>
      </c>
      <c r="K46" s="300">
        <f>D64</f>
        <v>329.48646759731315</v>
      </c>
      <c r="L46" s="22">
        <v>329.48646759731315</v>
      </c>
      <c r="M46" s="22">
        <v>329.48646759731315</v>
      </c>
      <c r="N46" s="22">
        <v>210.87133926228043</v>
      </c>
      <c r="O46" s="22">
        <v>809.18700668718475</v>
      </c>
    </row>
    <row r="47" spans="1:29" x14ac:dyDescent="0.3">
      <c r="A47" s="256"/>
      <c r="B47" s="154"/>
      <c r="C47" s="155"/>
      <c r="D47" s="94"/>
      <c r="E47" s="94"/>
      <c r="F47" s="257"/>
      <c r="H47" s="3">
        <v>9</v>
      </c>
      <c r="J47" s="3" t="s">
        <v>614</v>
      </c>
      <c r="K47" s="301">
        <f>D10</f>
        <v>140.6074340363636</v>
      </c>
      <c r="L47" s="22">
        <v>253.37454545454545</v>
      </c>
      <c r="M47" s="22">
        <v>140.6074340363636</v>
      </c>
      <c r="N47" s="22">
        <v>82.09087717090911</v>
      </c>
      <c r="O47" s="22">
        <v>669.32997090909089</v>
      </c>
    </row>
    <row r="48" spans="1:29" x14ac:dyDescent="0.3">
      <c r="A48" s="252">
        <v>6</v>
      </c>
      <c r="B48" s="170" t="s">
        <v>450</v>
      </c>
      <c r="C48" s="157"/>
      <c r="D48" s="96"/>
      <c r="E48" s="96"/>
      <c r="F48" s="254"/>
      <c r="H48" s="3">
        <v>10</v>
      </c>
      <c r="J48" s="3" t="s">
        <v>348</v>
      </c>
      <c r="K48" s="301">
        <f>W141</f>
        <v>412.95637272196575</v>
      </c>
      <c r="L48" s="22">
        <v>375.614573060937</v>
      </c>
      <c r="M48" s="22">
        <v>412.95637272196575</v>
      </c>
      <c r="N48" s="22">
        <v>132.84894373523667</v>
      </c>
      <c r="O48" s="22">
        <v>1213.7805100307769</v>
      </c>
    </row>
    <row r="49" spans="1:15" x14ac:dyDescent="0.3">
      <c r="A49" s="263" t="s">
        <v>175</v>
      </c>
      <c r="B49" s="264" t="s">
        <v>536</v>
      </c>
      <c r="C49" s="36"/>
      <c r="F49" s="141"/>
      <c r="H49" s="3">
        <v>11</v>
      </c>
      <c r="I49" s="3" t="s">
        <v>342</v>
      </c>
      <c r="J49" s="3" t="s">
        <v>563</v>
      </c>
      <c r="K49" s="299">
        <f>K13</f>
        <v>340</v>
      </c>
      <c r="L49" s="3">
        <v>370</v>
      </c>
      <c r="M49" s="3">
        <v>340</v>
      </c>
      <c r="N49" s="3">
        <v>290</v>
      </c>
      <c r="O49" s="3">
        <v>400</v>
      </c>
    </row>
    <row r="50" spans="1:15" x14ac:dyDescent="0.3">
      <c r="A50" s="263" t="s">
        <v>154</v>
      </c>
      <c r="B50" s="43" t="s">
        <v>117</v>
      </c>
      <c r="C50" s="36" t="s">
        <v>173</v>
      </c>
      <c r="D50" s="3" t="s">
        <v>240</v>
      </c>
      <c r="F50" s="141"/>
      <c r="H50" s="3">
        <v>12</v>
      </c>
      <c r="J50" s="3" t="s">
        <v>564</v>
      </c>
      <c r="K50" s="299">
        <f>K14</f>
        <v>420</v>
      </c>
      <c r="L50" s="3">
        <v>370</v>
      </c>
      <c r="M50" s="3">
        <v>420</v>
      </c>
      <c r="N50" s="3">
        <v>290</v>
      </c>
      <c r="O50" s="3">
        <v>600</v>
      </c>
    </row>
    <row r="51" spans="1:15" x14ac:dyDescent="0.3">
      <c r="A51" s="263"/>
      <c r="B51" s="41"/>
      <c r="D51" s="38">
        <f>D18*(D23*D21+D24*D22)/(SQRT(3)*1.25*1000)</f>
        <v>211.36566751294185</v>
      </c>
      <c r="E51" s="39" t="s">
        <v>19</v>
      </c>
      <c r="F51" s="141"/>
      <c r="H51" s="3">
        <v>13</v>
      </c>
      <c r="J51" s="3" t="s">
        <v>501</v>
      </c>
      <c r="K51" s="300">
        <f>D105</f>
        <v>38.202808083366655</v>
      </c>
      <c r="L51" s="22">
        <v>39.380728165458677</v>
      </c>
      <c r="M51" s="22">
        <v>38.202808083366655</v>
      </c>
      <c r="N51" s="22">
        <v>28.219915598095543</v>
      </c>
      <c r="O51" s="22">
        <v>61.62965310152363</v>
      </c>
    </row>
    <row r="52" spans="1:15" x14ac:dyDescent="0.3">
      <c r="A52" s="263" t="s">
        <v>78</v>
      </c>
      <c r="B52" s="43" t="s">
        <v>122</v>
      </c>
      <c r="C52" s="36" t="s">
        <v>172</v>
      </c>
      <c r="D52" s="3" t="s">
        <v>124</v>
      </c>
      <c r="F52" s="141"/>
      <c r="H52" s="3">
        <v>14</v>
      </c>
      <c r="J52" s="3" t="s">
        <v>618</v>
      </c>
      <c r="K52" s="302">
        <f ca="1">D145</f>
        <v>16</v>
      </c>
      <c r="L52" s="3">
        <v>20</v>
      </c>
      <c r="M52" s="3">
        <v>16</v>
      </c>
      <c r="N52" s="3">
        <v>20</v>
      </c>
      <c r="O52" s="3">
        <v>36</v>
      </c>
    </row>
    <row r="53" spans="1:15" x14ac:dyDescent="0.3">
      <c r="A53" s="265"/>
      <c r="B53" s="64" t="s">
        <v>123</v>
      </c>
      <c r="C53" s="36"/>
      <c r="D53" s="3" t="s">
        <v>125</v>
      </c>
      <c r="F53" s="141"/>
      <c r="H53" s="3">
        <v>15</v>
      </c>
      <c r="I53" s="3" t="s">
        <v>619</v>
      </c>
      <c r="J53" s="3" t="s">
        <v>563</v>
      </c>
      <c r="K53" s="303">
        <f>D138</f>
        <v>90</v>
      </c>
      <c r="L53" s="3">
        <v>85</v>
      </c>
      <c r="M53" s="3">
        <v>90</v>
      </c>
      <c r="N53" s="3">
        <v>70</v>
      </c>
      <c r="O53" s="3">
        <v>100</v>
      </c>
    </row>
    <row r="54" spans="1:15" x14ac:dyDescent="0.3">
      <c r="A54" s="265"/>
      <c r="B54" s="64"/>
      <c r="D54" s="22">
        <f>MIN((D32/(3*D16)),(D34/(3*D16)-0.25),D18/D45,1)</f>
        <v>0.50505050505050508</v>
      </c>
      <c r="F54" s="141"/>
      <c r="H54" s="3">
        <v>16</v>
      </c>
      <c r="J54" s="3" t="s">
        <v>362</v>
      </c>
      <c r="K54" s="299">
        <f>D130</f>
        <v>4</v>
      </c>
      <c r="L54" s="3">
        <v>4</v>
      </c>
      <c r="M54" s="3">
        <v>4</v>
      </c>
      <c r="N54" s="3">
        <v>4</v>
      </c>
      <c r="O54" s="3">
        <v>4</v>
      </c>
    </row>
    <row r="55" spans="1:15" x14ac:dyDescent="0.3">
      <c r="A55" s="265"/>
      <c r="B55" s="64" t="s">
        <v>43</v>
      </c>
      <c r="C55" s="36"/>
      <c r="D55" s="37">
        <f>D43</f>
        <v>40</v>
      </c>
      <c r="E55" s="3" t="s">
        <v>8</v>
      </c>
      <c r="F55" s="141"/>
      <c r="H55" s="3">
        <v>17</v>
      </c>
      <c r="J55" s="3" t="s">
        <v>433</v>
      </c>
      <c r="K55" s="300">
        <f>D157</f>
        <v>80.85897276458148</v>
      </c>
      <c r="L55" s="22">
        <v>82.576823232279523</v>
      </c>
      <c r="M55" s="22">
        <v>80.85897276458148</v>
      </c>
      <c r="N55" s="22">
        <v>65.452572547315043</v>
      </c>
      <c r="O55" s="22">
        <v>111.53916127725815</v>
      </c>
    </row>
    <row r="56" spans="1:15" x14ac:dyDescent="0.3">
      <c r="A56" s="265"/>
      <c r="D56" s="38">
        <f>2.5*D54*D15*D55*D45/1000</f>
        <v>742.42424242424238</v>
      </c>
      <c r="E56" s="39" t="s">
        <v>19</v>
      </c>
      <c r="F56" s="141"/>
      <c r="H56" s="3">
        <v>18</v>
      </c>
      <c r="J56" s="3" t="s">
        <v>434</v>
      </c>
      <c r="K56" s="300">
        <f>D158</f>
        <v>193.16310160427798</v>
      </c>
      <c r="L56" s="22">
        <v>200.55913407264754</v>
      </c>
      <c r="M56" s="22">
        <v>193.16310160427798</v>
      </c>
      <c r="N56" s="22">
        <v>182.69727597016535</v>
      </c>
      <c r="O56" s="22">
        <v>213.6495454545454</v>
      </c>
    </row>
    <row r="57" spans="1:15" x14ac:dyDescent="0.3">
      <c r="A57" s="265"/>
      <c r="B57" s="266" t="s">
        <v>126</v>
      </c>
      <c r="C57" s="267" t="s">
        <v>174</v>
      </c>
      <c r="D57" s="40">
        <f>MIN(D51,D56)</f>
        <v>211.36566751294185</v>
      </c>
      <c r="E57" s="24" t="s">
        <v>19</v>
      </c>
      <c r="F57" s="141" t="str">
        <f>IF(D57&gt;D38,"OK","Check")</f>
        <v>OK</v>
      </c>
      <c r="H57" s="3">
        <v>19</v>
      </c>
      <c r="J57" s="3" t="s">
        <v>432</v>
      </c>
      <c r="K57" s="300">
        <f>D160</f>
        <v>318.18181818181813</v>
      </c>
      <c r="L57" s="22">
        <v>318.18181818181813</v>
      </c>
      <c r="M57" s="22">
        <v>318.18181818181813</v>
      </c>
      <c r="N57" s="22">
        <v>318.18181818181813</v>
      </c>
      <c r="O57" s="22">
        <v>300</v>
      </c>
    </row>
    <row r="58" spans="1:15" x14ac:dyDescent="0.3">
      <c r="A58" s="265"/>
      <c r="F58" s="141"/>
      <c r="H58" s="3">
        <v>20</v>
      </c>
      <c r="J58" s="3" t="s">
        <v>435</v>
      </c>
      <c r="K58" s="300">
        <f>D159</f>
        <v>226.32130552233332</v>
      </c>
      <c r="L58" s="22">
        <v>226.32130552233332</v>
      </c>
      <c r="M58" s="22">
        <v>226.32130552233332</v>
      </c>
      <c r="N58" s="22">
        <v>226.32130552233332</v>
      </c>
      <c r="O58" s="22">
        <v>226.32130552233332</v>
      </c>
    </row>
    <row r="59" spans="1:15" x14ac:dyDescent="0.3">
      <c r="A59" s="263" t="s">
        <v>176</v>
      </c>
      <c r="B59" s="268" t="s">
        <v>537</v>
      </c>
      <c r="C59" s="36"/>
      <c r="F59" s="141"/>
      <c r="H59" s="3">
        <v>21</v>
      </c>
      <c r="J59" s="3" t="s">
        <v>436</v>
      </c>
      <c r="K59" s="302">
        <f>D173</f>
        <v>5.7252784037313758</v>
      </c>
      <c r="L59" s="22">
        <v>7.3367964471773286</v>
      </c>
      <c r="M59" s="22">
        <v>5.7252784037313758</v>
      </c>
      <c r="N59" s="22">
        <v>5.098404367101379</v>
      </c>
      <c r="O59" s="22">
        <v>15.412405986725069</v>
      </c>
    </row>
    <row r="60" spans="1:15" x14ac:dyDescent="0.3">
      <c r="A60" s="263"/>
      <c r="B60" s="267"/>
      <c r="C60" s="3" t="s">
        <v>251</v>
      </c>
      <c r="D60" s="3" t="s">
        <v>223</v>
      </c>
      <c r="F60" s="141"/>
      <c r="H60" s="3">
        <v>22</v>
      </c>
      <c r="I60" s="3" t="s">
        <v>627</v>
      </c>
      <c r="J60" s="3" t="s">
        <v>624</v>
      </c>
      <c r="K60" s="323">
        <f>D12</f>
        <v>3064.8545454545438</v>
      </c>
      <c r="L60" s="22">
        <v>3589.0909090909081</v>
      </c>
      <c r="M60" s="22">
        <v>3064.8545454545438</v>
      </c>
      <c r="N60" s="22">
        <v>1672.363636363636</v>
      </c>
      <c r="O60" s="22">
        <v>8545.9818181818173</v>
      </c>
    </row>
    <row r="61" spans="1:15" x14ac:dyDescent="0.3">
      <c r="A61" s="263"/>
      <c r="B61" s="267"/>
      <c r="D61" s="22">
        <f>0.9*D18*D21/(1.25*1000)</f>
        <v>329.48646759731315</v>
      </c>
      <c r="E61" s="3" t="s">
        <v>19</v>
      </c>
      <c r="F61" s="141"/>
      <c r="H61" s="3">
        <v>23</v>
      </c>
      <c r="J61" s="3" t="s">
        <v>625</v>
      </c>
      <c r="K61" s="323">
        <f>D11</f>
        <v>690.53447681765056</v>
      </c>
      <c r="L61" s="22">
        <v>1036.0813012548376</v>
      </c>
      <c r="M61" s="22">
        <v>690.53447681765056</v>
      </c>
      <c r="N61" s="22">
        <v>482.76979781874337</v>
      </c>
      <c r="O61" s="22">
        <v>1644.6749677389732</v>
      </c>
    </row>
    <row r="62" spans="1:15" x14ac:dyDescent="0.3">
      <c r="A62" s="263"/>
      <c r="B62" s="267"/>
      <c r="C62" s="3" t="s">
        <v>252</v>
      </c>
      <c r="D62" s="3" t="s">
        <v>470</v>
      </c>
      <c r="F62" s="269"/>
      <c r="H62" s="3">
        <v>24</v>
      </c>
      <c r="J62" s="3" t="s">
        <v>626</v>
      </c>
      <c r="K62" s="323">
        <f>D10</f>
        <v>140.6074340363636</v>
      </c>
      <c r="L62" s="22">
        <v>253.37454545454545</v>
      </c>
      <c r="M62" s="22">
        <v>140.6074340363636</v>
      </c>
      <c r="N62" s="22">
        <v>82.09087717090911</v>
      </c>
      <c r="O62" s="22">
        <v>669.32997090909089</v>
      </c>
    </row>
    <row r="63" spans="1:15" x14ac:dyDescent="0.3">
      <c r="A63" s="263"/>
      <c r="B63" s="267"/>
      <c r="D63" s="22">
        <f>D19*D22/(1.1*1000)</f>
        <v>424.11500823462205</v>
      </c>
      <c r="E63" s="3" t="s">
        <v>19</v>
      </c>
      <c r="F63" s="269"/>
    </row>
    <row r="64" spans="1:15" x14ac:dyDescent="0.3">
      <c r="A64" s="263"/>
      <c r="B64" s="266" t="s">
        <v>127</v>
      </c>
      <c r="C64" s="24" t="s">
        <v>166</v>
      </c>
      <c r="D64" s="40">
        <f>MIN(D61:D63)</f>
        <v>329.48646759731315</v>
      </c>
      <c r="E64" s="24" t="s">
        <v>19</v>
      </c>
      <c r="F64" s="269"/>
    </row>
    <row r="65" spans="1:8" x14ac:dyDescent="0.3">
      <c r="A65" s="57"/>
      <c r="F65" s="141" t="str">
        <f>IF(D64&gt;=D37,"OK","Check")</f>
        <v>OK</v>
      </c>
    </row>
    <row r="66" spans="1:8" x14ac:dyDescent="0.3">
      <c r="A66" s="57"/>
      <c r="B66" s="3" t="s">
        <v>129</v>
      </c>
      <c r="D66" s="3" t="s">
        <v>130</v>
      </c>
      <c r="F66" s="141"/>
    </row>
    <row r="67" spans="1:8" x14ac:dyDescent="0.3">
      <c r="A67" s="57"/>
      <c r="D67" s="38">
        <f>(D38/D57)^2+(D37/D64)^2</f>
        <v>0.49591309858013394</v>
      </c>
      <c r="F67" s="141" t="str">
        <f>IF(D67&lt;1,"OK","Check")</f>
        <v>OK</v>
      </c>
    </row>
    <row r="68" spans="1:8" x14ac:dyDescent="0.3">
      <c r="A68" s="256"/>
      <c r="B68" s="94"/>
      <c r="C68" s="94"/>
      <c r="D68" s="168"/>
      <c r="E68" s="94"/>
      <c r="F68" s="257"/>
    </row>
    <row r="69" spans="1:8" x14ac:dyDescent="0.3">
      <c r="A69" s="252">
        <v>7</v>
      </c>
      <c r="B69" s="170" t="s">
        <v>449</v>
      </c>
      <c r="C69" s="96"/>
      <c r="D69" s="96"/>
      <c r="E69" s="96"/>
      <c r="F69" s="254"/>
    </row>
    <row r="70" spans="1:8" x14ac:dyDescent="0.3">
      <c r="A70" s="57"/>
      <c r="B70" s="41" t="s">
        <v>147</v>
      </c>
      <c r="F70" s="141"/>
    </row>
    <row r="71" spans="1:8" x14ac:dyDescent="0.3">
      <c r="A71" s="57"/>
      <c r="B71" s="43" t="s">
        <v>132</v>
      </c>
      <c r="D71" s="22">
        <f>D37</f>
        <v>218.91818181818169</v>
      </c>
      <c r="E71" s="3" t="s">
        <v>19</v>
      </c>
      <c r="F71" s="141"/>
    </row>
    <row r="72" spans="1:8" x14ac:dyDescent="0.3">
      <c r="A72" s="57"/>
      <c r="B72" s="43" t="s">
        <v>145</v>
      </c>
      <c r="D72" s="22">
        <f>D64-D71</f>
        <v>110.56828577913146</v>
      </c>
      <c r="E72" s="3" t="s">
        <v>19</v>
      </c>
      <c r="F72" s="141"/>
    </row>
    <row r="73" spans="1:8" x14ac:dyDescent="0.3">
      <c r="A73" s="57"/>
      <c r="B73" s="43" t="s">
        <v>135</v>
      </c>
      <c r="D73" s="3">
        <f>IF(F3="CHS",MAX((D42-D4)/2-D31,(D41-D4)/2-D32),MAX((D42-D5)/2-D31-(D28-1)*D33/2,(D41-D4)/2-D32-(D26-1)*D34/2))</f>
        <v>40</v>
      </c>
      <c r="E73" s="3" t="s">
        <v>8</v>
      </c>
      <c r="F73" s="141" t="s">
        <v>241</v>
      </c>
      <c r="H73" s="37"/>
    </row>
    <row r="74" spans="1:8" x14ac:dyDescent="0.3">
      <c r="A74" s="57"/>
      <c r="B74" s="43" t="s">
        <v>60</v>
      </c>
      <c r="D74" s="22">
        <f>D71*D73/1000</f>
        <v>8.756727272727268</v>
      </c>
      <c r="E74" s="3" t="s">
        <v>16</v>
      </c>
      <c r="F74" s="141"/>
    </row>
    <row r="75" spans="1:8" x14ac:dyDescent="0.3">
      <c r="A75" s="57"/>
      <c r="B75" s="43" t="s">
        <v>148</v>
      </c>
      <c r="D75" s="270">
        <f>SQRT(4*D74*1000^2*1.25/(1*D46*D42))</f>
        <v>17.773554857227872</v>
      </c>
      <c r="E75" s="3" t="s">
        <v>8</v>
      </c>
      <c r="F75" s="141" t="str">
        <f>IF(D75&lt;=D43,"OK","Check")</f>
        <v>OK</v>
      </c>
    </row>
    <row r="76" spans="1:8" x14ac:dyDescent="0.3">
      <c r="A76" s="57"/>
      <c r="F76" s="141"/>
    </row>
    <row r="77" spans="1:8" x14ac:dyDescent="0.3">
      <c r="A77" s="57"/>
      <c r="B77" s="41" t="s">
        <v>133</v>
      </c>
      <c r="D77" s="3" t="s">
        <v>134</v>
      </c>
      <c r="F77" s="141"/>
    </row>
    <row r="78" spans="1:8" x14ac:dyDescent="0.3">
      <c r="A78" s="57"/>
      <c r="B78" s="43" t="s">
        <v>135</v>
      </c>
      <c r="D78" s="3">
        <f>IF(F3="CHS",MAX((D42-D4)/2-D31,(D41-D4)/2-D32),MAX((D42-D5)/2-D31,(D41-D4)/2-D32))</f>
        <v>40</v>
      </c>
      <c r="E78" s="3" t="s">
        <v>8</v>
      </c>
      <c r="F78" s="141"/>
    </row>
    <row r="79" spans="1:8" x14ac:dyDescent="0.3">
      <c r="A79" s="57"/>
      <c r="B79" s="43" t="s">
        <v>136</v>
      </c>
      <c r="D79" s="3" t="s">
        <v>137</v>
      </c>
      <c r="F79" s="141"/>
    </row>
    <row r="80" spans="1:8" x14ac:dyDescent="0.3">
      <c r="A80" s="57"/>
      <c r="B80" s="43"/>
      <c r="D80" s="22">
        <f>MIN(1.1*D86*SQRT((D81*D85)/D46),D31,D32)</f>
        <v>50</v>
      </c>
      <c r="E80" s="3" t="s">
        <v>8</v>
      </c>
      <c r="F80" s="141"/>
    </row>
    <row r="81" spans="1:29" x14ac:dyDescent="0.3">
      <c r="A81" s="57"/>
      <c r="B81" s="43" t="s">
        <v>45</v>
      </c>
      <c r="D81" s="3">
        <v>2</v>
      </c>
      <c r="F81" s="141"/>
    </row>
    <row r="82" spans="1:29" x14ac:dyDescent="0.3">
      <c r="A82" s="57"/>
      <c r="B82" s="43" t="s">
        <v>138</v>
      </c>
      <c r="D82" s="3">
        <v>1.5</v>
      </c>
      <c r="F82" s="141"/>
    </row>
    <row r="83" spans="1:29" x14ac:dyDescent="0.3">
      <c r="A83" s="57"/>
      <c r="B83" s="43" t="s">
        <v>139</v>
      </c>
      <c r="D83" s="3">
        <f>D42</f>
        <v>420</v>
      </c>
      <c r="E83" s="3" t="s">
        <v>8</v>
      </c>
      <c r="F83" s="141"/>
    </row>
    <row r="84" spans="1:29" x14ac:dyDescent="0.3">
      <c r="A84" s="57"/>
      <c r="B84" s="43" t="s">
        <v>140</v>
      </c>
      <c r="D84" s="3" t="s">
        <v>141</v>
      </c>
      <c r="F84" s="141" t="s">
        <v>142</v>
      </c>
      <c r="R84" s="44" t="s">
        <v>239</v>
      </c>
      <c r="S84" s="3">
        <f>D25</f>
        <v>5</v>
      </c>
    </row>
    <row r="85" spans="1:29" x14ac:dyDescent="0.3">
      <c r="A85" s="57"/>
      <c r="B85" s="43"/>
      <c r="D85" s="3">
        <f>0.7*D19</f>
        <v>461.99999999999994</v>
      </c>
      <c r="E85" s="3" t="s">
        <v>7</v>
      </c>
      <c r="F85" s="141"/>
      <c r="R85" s="44" t="s">
        <v>243</v>
      </c>
      <c r="S85" s="3">
        <f>D26</f>
        <v>1</v>
      </c>
    </row>
    <row r="86" spans="1:29" x14ac:dyDescent="0.3">
      <c r="A86" s="57"/>
      <c r="B86" s="43" t="s">
        <v>43</v>
      </c>
      <c r="D86" s="3">
        <f>D43</f>
        <v>40</v>
      </c>
      <c r="E86" s="3" t="s">
        <v>8</v>
      </c>
      <c r="F86" s="141"/>
      <c r="R86" s="44" t="s">
        <v>224</v>
      </c>
      <c r="S86" s="3">
        <f>D27</f>
        <v>2</v>
      </c>
    </row>
    <row r="87" spans="1:29" x14ac:dyDescent="0.3">
      <c r="A87" s="57"/>
      <c r="B87" s="43" t="s">
        <v>143</v>
      </c>
      <c r="D87" s="271">
        <f>(D78/(2*D80))*((D12/2)-(D81*D82*D85*D83*D86^4)/(27*D80*D78^2))/1000</f>
        <v>-275.35502909090906</v>
      </c>
      <c r="E87" s="3" t="s">
        <v>19</v>
      </c>
      <c r="F87" s="141"/>
      <c r="R87" s="44" t="s">
        <v>225</v>
      </c>
      <c r="S87" s="3">
        <f>D28</f>
        <v>1</v>
      </c>
      <c r="U87" s="3" t="s">
        <v>538</v>
      </c>
    </row>
    <row r="88" spans="1:29" x14ac:dyDescent="0.3">
      <c r="A88" s="57"/>
      <c r="B88" s="41" t="s">
        <v>145</v>
      </c>
      <c r="D88" s="22">
        <f>D64-D37</f>
        <v>110.56828577913146</v>
      </c>
      <c r="E88" s="3" t="s">
        <v>19</v>
      </c>
      <c r="F88" s="141"/>
      <c r="R88" s="44" t="s">
        <v>226</v>
      </c>
      <c r="S88" s="3">
        <f>D29</f>
        <v>14</v>
      </c>
      <c r="U88" s="3" t="s">
        <v>2</v>
      </c>
      <c r="V88" s="3">
        <f>D41</f>
        <v>340</v>
      </c>
      <c r="X88" s="3" t="s">
        <v>8</v>
      </c>
    </row>
    <row r="89" spans="1:29" x14ac:dyDescent="0.3">
      <c r="A89" s="57"/>
      <c r="B89" s="41" t="s">
        <v>146</v>
      </c>
      <c r="D89" s="22">
        <f>ABS(D87)</f>
        <v>275.35502909090906</v>
      </c>
      <c r="E89" s="3" t="s">
        <v>19</v>
      </c>
      <c r="F89" s="141" t="str">
        <f>IF(D89&lt;=D88,"OK","Check")</f>
        <v>Check</v>
      </c>
      <c r="R89" s="272" t="s">
        <v>115</v>
      </c>
      <c r="S89" s="3">
        <f>D31</f>
        <v>50</v>
      </c>
      <c r="U89" s="3" t="s">
        <v>1</v>
      </c>
      <c r="V89" s="37">
        <f>D42</f>
        <v>420</v>
      </c>
      <c r="W89" s="37"/>
      <c r="X89" s="3" t="s">
        <v>8</v>
      </c>
    </row>
    <row r="90" spans="1:29" x14ac:dyDescent="0.3">
      <c r="A90" s="57"/>
      <c r="B90" s="41" t="s">
        <v>144</v>
      </c>
      <c r="D90" s="22">
        <f>D37+IF(D87&lt;0,0,ABS(D89))</f>
        <v>218.91818181818169</v>
      </c>
      <c r="E90" s="3" t="s">
        <v>19</v>
      </c>
      <c r="F90" s="141"/>
      <c r="R90" s="272" t="s">
        <v>116</v>
      </c>
      <c r="S90" s="3">
        <f>D32</f>
        <v>50</v>
      </c>
    </row>
    <row r="91" spans="1:29" x14ac:dyDescent="0.3">
      <c r="A91" s="57"/>
      <c r="B91" s="41" t="s">
        <v>129</v>
      </c>
      <c r="D91" s="3" t="s">
        <v>130</v>
      </c>
      <c r="F91" s="141"/>
      <c r="R91" s="272" t="s">
        <v>112</v>
      </c>
      <c r="S91" s="3">
        <f>D33</f>
        <v>80</v>
      </c>
    </row>
    <row r="92" spans="1:29" x14ac:dyDescent="0.3">
      <c r="A92" s="57"/>
      <c r="B92" s="41" t="s">
        <v>149</v>
      </c>
      <c r="D92" s="22">
        <f>D38</f>
        <v>49.323891201260757</v>
      </c>
      <c r="E92" s="3" t="s">
        <v>19</v>
      </c>
      <c r="F92" s="141"/>
      <c r="R92" s="272" t="s">
        <v>113</v>
      </c>
      <c r="S92" s="3">
        <f>D34</f>
        <v>80</v>
      </c>
    </row>
    <row r="93" spans="1:29" ht="28.8" x14ac:dyDescent="0.3">
      <c r="A93" s="57"/>
      <c r="B93" s="41" t="s">
        <v>72</v>
      </c>
      <c r="D93" s="22">
        <f>D57</f>
        <v>211.36566751294185</v>
      </c>
      <c r="E93" s="3" t="s">
        <v>19</v>
      </c>
      <c r="F93" s="141"/>
      <c r="M93" s="64" t="s">
        <v>539</v>
      </c>
      <c r="N93" s="3">
        <f>(D26*2+D27)/2</f>
        <v>2</v>
      </c>
      <c r="O93" s="65" t="s">
        <v>540</v>
      </c>
      <c r="V93" s="64" t="s">
        <v>539</v>
      </c>
      <c r="W93" s="64"/>
      <c r="X93" s="3">
        <f>(D25/2)</f>
        <v>2.5</v>
      </c>
      <c r="Y93" s="65" t="s">
        <v>540</v>
      </c>
    </row>
    <row r="94" spans="1:29" x14ac:dyDescent="0.3">
      <c r="A94" s="57"/>
      <c r="B94" s="41" t="s">
        <v>150</v>
      </c>
      <c r="D94" s="22">
        <f>D90</f>
        <v>218.91818181818169</v>
      </c>
      <c r="E94" s="3" t="s">
        <v>19</v>
      </c>
      <c r="F94" s="141"/>
      <c r="L94" s="3">
        <v>1</v>
      </c>
      <c r="M94" s="3" t="s">
        <v>541</v>
      </c>
      <c r="N94" s="273">
        <f>D41/2-D32</f>
        <v>120</v>
      </c>
      <c r="O94" s="51">
        <f>IF($N$93&gt;=L94,IF($D$26&gt;L94-1,$D$25,$D$28*2),0)</f>
        <v>5</v>
      </c>
      <c r="P94" s="64" t="s">
        <v>542</v>
      </c>
      <c r="Q94" s="52">
        <f>2*SUMPRODUCT(N94:N100,N94:N100,O94:O100)</f>
        <v>150400</v>
      </c>
      <c r="S94" s="3">
        <f t="shared" ref="S94:S96" si="2">N94^2*O94</f>
        <v>72000</v>
      </c>
      <c r="U94" s="3">
        <v>1</v>
      </c>
      <c r="V94" s="3" t="s">
        <v>543</v>
      </c>
      <c r="X94" s="273">
        <f>D42/2-D31</f>
        <v>160</v>
      </c>
      <c r="Y94" s="274">
        <v>5</v>
      </c>
      <c r="Z94" s="64" t="s">
        <v>544</v>
      </c>
      <c r="AA94" s="275">
        <f>2*SUMPRODUCT(X94:X100,X94:X100,Y94:Y100)</f>
        <v>281600</v>
      </c>
      <c r="AC94" s="3">
        <f t="shared" ref="AC94:AC96" si="3">X94^2*Y94</f>
        <v>128000</v>
      </c>
    </row>
    <row r="95" spans="1:29" x14ac:dyDescent="0.3">
      <c r="A95" s="57"/>
      <c r="B95" s="41" t="s">
        <v>151</v>
      </c>
      <c r="D95" s="22">
        <f>D64</f>
        <v>329.48646759731315</v>
      </c>
      <c r="E95" s="3" t="s">
        <v>19</v>
      </c>
      <c r="F95" s="141"/>
      <c r="L95" s="3">
        <v>2</v>
      </c>
      <c r="M95" s="3" t="s">
        <v>545</v>
      </c>
      <c r="N95" s="273">
        <f>N94-S92</f>
        <v>40</v>
      </c>
      <c r="O95" s="51">
        <f>IF($N$93&gt;=L95,IF($D$26&gt;L95-1,$D$25,$D$28*2),0)</f>
        <v>2</v>
      </c>
      <c r="Q95" s="52"/>
      <c r="S95" s="3">
        <f t="shared" si="2"/>
        <v>3200</v>
      </c>
      <c r="U95" s="3">
        <v>2</v>
      </c>
      <c r="V95" s="3" t="s">
        <v>546</v>
      </c>
      <c r="X95" s="273">
        <f>X94-S91</f>
        <v>80</v>
      </c>
      <c r="Y95" s="274">
        <v>2</v>
      </c>
      <c r="AA95" s="52"/>
      <c r="AC95" s="3">
        <f t="shared" si="3"/>
        <v>12800</v>
      </c>
    </row>
    <row r="96" spans="1:29" x14ac:dyDescent="0.3">
      <c r="A96" s="57"/>
      <c r="B96" s="41" t="s">
        <v>129</v>
      </c>
      <c r="D96" s="38">
        <f>(D92/D93)^2+(D94/D95)^2</f>
        <v>0.49591309858013394</v>
      </c>
      <c r="F96" s="141" t="str">
        <f>IF(D96&lt;1,"OK","Check")</f>
        <v>OK</v>
      </c>
      <c r="L96" s="3">
        <v>3</v>
      </c>
      <c r="M96" s="3" t="s">
        <v>547</v>
      </c>
      <c r="N96" s="273">
        <f>IF($N$93&gt;=L96,$D$41/2-$D$32-IF($D$26&lt;=L96,$D$34,($D$32+(($D$41-$D$4)/2-$D$27/2*$D$34))),0)</f>
        <v>0</v>
      </c>
      <c r="O96" s="51">
        <f>IF($N$93&gt;=L96,IF($D$26&gt;L96-1,$D$25,$D$28*2),0)</f>
        <v>0</v>
      </c>
      <c r="S96" s="3">
        <f t="shared" si="2"/>
        <v>0</v>
      </c>
      <c r="U96" s="3">
        <v>3</v>
      </c>
      <c r="V96" s="3" t="s">
        <v>548</v>
      </c>
      <c r="X96" s="273">
        <v>0</v>
      </c>
      <c r="Y96" s="274">
        <f>IF($X$93&gt;=U96,IF($D$26&gt;=U96,$X$93,$D$28),0)</f>
        <v>0</v>
      </c>
      <c r="AC96" s="3">
        <f t="shared" si="3"/>
        <v>0</v>
      </c>
    </row>
    <row r="97" spans="1:9" x14ac:dyDescent="0.3">
      <c r="A97" s="98"/>
      <c r="B97" s="41"/>
      <c r="D97" s="38"/>
      <c r="F97" s="93"/>
    </row>
    <row r="98" spans="1:9" x14ac:dyDescent="0.3">
      <c r="A98" s="98"/>
      <c r="B98" s="276" t="s">
        <v>549</v>
      </c>
      <c r="D98" s="38"/>
      <c r="F98" s="93"/>
      <c r="I98" s="70"/>
    </row>
    <row r="99" spans="1:9" x14ac:dyDescent="0.3">
      <c r="A99" s="98"/>
      <c r="B99" s="41" t="s">
        <v>1</v>
      </c>
      <c r="C99" s="41" t="s">
        <v>78</v>
      </c>
      <c r="D99" s="22">
        <f>MIN(D33,D34)</f>
        <v>80</v>
      </c>
      <c r="E99" s="3" t="s">
        <v>8</v>
      </c>
      <c r="F99" s="240"/>
      <c r="I99" s="70"/>
    </row>
    <row r="100" spans="1:9" x14ac:dyDescent="0.3">
      <c r="A100" s="98"/>
      <c r="B100" s="41" t="s">
        <v>495</v>
      </c>
      <c r="C100" s="41" t="s">
        <v>77</v>
      </c>
      <c r="D100" s="22">
        <f>D43</f>
        <v>40</v>
      </c>
      <c r="E100" s="3" t="s">
        <v>8</v>
      </c>
      <c r="F100" s="93"/>
    </row>
    <row r="101" spans="1:9" x14ac:dyDescent="0.3">
      <c r="A101" s="98"/>
      <c r="B101" s="41" t="s">
        <v>513</v>
      </c>
      <c r="C101" s="41"/>
      <c r="D101" s="22">
        <f>F101</f>
        <v>218.91818181818169</v>
      </c>
      <c r="E101" s="3" t="s">
        <v>19</v>
      </c>
      <c r="F101" s="173">
        <f>D12/D29</f>
        <v>218.91818181818169</v>
      </c>
      <c r="H101" s="22"/>
    </row>
    <row r="102" spans="1:9" x14ac:dyDescent="0.3">
      <c r="A102" s="98"/>
      <c r="B102" s="41" t="s">
        <v>514</v>
      </c>
      <c r="C102" s="41" t="s">
        <v>86</v>
      </c>
      <c r="D102" s="22">
        <f>IF(D28=2,CEILING(MAX((D41-D4)/2-D32-D34/2,(D42-D5)/2-D31-D33/2),1),CEILING(MAX((D41-D4)/2-D32,(D42-D5)/2-D31),1))</f>
        <v>40</v>
      </c>
      <c r="E102" s="3" t="s">
        <v>8</v>
      </c>
      <c r="F102" s="93"/>
    </row>
    <row r="103" spans="1:9" x14ac:dyDescent="0.3">
      <c r="A103" s="98"/>
      <c r="B103" s="41" t="s">
        <v>496</v>
      </c>
      <c r="C103" s="41" t="s">
        <v>152</v>
      </c>
      <c r="D103" s="99">
        <f>D101*1000*D102</f>
        <v>8756727.2727272678</v>
      </c>
      <c r="E103" s="3" t="s">
        <v>487</v>
      </c>
      <c r="F103" s="240"/>
    </row>
    <row r="104" spans="1:9" x14ac:dyDescent="0.3">
      <c r="A104" s="98"/>
      <c r="B104" s="41" t="s">
        <v>14</v>
      </c>
      <c r="C104" s="41" t="s">
        <v>53</v>
      </c>
      <c r="D104" s="22">
        <f>D99*D100^2/6</f>
        <v>21333.333333333332</v>
      </c>
      <c r="E104" s="3" t="s">
        <v>15</v>
      </c>
      <c r="F104" s="93"/>
    </row>
    <row r="105" spans="1:9" x14ac:dyDescent="0.3">
      <c r="A105" s="98"/>
      <c r="B105" s="41" t="s">
        <v>497</v>
      </c>
      <c r="C105" s="3" t="s">
        <v>498</v>
      </c>
      <c r="D105" s="22">
        <f>SQRT((4*D103)/(D99*(D46/1.1)))</f>
        <v>38.202808083366655</v>
      </c>
      <c r="E105" s="3" t="s">
        <v>8</v>
      </c>
      <c r="F105" s="93" t="str">
        <f>IF(D105&lt;=D43,"OK","Check")</f>
        <v>OK</v>
      </c>
      <c r="H105" s="70"/>
    </row>
    <row r="106" spans="1:9" hidden="1" x14ac:dyDescent="0.3">
      <c r="A106" s="98"/>
      <c r="B106" s="276" t="s">
        <v>550</v>
      </c>
      <c r="D106" s="38"/>
      <c r="F106" s="93"/>
    </row>
    <row r="107" spans="1:9" hidden="1" x14ac:dyDescent="0.3">
      <c r="A107" s="57"/>
      <c r="B107" s="3" t="s">
        <v>256</v>
      </c>
      <c r="C107" s="3" t="s">
        <v>44</v>
      </c>
      <c r="D107" s="277">
        <v>16</v>
      </c>
      <c r="E107" s="3" t="s">
        <v>8</v>
      </c>
      <c r="F107" s="278">
        <f>MIN(D6:D7,D43)/D108</f>
        <v>10.285714285714286</v>
      </c>
    </row>
    <row r="108" spans="1:9" hidden="1" x14ac:dyDescent="0.3">
      <c r="A108" s="57"/>
      <c r="B108" s="3" t="s">
        <v>257</v>
      </c>
      <c r="D108" s="277">
        <v>0.7</v>
      </c>
      <c r="F108" s="141" t="s">
        <v>258</v>
      </c>
    </row>
    <row r="109" spans="1:9" hidden="1" x14ac:dyDescent="0.3">
      <c r="A109" s="57"/>
      <c r="B109" s="3" t="s">
        <v>259</v>
      </c>
      <c r="C109" s="3" t="s">
        <v>260</v>
      </c>
      <c r="D109" s="3">
        <f>MIN(D45)</f>
        <v>490</v>
      </c>
      <c r="E109" s="3" t="s">
        <v>7</v>
      </c>
      <c r="F109" s="141"/>
    </row>
    <row r="110" spans="1:9" hidden="1" x14ac:dyDescent="0.3">
      <c r="A110" s="57"/>
      <c r="F110" s="141"/>
    </row>
    <row r="111" spans="1:9" hidden="1" x14ac:dyDescent="0.3">
      <c r="A111" s="57"/>
      <c r="B111" s="3" t="s">
        <v>254</v>
      </c>
      <c r="F111" s="141"/>
    </row>
    <row r="112" spans="1:9" hidden="1" x14ac:dyDescent="0.3">
      <c r="A112" s="57"/>
      <c r="B112" s="3" t="s">
        <v>261</v>
      </c>
      <c r="C112" s="3" t="s">
        <v>262</v>
      </c>
      <c r="D112" s="3" t="s">
        <v>263</v>
      </c>
      <c r="F112" s="141"/>
    </row>
    <row r="113" spans="1:9" hidden="1" x14ac:dyDescent="0.3">
      <c r="A113" s="57"/>
      <c r="D113" s="99">
        <f>D109/(SQRT(3)*1.25)</f>
        <v>226.32130552233332</v>
      </c>
      <c r="E113" s="3" t="s">
        <v>7</v>
      </c>
      <c r="F113" s="141"/>
      <c r="I113" s="3" t="s">
        <v>658</v>
      </c>
    </row>
    <row r="114" spans="1:9" hidden="1" x14ac:dyDescent="0.3">
      <c r="A114" s="57"/>
      <c r="B114" s="3" t="s">
        <v>266</v>
      </c>
      <c r="C114" s="3" t="s">
        <v>267</v>
      </c>
      <c r="D114" s="99">
        <f>2*D4</f>
        <v>320</v>
      </c>
      <c r="E114" s="3" t="s">
        <v>8</v>
      </c>
      <c r="F114" s="141"/>
      <c r="H114" s="3" t="s">
        <v>128</v>
      </c>
      <c r="I114" s="63">
        <f>D103*D25</f>
        <v>43783636.363636337</v>
      </c>
    </row>
    <row r="115" spans="1:9" hidden="1" x14ac:dyDescent="0.3">
      <c r="A115" s="57"/>
      <c r="B115" s="3" t="s">
        <v>268</v>
      </c>
      <c r="C115" s="3" t="s">
        <v>269</v>
      </c>
      <c r="D115" s="99">
        <f>D108*D107</f>
        <v>11.2</v>
      </c>
      <c r="E115" s="3" t="s">
        <v>8</v>
      </c>
      <c r="F115" s="141"/>
      <c r="H115" s="3" t="s">
        <v>515</v>
      </c>
      <c r="I115" s="70">
        <f>SQRT(4.4*I114/(D46*D42))</f>
        <v>37.282123195396331</v>
      </c>
    </row>
    <row r="116" spans="1:9" hidden="1" x14ac:dyDescent="0.3">
      <c r="A116" s="57"/>
      <c r="B116" s="3" t="s">
        <v>270</v>
      </c>
      <c r="C116" s="3" t="s">
        <v>271</v>
      </c>
      <c r="D116" s="99">
        <f>D11</f>
        <v>690.53447681765056</v>
      </c>
      <c r="E116" s="3" t="s">
        <v>19</v>
      </c>
      <c r="F116" s="141"/>
    </row>
    <row r="117" spans="1:9" hidden="1" x14ac:dyDescent="0.3">
      <c r="A117" s="57"/>
      <c r="C117" s="3" t="s">
        <v>264</v>
      </c>
      <c r="D117" s="3" t="s">
        <v>265</v>
      </c>
      <c r="F117" s="141"/>
    </row>
    <row r="118" spans="1:9" hidden="1" x14ac:dyDescent="0.3">
      <c r="A118" s="57"/>
      <c r="D118" s="63">
        <f>D116*1000/(D114*D115)</f>
        <v>192.67145000492482</v>
      </c>
      <c r="E118" s="3" t="s">
        <v>7</v>
      </c>
      <c r="F118" s="141" t="str">
        <f>IF(D118&lt;=D113,"OK","Check")</f>
        <v>OK</v>
      </c>
    </row>
    <row r="119" spans="1:9" hidden="1" x14ac:dyDescent="0.3">
      <c r="A119" s="57"/>
      <c r="B119" s="3" t="s">
        <v>255</v>
      </c>
      <c r="F119" s="141"/>
    </row>
    <row r="120" spans="1:9" hidden="1" x14ac:dyDescent="0.3">
      <c r="A120" s="57"/>
      <c r="B120" s="3" t="s">
        <v>261</v>
      </c>
      <c r="C120" s="3" t="s">
        <v>262</v>
      </c>
      <c r="D120" s="3" t="s">
        <v>263</v>
      </c>
      <c r="F120" s="141"/>
    </row>
    <row r="121" spans="1:9" hidden="1" x14ac:dyDescent="0.3">
      <c r="A121" s="57"/>
      <c r="D121" s="99">
        <f>D109/(SQRT(3)*1.25)</f>
        <v>226.32130552233332</v>
      </c>
      <c r="E121" s="3" t="s">
        <v>7</v>
      </c>
      <c r="F121" s="141"/>
    </row>
    <row r="122" spans="1:9" hidden="1" x14ac:dyDescent="0.3">
      <c r="A122" s="57"/>
      <c r="B122" s="3" t="s">
        <v>266</v>
      </c>
      <c r="C122" s="3" t="s">
        <v>267</v>
      </c>
      <c r="D122" s="99">
        <f>2*D4+2*D5</f>
        <v>820</v>
      </c>
      <c r="E122" s="3" t="s">
        <v>8</v>
      </c>
      <c r="F122" s="141"/>
    </row>
    <row r="123" spans="1:9" hidden="1" x14ac:dyDescent="0.3">
      <c r="A123" s="57"/>
      <c r="B123" s="3" t="s">
        <v>268</v>
      </c>
      <c r="C123" s="3" t="s">
        <v>269</v>
      </c>
      <c r="D123" s="99">
        <f>D108*D107</f>
        <v>11.2</v>
      </c>
      <c r="E123" s="3" t="s">
        <v>8</v>
      </c>
      <c r="F123" s="141"/>
    </row>
    <row r="124" spans="1:9" hidden="1" x14ac:dyDescent="0.3">
      <c r="A124" s="57"/>
      <c r="B124" s="3" t="s">
        <v>270</v>
      </c>
      <c r="C124" s="3" t="s">
        <v>272</v>
      </c>
      <c r="D124" s="99">
        <f>D12</f>
        <v>3064.8545454545438</v>
      </c>
      <c r="E124" s="3" t="s">
        <v>19</v>
      </c>
      <c r="F124" s="141"/>
    </row>
    <row r="125" spans="1:9" hidden="1" x14ac:dyDescent="0.3">
      <c r="A125" s="57"/>
      <c r="C125" s="3" t="s">
        <v>264</v>
      </c>
      <c r="D125" s="3" t="s">
        <v>265</v>
      </c>
      <c r="F125" s="141"/>
    </row>
    <row r="126" spans="1:9" hidden="1" x14ac:dyDescent="0.3">
      <c r="A126" s="57"/>
      <c r="D126" s="63">
        <f>D124*1000/(D122*D123)</f>
        <v>333.71674057649648</v>
      </c>
      <c r="E126" s="3" t="s">
        <v>7</v>
      </c>
      <c r="F126" s="141" t="str">
        <f>IF(D126&lt;=D121,"OK","Check")</f>
        <v>Check</v>
      </c>
    </row>
    <row r="127" spans="1:9" x14ac:dyDescent="0.3">
      <c r="A127" s="256"/>
      <c r="B127" s="94"/>
      <c r="C127" s="94"/>
      <c r="D127" s="94"/>
      <c r="E127" s="94"/>
      <c r="F127" s="257"/>
    </row>
    <row r="128" spans="1:9" x14ac:dyDescent="0.3">
      <c r="A128" s="252">
        <v>10</v>
      </c>
      <c r="B128" s="170" t="s">
        <v>442</v>
      </c>
      <c r="C128" s="96"/>
      <c r="D128" s="96"/>
      <c r="E128" s="96"/>
      <c r="F128" s="254"/>
    </row>
    <row r="129" spans="1:29" x14ac:dyDescent="0.3">
      <c r="A129" s="139"/>
      <c r="B129" s="457" t="s">
        <v>706</v>
      </c>
      <c r="C129" s="457"/>
      <c r="D129" s="457"/>
      <c r="E129" s="32"/>
      <c r="F129" s="141"/>
      <c r="J129" s="458" t="s">
        <v>707</v>
      </c>
      <c r="K129" s="458"/>
      <c r="L129" s="458"/>
    </row>
    <row r="130" spans="1:29" x14ac:dyDescent="0.3">
      <c r="A130" s="57"/>
      <c r="B130" s="41" t="s">
        <v>339</v>
      </c>
      <c r="D130" s="277">
        <f>(D28+1)*2</f>
        <v>4</v>
      </c>
      <c r="E130" s="3" t="s">
        <v>131</v>
      </c>
      <c r="F130" s="141">
        <f>2*(AB141-1)+2*(AC141-1)</f>
        <v>14</v>
      </c>
      <c r="J130" s="41" t="s">
        <v>339</v>
      </c>
      <c r="L130" s="3">
        <f>F130-D130</f>
        <v>10</v>
      </c>
      <c r="M130" s="3" t="s">
        <v>131</v>
      </c>
    </row>
    <row r="131" spans="1:29" x14ac:dyDescent="0.3">
      <c r="A131" s="57"/>
      <c r="B131" s="41" t="s">
        <v>382</v>
      </c>
      <c r="D131" s="37">
        <f>D41*D42</f>
        <v>142800</v>
      </c>
      <c r="E131" s="3" t="s">
        <v>11</v>
      </c>
      <c r="F131" s="141"/>
      <c r="J131" s="41" t="s">
        <v>382</v>
      </c>
      <c r="L131" s="37">
        <f>D131</f>
        <v>142800</v>
      </c>
      <c r="M131" s="3" t="s">
        <v>11</v>
      </c>
    </row>
    <row r="132" spans="1:29" x14ac:dyDescent="0.3">
      <c r="A132" s="57"/>
      <c r="B132" s="41" t="s">
        <v>385</v>
      </c>
      <c r="D132" s="3">
        <f>D43</f>
        <v>40</v>
      </c>
      <c r="E132" s="3" t="s">
        <v>8</v>
      </c>
      <c r="F132" s="141"/>
      <c r="J132" s="41" t="s">
        <v>385</v>
      </c>
      <c r="L132" s="3">
        <f>D132</f>
        <v>40</v>
      </c>
      <c r="M132" s="3" t="s">
        <v>8</v>
      </c>
    </row>
    <row r="133" spans="1:29" x14ac:dyDescent="0.3">
      <c r="A133" s="57"/>
      <c r="B133" s="41" t="s">
        <v>383</v>
      </c>
      <c r="D133" s="37">
        <f>D12</f>
        <v>3064.8545454545438</v>
      </c>
      <c r="E133" s="3" t="s">
        <v>19</v>
      </c>
      <c r="F133" s="141"/>
      <c r="J133" s="41" t="s">
        <v>383</v>
      </c>
      <c r="L133" s="37">
        <f>D133</f>
        <v>3064.8545454545438</v>
      </c>
      <c r="M133" s="3" t="s">
        <v>19</v>
      </c>
    </row>
    <row r="134" spans="1:29" x14ac:dyDescent="0.3">
      <c r="A134" s="57"/>
      <c r="B134" s="41" t="s">
        <v>386</v>
      </c>
      <c r="D134" s="37">
        <f>MAX((D41-D4)/2,(D42-D5)/2)</f>
        <v>90</v>
      </c>
      <c r="E134" s="3" t="s">
        <v>8</v>
      </c>
      <c r="F134" s="141"/>
      <c r="J134" s="41" t="s">
        <v>386</v>
      </c>
      <c r="L134" s="3">
        <f>(D42-D5)/2</f>
        <v>85</v>
      </c>
      <c r="M134" s="3" t="s">
        <v>8</v>
      </c>
    </row>
    <row r="135" spans="1:29" x14ac:dyDescent="0.3">
      <c r="A135" s="57"/>
      <c r="B135" s="41" t="s">
        <v>384</v>
      </c>
      <c r="D135" s="22">
        <f>4*D140*D134^2/(2*D132^2)</f>
        <v>217.30848930481272</v>
      </c>
      <c r="E135" s="3" t="s">
        <v>7</v>
      </c>
      <c r="F135" s="141"/>
      <c r="J135" s="41" t="s">
        <v>384</v>
      </c>
      <c r="L135" s="22">
        <f>4*L140*L134^2/(2*L132^2)</f>
        <v>193.8338068181817</v>
      </c>
      <c r="M135" s="3" t="s">
        <v>7</v>
      </c>
    </row>
    <row r="136" spans="1:29" x14ac:dyDescent="0.3">
      <c r="A136" s="57"/>
      <c r="B136" s="41" t="s">
        <v>387</v>
      </c>
      <c r="D136" s="22">
        <f>D46/1.1</f>
        <v>300</v>
      </c>
      <c r="E136" s="3" t="s">
        <v>7</v>
      </c>
      <c r="F136" s="141" t="str">
        <f>IF(D136&gt;D135,"OK","Provide stiffner")</f>
        <v>OK</v>
      </c>
      <c r="J136" s="41" t="s">
        <v>387</v>
      </c>
      <c r="L136" s="70">
        <f>D46/1.1</f>
        <v>300</v>
      </c>
      <c r="M136" s="3" t="s">
        <v>7</v>
      </c>
      <c r="N136" s="3" t="str">
        <f>IF(L136&gt;L135,"OK","Provide stiffner")</f>
        <v>OK</v>
      </c>
    </row>
    <row r="137" spans="1:29" x14ac:dyDescent="0.3">
      <c r="A137" s="57"/>
      <c r="B137" s="41" t="s">
        <v>340</v>
      </c>
      <c r="C137" s="3" t="s">
        <v>154</v>
      </c>
      <c r="D137" s="37">
        <f>D34</f>
        <v>80</v>
      </c>
      <c r="E137" s="3" t="s">
        <v>8</v>
      </c>
      <c r="F137" s="141" t="str">
        <f ca="1">IF(D136&gt;D146,"OK","Inc. no. of stiff plate")</f>
        <v>OK</v>
      </c>
      <c r="J137" s="41" t="s">
        <v>340</v>
      </c>
      <c r="K137" s="3" t="s">
        <v>154</v>
      </c>
      <c r="L137" s="37">
        <f>D33</f>
        <v>80</v>
      </c>
      <c r="M137" s="3" t="s">
        <v>8</v>
      </c>
      <c r="N137" s="3" t="str">
        <f ca="1">IF(L136&gt;L146,"OK","Inc. no. of stiff plate")</f>
        <v>OK</v>
      </c>
      <c r="R137" s="3" t="s">
        <v>561</v>
      </c>
      <c r="AA137" s="3" t="s">
        <v>623</v>
      </c>
      <c r="AB137" s="3">
        <f>K13</f>
        <v>340</v>
      </c>
      <c r="AC137" s="3" t="s">
        <v>8</v>
      </c>
    </row>
    <row r="138" spans="1:29" x14ac:dyDescent="0.3">
      <c r="A138" s="57"/>
      <c r="B138" s="41" t="s">
        <v>341</v>
      </c>
      <c r="C138" s="3" t="s">
        <v>78</v>
      </c>
      <c r="D138" s="37">
        <f>D134</f>
        <v>90</v>
      </c>
      <c r="E138" s="3" t="s">
        <v>8</v>
      </c>
      <c r="F138" s="141"/>
      <c r="J138" s="41" t="s">
        <v>341</v>
      </c>
      <c r="K138" s="3" t="s">
        <v>78</v>
      </c>
      <c r="L138" s="37">
        <f>L134</f>
        <v>85</v>
      </c>
      <c r="M138" s="3" t="s">
        <v>8</v>
      </c>
      <c r="R138" s="3">
        <v>8</v>
      </c>
      <c r="V138" s="3" t="s">
        <v>551</v>
      </c>
      <c r="W138" s="22">
        <f>D64</f>
        <v>329.48646759731315</v>
      </c>
      <c r="X138" s="3" t="s">
        <v>19</v>
      </c>
      <c r="AA138" s="3" t="s">
        <v>552</v>
      </c>
      <c r="AB138" s="3">
        <f>D42</f>
        <v>420</v>
      </c>
      <c r="AC138" s="3" t="s">
        <v>8</v>
      </c>
    </row>
    <row r="139" spans="1:29" x14ac:dyDescent="0.3">
      <c r="A139" s="57"/>
      <c r="B139" s="41" t="s">
        <v>360</v>
      </c>
      <c r="C139" s="3" t="s">
        <v>363</v>
      </c>
      <c r="D139" s="277">
        <f>HLOOKUP($K$38,$Z$22:$AD$42,20,FALSE)</f>
        <v>8</v>
      </c>
      <c r="E139" s="3" t="s">
        <v>8</v>
      </c>
      <c r="F139" s="141"/>
      <c r="J139" s="41" t="s">
        <v>360</v>
      </c>
      <c r="K139" s="3" t="s">
        <v>363</v>
      </c>
      <c r="L139" s="277">
        <v>20</v>
      </c>
      <c r="M139" s="3" t="s">
        <v>8</v>
      </c>
      <c r="R139" s="3">
        <v>10</v>
      </c>
      <c r="V139" s="3" t="s">
        <v>553</v>
      </c>
      <c r="W139" s="52">
        <f>MIN(Q94,AA94)</f>
        <v>150400</v>
      </c>
      <c r="X139" s="3" t="s">
        <v>11</v>
      </c>
      <c r="AA139" s="3" t="s">
        <v>554</v>
      </c>
      <c r="AB139" s="3">
        <f>D43</f>
        <v>40</v>
      </c>
      <c r="AC139" s="3" t="s">
        <v>8</v>
      </c>
    </row>
    <row r="140" spans="1:29" x14ac:dyDescent="0.3">
      <c r="A140" s="57"/>
      <c r="B140" s="41"/>
      <c r="C140" s="3" t="s">
        <v>381</v>
      </c>
      <c r="D140" s="22">
        <f>D133*1000/D131</f>
        <v>21.462566844919774</v>
      </c>
      <c r="E140" s="3" t="s">
        <v>7</v>
      </c>
      <c r="F140" s="141"/>
      <c r="J140" s="41"/>
      <c r="K140" s="3" t="s">
        <v>381</v>
      </c>
      <c r="L140" s="22">
        <f>D140</f>
        <v>21.462566844919774</v>
      </c>
      <c r="M140" s="3" t="s">
        <v>7</v>
      </c>
      <c r="R140" s="3">
        <v>12</v>
      </c>
      <c r="V140" s="3" t="s">
        <v>195</v>
      </c>
      <c r="W140" s="3">
        <f>IF(Q94=AA94,MIN(N94,X94),IF(Q94&lt;AA94,N94,X94))</f>
        <v>120</v>
      </c>
      <c r="X140" s="3" t="s">
        <v>8</v>
      </c>
      <c r="AB140" s="3" t="s">
        <v>555</v>
      </c>
      <c r="AC140" s="3" t="s">
        <v>556</v>
      </c>
    </row>
    <row r="141" spans="1:29" x14ac:dyDescent="0.3">
      <c r="A141" s="57"/>
      <c r="B141" s="41"/>
      <c r="C141" s="3" t="s">
        <v>366</v>
      </c>
      <c r="D141" s="22">
        <f>D137/D138</f>
        <v>0.88888888888888884</v>
      </c>
      <c r="F141" s="141"/>
      <c r="J141" s="41"/>
      <c r="K141" s="3" t="s">
        <v>366</v>
      </c>
      <c r="L141" s="22">
        <f>L137/L138</f>
        <v>0.94117647058823528</v>
      </c>
      <c r="R141" s="3">
        <v>16</v>
      </c>
      <c r="V141" s="64" t="s">
        <v>557</v>
      </c>
      <c r="W141" s="63">
        <f>W138*W139/W140/1000</f>
        <v>412.95637272196575</v>
      </c>
      <c r="X141" s="3" t="s">
        <v>16</v>
      </c>
      <c r="Y141" s="3" t="str">
        <f>IF(W141&gt;=D10,"OK","Check")</f>
        <v>OK</v>
      </c>
      <c r="AA141" s="64" t="s">
        <v>237</v>
      </c>
      <c r="AB141" s="3">
        <f>D25</f>
        <v>5</v>
      </c>
      <c r="AC141" s="3">
        <f>D26*2+D27</f>
        <v>4</v>
      </c>
    </row>
    <row r="142" spans="1:29" x14ac:dyDescent="0.3">
      <c r="A142" s="57"/>
      <c r="B142" s="41"/>
      <c r="C142" s="3" t="s">
        <v>45</v>
      </c>
      <c r="D142" s="281">
        <f ca="1">MAX(V169:X169)</f>
        <v>0.41099999999999992</v>
      </c>
      <c r="F142" s="141"/>
      <c r="J142" s="41"/>
      <c r="K142" s="3" t="s">
        <v>45</v>
      </c>
      <c r="L142" s="281">
        <f ca="1">MAX(V169:X169)</f>
        <v>0.41099999999999992</v>
      </c>
      <c r="R142" s="3">
        <v>20</v>
      </c>
      <c r="AA142" s="3" t="s">
        <v>12</v>
      </c>
      <c r="AB142" s="3">
        <f>$AB$139*AB138^3/12</f>
        <v>246960000</v>
      </c>
      <c r="AC142" s="3">
        <f>$AB$139*AB137^3/12</f>
        <v>131013333.33333333</v>
      </c>
    </row>
    <row r="143" spans="1:29" x14ac:dyDescent="0.3">
      <c r="A143" s="57"/>
      <c r="B143" s="41" t="s">
        <v>387</v>
      </c>
      <c r="D143" s="281">
        <f>D46/1.1</f>
        <v>300</v>
      </c>
      <c r="E143" s="3" t="s">
        <v>7</v>
      </c>
      <c r="F143" s="141"/>
      <c r="J143" s="41" t="s">
        <v>387</v>
      </c>
      <c r="L143" s="281">
        <f>D46/1.1</f>
        <v>300</v>
      </c>
      <c r="M143" s="3" t="s">
        <v>7</v>
      </c>
      <c r="R143" s="3">
        <v>25</v>
      </c>
      <c r="W143" s="63"/>
      <c r="AA143" s="3" t="s">
        <v>558</v>
      </c>
      <c r="AB143" s="52">
        <f>AB142-S141*(N94^2+N95^2+N96^2+N97^2+N98^2+N99^2+N100^2)*2</f>
        <v>246960000</v>
      </c>
      <c r="AC143" s="52">
        <f>AC142-S141*(X94^2+X95^2+X96^2+X97^2+X98^2+W135^2+W136^2)*2</f>
        <v>131013333.33333333</v>
      </c>
    </row>
    <row r="144" spans="1:29" x14ac:dyDescent="0.3">
      <c r="A144" s="57"/>
      <c r="B144" s="41" t="s">
        <v>477</v>
      </c>
      <c r="D144" s="281">
        <f ca="1">SQRT(D142*D140*D138^2/D143)</f>
        <v>15.432760747127348</v>
      </c>
      <c r="F144" s="141"/>
      <c r="J144" s="41" t="s">
        <v>477</v>
      </c>
      <c r="L144" s="281">
        <f ca="1">SQRT(L142*L140*L138^2/L143)</f>
        <v>14.575385150064719</v>
      </c>
      <c r="R144" s="3">
        <v>30</v>
      </c>
      <c r="AA144" s="3" t="s">
        <v>334</v>
      </c>
      <c r="AB144" s="37">
        <f>AB143/N94</f>
        <v>2058000</v>
      </c>
      <c r="AC144" s="37">
        <f>AC143/X94</f>
        <v>818833.33333333326</v>
      </c>
    </row>
    <row r="145" spans="1:30" x14ac:dyDescent="0.3">
      <c r="A145" s="57"/>
      <c r="B145" s="41" t="s">
        <v>478</v>
      </c>
      <c r="D145" s="281">
        <f t="array" aca="1" ref="D145" ca="1">MIN(IF(D144&lt;=R138:R146,R138:R146))</f>
        <v>16</v>
      </c>
      <c r="F145" s="141"/>
      <c r="J145" s="41" t="s">
        <v>478</v>
      </c>
      <c r="L145" s="281">
        <f t="array" aca="1" ref="L145" ca="1">MIN(IF(L144&lt;=$R$138:$R$146,$R$138:$R$146))</f>
        <v>16</v>
      </c>
      <c r="R145" s="3">
        <v>36</v>
      </c>
      <c r="AA145" s="64" t="s">
        <v>559</v>
      </c>
      <c r="AB145" s="82">
        <f>$D$10*1000^2/AB144</f>
        <v>68.322368336425455</v>
      </c>
      <c r="AC145" s="82">
        <f>$D$10*1000^2/AC144</f>
        <v>171.71679304257719</v>
      </c>
      <c r="AD145" s="3" t="s">
        <v>7</v>
      </c>
    </row>
    <row r="146" spans="1:30" ht="15.6" x14ac:dyDescent="0.35">
      <c r="A146" s="57"/>
      <c r="B146" s="41"/>
      <c r="C146" s="90" t="s">
        <v>395</v>
      </c>
      <c r="D146" s="63">
        <f ca="1">D142*D140*D138^2/D132^2</f>
        <v>44.656894552139001</v>
      </c>
      <c r="E146" s="3" t="s">
        <v>7</v>
      </c>
      <c r="F146" s="141" t="str">
        <f ca="1">IF(D136&gt;D146,"OK","Stiffner inadequate")</f>
        <v>OK</v>
      </c>
      <c r="J146" s="41"/>
      <c r="K146" s="90" t="s">
        <v>395</v>
      </c>
      <c r="L146" s="63">
        <f ca="1">L142*L140*L138^2/L132^2</f>
        <v>39.832847301136333</v>
      </c>
      <c r="M146" s="3" t="s">
        <v>7</v>
      </c>
      <c r="N146" s="3" t="str">
        <f ca="1">IF(L136&gt;L146,"OK","Stiffner inadequate")</f>
        <v>OK</v>
      </c>
      <c r="R146" s="3">
        <v>40</v>
      </c>
      <c r="AA146" s="64" t="s">
        <v>560</v>
      </c>
      <c r="AB146" s="3">
        <f>$D$46/1.1</f>
        <v>300</v>
      </c>
      <c r="AC146" s="3">
        <f>$D$46/1.1</f>
        <v>300</v>
      </c>
      <c r="AD146" s="3" t="s">
        <v>7</v>
      </c>
    </row>
    <row r="147" spans="1:30" x14ac:dyDescent="0.3">
      <c r="A147" s="256"/>
      <c r="B147" s="94"/>
      <c r="C147" s="94"/>
      <c r="D147" s="94"/>
      <c r="E147" s="94"/>
      <c r="F147" s="257"/>
    </row>
    <row r="148" spans="1:30" x14ac:dyDescent="0.3">
      <c r="A148" s="252">
        <v>11</v>
      </c>
      <c r="B148" s="170" t="s">
        <v>562</v>
      </c>
      <c r="C148" s="96"/>
      <c r="D148" s="96"/>
      <c r="E148" s="96"/>
      <c r="F148" s="254"/>
    </row>
    <row r="149" spans="1:30" x14ac:dyDescent="0.3">
      <c r="A149" s="57"/>
      <c r="B149" s="3" t="s">
        <v>397</v>
      </c>
      <c r="D149" s="277">
        <f>HLOOKUP($K$38,$Z$22:$AD$42,19,FALSE)</f>
        <v>100</v>
      </c>
      <c r="E149" s="3" t="s">
        <v>8</v>
      </c>
      <c r="F149" s="141"/>
      <c r="J149" s="3" t="s">
        <v>397</v>
      </c>
      <c r="L149" s="277">
        <v>100</v>
      </c>
      <c r="M149" s="3" t="s">
        <v>8</v>
      </c>
    </row>
    <row r="150" spans="1:30" x14ac:dyDescent="0.3">
      <c r="A150" s="57"/>
      <c r="B150" s="3" t="s">
        <v>398</v>
      </c>
      <c r="C150" s="3" t="s">
        <v>399</v>
      </c>
      <c r="D150" s="37">
        <f>G150*I152+I155*H157</f>
        <v>4000</v>
      </c>
      <c r="E150" s="3" t="s">
        <v>11</v>
      </c>
      <c r="F150" s="141"/>
      <c r="G150" s="3">
        <f>D139</f>
        <v>8</v>
      </c>
      <c r="J150" s="3" t="s">
        <v>398</v>
      </c>
      <c r="K150" s="3" t="s">
        <v>399</v>
      </c>
      <c r="L150" s="37">
        <f>O150*Q152+Q155*P156</f>
        <v>5200</v>
      </c>
      <c r="M150" s="3" t="s">
        <v>11</v>
      </c>
      <c r="O150" s="3">
        <f>L139</f>
        <v>20</v>
      </c>
    </row>
    <row r="151" spans="1:30" x14ac:dyDescent="0.3">
      <c r="A151" s="57"/>
      <c r="B151" s="36" t="s">
        <v>401</v>
      </c>
      <c r="D151" s="37">
        <f>IF(D150/2-H157*I155&lt;0,D150/2/H157,I155+(D150/2-H157*I155)/G150)</f>
        <v>25</v>
      </c>
      <c r="E151" s="3" t="s">
        <v>400</v>
      </c>
      <c r="F151" s="141"/>
      <c r="J151" s="36" t="s">
        <v>401</v>
      </c>
      <c r="L151" s="37">
        <f>IF(L150/2-P156*Q155&lt;0,L150/2/P156,Q155+(L150/2-P156*Q155)/O150)</f>
        <v>32.5</v>
      </c>
      <c r="M151" s="3" t="s">
        <v>400</v>
      </c>
    </row>
    <row r="152" spans="1:30" x14ac:dyDescent="0.3">
      <c r="A152" s="57"/>
      <c r="B152" s="3" t="s">
        <v>54</v>
      </c>
      <c r="C152" s="3" t="s">
        <v>402</v>
      </c>
      <c r="D152" s="37">
        <f>IF(D151&lt;I155,D150/2*(D151/2+((H157*(I155-G154)*(I155-G154)/2+I152*G150*(I152/2+I155-G154))/(H157*(I155-G154)+I152*G150))),H157*I155*(G154-I155/2)+G150*(G154-I155)^2/2+(I152+I155-G154)^2/2*G150)</f>
        <v>86000</v>
      </c>
      <c r="E152" s="3" t="s">
        <v>15</v>
      </c>
      <c r="F152" s="141"/>
      <c r="I152" s="36">
        <f>D149</f>
        <v>100</v>
      </c>
      <c r="J152" s="3" t="s">
        <v>54</v>
      </c>
      <c r="K152" s="3" t="s">
        <v>402</v>
      </c>
      <c r="L152" s="37">
        <f>IF(L151&lt;Q155,L150/2*(L151/2+((P156*(Q155-O154)*(Q155-O154)/2+Q152*O150*(Q152/2+Q155-O154))/(P156*(Q155-O154)+Q152*O150))),P156*Q155*(O154-Q155/2)+O150*(O154-Q155)^2/2+(Q152+Q155-O154)^2/2*O150)</f>
        <v>159500</v>
      </c>
      <c r="M152" s="3" t="s">
        <v>15</v>
      </c>
      <c r="Q152" s="36">
        <f>L149</f>
        <v>100</v>
      </c>
    </row>
    <row r="153" spans="1:30" x14ac:dyDescent="0.3">
      <c r="A153" s="57"/>
      <c r="B153" s="282" t="s">
        <v>403</v>
      </c>
      <c r="D153" s="37">
        <f>H157</f>
        <v>80</v>
      </c>
      <c r="E153" s="3" t="s">
        <v>8</v>
      </c>
      <c r="F153" s="141"/>
      <c r="J153" s="282" t="s">
        <v>403</v>
      </c>
      <c r="L153" s="37">
        <f>P156</f>
        <v>80</v>
      </c>
      <c r="M153" s="3" t="s">
        <v>8</v>
      </c>
    </row>
    <row r="154" spans="1:30" x14ac:dyDescent="0.3">
      <c r="A154" s="57"/>
      <c r="B154" t="s">
        <v>404</v>
      </c>
      <c r="D154" s="37">
        <f>D153*D140</f>
        <v>1717.005347593582</v>
      </c>
      <c r="E154" s="3" t="s">
        <v>410</v>
      </c>
      <c r="F154" s="141"/>
      <c r="G154" s="37">
        <f>D151</f>
        <v>25</v>
      </c>
      <c r="J154" t="s">
        <v>404</v>
      </c>
      <c r="L154" s="37">
        <f>L153*L140</f>
        <v>1717.005347593582</v>
      </c>
      <c r="M154" s="3" t="s">
        <v>410</v>
      </c>
      <c r="O154" s="113">
        <f>L151</f>
        <v>32.5</v>
      </c>
    </row>
    <row r="155" spans="1:30" x14ac:dyDescent="0.3">
      <c r="A155" s="57"/>
      <c r="B155" t="s">
        <v>405</v>
      </c>
      <c r="D155" s="37">
        <f>D138</f>
        <v>90</v>
      </c>
      <c r="E155" s="3" t="s">
        <v>8</v>
      </c>
      <c r="F155" s="141"/>
      <c r="I155" s="423">
        <f>D132</f>
        <v>40</v>
      </c>
      <c r="J155" t="s">
        <v>405</v>
      </c>
      <c r="L155" s="37">
        <f>L138</f>
        <v>85</v>
      </c>
      <c r="M155" s="3" t="s">
        <v>8</v>
      </c>
      <c r="Q155" s="356">
        <f>L132</f>
        <v>40</v>
      </c>
    </row>
    <row r="156" spans="1:30" x14ac:dyDescent="0.3">
      <c r="A156" s="57"/>
      <c r="B156" t="s">
        <v>406</v>
      </c>
      <c r="D156" s="22">
        <f>D154*D155^2/2/1000^2</f>
        <v>6.9538716577540072</v>
      </c>
      <c r="E156" s="3" t="s">
        <v>16</v>
      </c>
      <c r="F156" s="141"/>
      <c r="J156" t="s">
        <v>406</v>
      </c>
      <c r="L156" s="22">
        <f>L154*L155^2/2/1000^2</f>
        <v>6.2026818181818149</v>
      </c>
      <c r="M156" s="3" t="s">
        <v>16</v>
      </c>
      <c r="P156" s="113">
        <f>L137</f>
        <v>80</v>
      </c>
    </row>
    <row r="157" spans="1:30" x14ac:dyDescent="0.3">
      <c r="A157" s="57"/>
      <c r="B157" t="s">
        <v>407</v>
      </c>
      <c r="D157" s="22">
        <f>D156*1000^2/D152</f>
        <v>80.85897276458148</v>
      </c>
      <c r="E157" s="3" t="s">
        <v>7</v>
      </c>
      <c r="F157" s="141"/>
      <c r="H157" s="37">
        <f>D137</f>
        <v>80</v>
      </c>
      <c r="J157" t="s">
        <v>407</v>
      </c>
      <c r="L157" s="22">
        <f>L156*1000^2/L152</f>
        <v>38.888287261327989</v>
      </c>
      <c r="M157" s="3" t="s">
        <v>7</v>
      </c>
    </row>
    <row r="158" spans="1:30" x14ac:dyDescent="0.3">
      <c r="A158" s="57"/>
      <c r="B158" t="s">
        <v>408</v>
      </c>
      <c r="D158" s="22">
        <f>(D154*D155)/(G150*I152)</f>
        <v>193.16310160427798</v>
      </c>
      <c r="E158" s="3" t="s">
        <v>7</v>
      </c>
      <c r="F158" s="141"/>
      <c r="J158" t="s">
        <v>408</v>
      </c>
      <c r="L158" s="22">
        <f>(L154*L155)/(O150*Q152)</f>
        <v>72.972727272727241</v>
      </c>
      <c r="M158" s="3" t="s">
        <v>7</v>
      </c>
      <c r="U158" s="441" t="s">
        <v>388</v>
      </c>
      <c r="V158" s="442"/>
      <c r="W158" s="442"/>
      <c r="X158" s="443"/>
    </row>
    <row r="159" spans="1:30" x14ac:dyDescent="0.3">
      <c r="A159" s="57"/>
      <c r="B159" t="s">
        <v>409</v>
      </c>
      <c r="D159" s="22">
        <f>D45/(SQRT(3)*1.25)</f>
        <v>226.32130552233332</v>
      </c>
      <c r="E159" s="3" t="s">
        <v>7</v>
      </c>
      <c r="F159" s="141" t="str">
        <f>IF(D158&lt;=D159,"OK","Check")</f>
        <v>OK</v>
      </c>
      <c r="J159" t="s">
        <v>409</v>
      </c>
      <c r="L159" s="22">
        <f>D45/(SQRT(3)*1.25)</f>
        <v>226.32130552233332</v>
      </c>
      <c r="M159" s="3" t="s">
        <v>7</v>
      </c>
      <c r="N159" s="3" t="str">
        <f>IF(L158&lt;=L159,"OK","Check")</f>
        <v>OK</v>
      </c>
      <c r="U159" s="175" t="s">
        <v>389</v>
      </c>
      <c r="V159"/>
      <c r="W159"/>
      <c r="X159" s="171"/>
    </row>
    <row r="160" spans="1:30" ht="15.6" x14ac:dyDescent="0.35">
      <c r="A160" s="57"/>
      <c r="B160" t="s">
        <v>387</v>
      </c>
      <c r="D160" s="22">
        <f>IF(G150&gt;=40,320/1.1,IF(G150&gt;=20,330/1.1,350/1.1))</f>
        <v>318.18181818181813</v>
      </c>
      <c r="E160" s="3" t="s">
        <v>7</v>
      </c>
      <c r="F160" s="141" t="str">
        <f>IF(D157&lt;=D160,"OK","Check")</f>
        <v>OK</v>
      </c>
      <c r="J160" t="s">
        <v>387</v>
      </c>
      <c r="L160" s="22">
        <f>IF(O150&gt;=40,320/1.1,IF(O150&gt;=20,330/1.1,350/1.1))</f>
        <v>300</v>
      </c>
      <c r="M160" s="3" t="s">
        <v>7</v>
      </c>
      <c r="N160" s="3" t="str">
        <f>IF(L157&lt;=L160,"OK","Check")</f>
        <v>OK</v>
      </c>
      <c r="U160" s="176" t="s">
        <v>366</v>
      </c>
      <c r="V160" s="91" t="s">
        <v>390</v>
      </c>
      <c r="W160" s="91" t="s">
        <v>391</v>
      </c>
      <c r="X160" s="178" t="s">
        <v>392</v>
      </c>
    </row>
    <row r="161" spans="1:24" ht="15" thickBot="1" x14ac:dyDescent="0.35">
      <c r="A161" s="59"/>
      <c r="B161" s="150"/>
      <c r="C161" s="150"/>
      <c r="D161" s="150"/>
      <c r="E161" s="150"/>
      <c r="F161" s="151"/>
      <c r="U161" s="175">
        <v>0.25</v>
      </c>
      <c r="V161">
        <v>3.1E-2</v>
      </c>
      <c r="W161">
        <v>1.6E-2</v>
      </c>
      <c r="X161" s="171">
        <v>0.02</v>
      </c>
    </row>
    <row r="162" spans="1:24" x14ac:dyDescent="0.3">
      <c r="A162" s="139">
        <v>12</v>
      </c>
      <c r="B162" s="24" t="s">
        <v>441</v>
      </c>
      <c r="C162"/>
      <c r="D162"/>
      <c r="E162"/>
      <c r="F162" s="144"/>
      <c r="J162" s="24" t="s">
        <v>441</v>
      </c>
      <c r="K162"/>
      <c r="L162"/>
      <c r="M162"/>
      <c r="N162" s="123"/>
      <c r="O162" s="32"/>
      <c r="U162" s="175">
        <v>0.5</v>
      </c>
      <c r="V162">
        <v>0.126</v>
      </c>
      <c r="W162">
        <v>6.6000000000000003E-2</v>
      </c>
      <c r="X162" s="171">
        <v>8.1000000000000003E-2</v>
      </c>
    </row>
    <row r="163" spans="1:24" hidden="1" x14ac:dyDescent="0.3">
      <c r="A163" s="57"/>
      <c r="B163" t="s">
        <v>411</v>
      </c>
      <c r="D163" s="145">
        <f>D154*D155/1000</f>
        <v>154.53048128342238</v>
      </c>
      <c r="E163" t="s">
        <v>19</v>
      </c>
      <c r="F163" s="141"/>
      <c r="J163" t="s">
        <v>411</v>
      </c>
      <c r="L163" s="145">
        <f>L154*L155/1000</f>
        <v>145.94545454545448</v>
      </c>
      <c r="M163" t="s">
        <v>19</v>
      </c>
      <c r="N163" s="32"/>
      <c r="O163" s="32"/>
      <c r="U163" s="175">
        <v>0.75</v>
      </c>
      <c r="V163">
        <v>0.28599999999999998</v>
      </c>
      <c r="W163">
        <v>0.14799999999999999</v>
      </c>
      <c r="X163" s="171">
        <v>0.17299999999999999</v>
      </c>
    </row>
    <row r="164" spans="1:24" hidden="1" x14ac:dyDescent="0.3">
      <c r="A164" s="57"/>
      <c r="B164" t="s">
        <v>412</v>
      </c>
      <c r="D164" s="283">
        <f>(I152+D138)*2</f>
        <v>380</v>
      </c>
      <c r="E164" t="s">
        <v>8</v>
      </c>
      <c r="F164" s="141"/>
      <c r="J164" t="s">
        <v>412</v>
      </c>
      <c r="L164" s="283">
        <f>(Q152+L138)*2</f>
        <v>370</v>
      </c>
      <c r="M164" t="s">
        <v>8</v>
      </c>
      <c r="N164" s="32"/>
      <c r="O164" s="32"/>
      <c r="U164" s="175">
        <v>1</v>
      </c>
      <c r="V164">
        <v>0.51100000000000001</v>
      </c>
      <c r="W164">
        <v>0.25900000000000001</v>
      </c>
      <c r="X164" s="171">
        <v>0.32100000000000001</v>
      </c>
    </row>
    <row r="165" spans="1:24" hidden="1" x14ac:dyDescent="0.3">
      <c r="A165" s="57"/>
      <c r="B165" t="s">
        <v>413</v>
      </c>
      <c r="D165" s="3">
        <f>IF(MAX(D6:D7,G150)&lt;=10,3,IF(MAX(D6:D7,G150)&lt;=20,5,IF(MAX(D6:D7,G150)&lt;=32,6,IF(MAX(D6:D7,G150)&lt;=50,10))))</f>
        <v>5</v>
      </c>
      <c r="E165" t="s">
        <v>8</v>
      </c>
      <c r="F165" s="141"/>
      <c r="J165" t="s">
        <v>413</v>
      </c>
      <c r="L165" s="3">
        <f>IF(MAX(D6:D7,O150)&lt;=10,3,IF(MAX(D6:D7,O150)&lt;=20,5,IF(MAX(D6:D7,O150)&lt;=32,6,IF(MAX(D6:D7,O150)&lt;=50,10))))</f>
        <v>5</v>
      </c>
      <c r="M165" t="s">
        <v>8</v>
      </c>
      <c r="N165" s="32"/>
      <c r="O165" s="32"/>
      <c r="U165" s="175">
        <v>1.5</v>
      </c>
      <c r="V165">
        <v>1.073</v>
      </c>
      <c r="W165">
        <v>0.48399999999999999</v>
      </c>
      <c r="X165" s="171">
        <v>0.72699999999999998</v>
      </c>
    </row>
    <row r="166" spans="1:24" ht="16.2" hidden="1" x14ac:dyDescent="0.3">
      <c r="A166" s="57"/>
      <c r="B166" t="s">
        <v>414</v>
      </c>
      <c r="D166" s="145">
        <f>D45/(SQRT(3)*1.25)</f>
        <v>226.32130552233332</v>
      </c>
      <c r="E166" t="s">
        <v>415</v>
      </c>
      <c r="F166" s="141"/>
      <c r="J166" t="s">
        <v>414</v>
      </c>
      <c r="L166" s="145">
        <f>D45/(SQRT(3)*1.25)</f>
        <v>226.32130552233332</v>
      </c>
      <c r="M166" t="s">
        <v>415</v>
      </c>
      <c r="N166" s="32"/>
      <c r="O166" s="32"/>
      <c r="U166" s="175">
        <v>2</v>
      </c>
      <c r="V166">
        <v>1.5680000000000001</v>
      </c>
      <c r="W166">
        <v>0.60499999999999998</v>
      </c>
      <c r="X166" s="171">
        <v>1.226</v>
      </c>
    </row>
    <row r="167" spans="1:24" ht="16.2" hidden="1" x14ac:dyDescent="0.3">
      <c r="A167" s="57"/>
      <c r="B167" t="s">
        <v>416</v>
      </c>
      <c r="D167" s="145">
        <f>D163*1000/(D164)</f>
        <v>406.65916127216417</v>
      </c>
      <c r="E167" t="s">
        <v>410</v>
      </c>
      <c r="F167" s="141"/>
      <c r="J167" t="s">
        <v>416</v>
      </c>
      <c r="L167" s="145">
        <f>L163*1000/(L164)</f>
        <v>394.44717444717423</v>
      </c>
      <c r="M167" t="s">
        <v>415</v>
      </c>
      <c r="N167" s="32"/>
      <c r="O167" s="32"/>
      <c r="U167" s="176">
        <v>3</v>
      </c>
      <c r="V167" s="162">
        <v>1.982</v>
      </c>
      <c r="W167" s="162">
        <v>0.51900000000000002</v>
      </c>
      <c r="X167" s="177">
        <v>2.105</v>
      </c>
    </row>
    <row r="168" spans="1:24" hidden="1" x14ac:dyDescent="0.3">
      <c r="A168" s="57"/>
      <c r="B168" t="s">
        <v>417</v>
      </c>
      <c r="D168" s="147">
        <f>D167/D166/0.7</f>
        <v>2.5668889529399936</v>
      </c>
      <c r="E168" t="s">
        <v>8</v>
      </c>
      <c r="F168" s="148" t="str">
        <f>IF(AND(D168&lt;=G150,D168&lt;=D7),"","FPBW")</f>
        <v/>
      </c>
      <c r="J168" t="s">
        <v>417</v>
      </c>
      <c r="L168" s="147">
        <f>L167/L166/0.7</f>
        <v>2.4898052005994531</v>
      </c>
      <c r="M168" t="s">
        <v>8</v>
      </c>
      <c r="N168" s="412" t="str">
        <f>IF(AND(D168&lt;=O150,D168&lt;=D7),"","FPBW")</f>
        <v/>
      </c>
      <c r="O168" s="32"/>
      <c r="U168" s="112"/>
      <c r="V168"/>
      <c r="W168"/>
      <c r="X168"/>
    </row>
    <row r="169" spans="1:24" ht="16.2" hidden="1" x14ac:dyDescent="0.3">
      <c r="A169" s="57"/>
      <c r="B169" t="s">
        <v>418</v>
      </c>
      <c r="D169" s="283">
        <f>(4*D155*I152+I152^2)/6</f>
        <v>7666.666666666667</v>
      </c>
      <c r="E169" t="s">
        <v>419</v>
      </c>
      <c r="F169" s="144"/>
      <c r="J169" t="s">
        <v>418</v>
      </c>
      <c r="L169" s="283">
        <f>(4*L155*Q152+Q152^2)/6</f>
        <v>7333.333333333333</v>
      </c>
      <c r="M169" t="s">
        <v>419</v>
      </c>
      <c r="N169" s="123"/>
      <c r="O169" s="32"/>
      <c r="S169" s="112" t="s">
        <v>393</v>
      </c>
      <c r="T169" s="92" t="s">
        <v>366</v>
      </c>
      <c r="U169" s="181">
        <f>D141</f>
        <v>0.88888888888888884</v>
      </c>
      <c r="V169" s="182">
        <f ca="1">IF($U$169&gt;=$U$167,V167,IF($U$169&lt;=$U$161,V161,FORECAST($U$169,OFFSET(V160,MATCH($U$169,$U$161:$U$167,1),0,2),OFFSET($U$160,MATCH($U$169,$U$161:$U$167,1),0,2))))</f>
        <v>0.41099999999999992</v>
      </c>
      <c r="W169" s="182">
        <f ca="1">IF($U$169&gt;=$U$167,W167,IF($U$169&lt;=$U$161,W161,FORECAST($U$169,OFFSET(W160,MATCH($U$169,$U$161:$U$167,1),0,2),OFFSET($U$160,MATCH($U$169,$U$161:$U$167,1),0,2))))</f>
        <v>0.20966666666666667</v>
      </c>
      <c r="X169" s="184">
        <f ca="1">IF($U$169&gt;=$U$167,X167,IF($U$169&lt;=$U$161,X161,FORECAST($U$169,OFFSET(X160,MATCH($U$169,$U$161:$U$167,1),0,2),OFFSET($U$160,MATCH($U$169,$U$161:$U$167,1),0,2))))</f>
        <v>0.25522222222222224</v>
      </c>
    </row>
    <row r="170" spans="1:24" ht="16.8" hidden="1" x14ac:dyDescent="0.35">
      <c r="A170" s="57"/>
      <c r="B170" t="s">
        <v>420</v>
      </c>
      <c r="D170" s="284">
        <f>D156*10^6/D169</f>
        <v>907.02673796791385</v>
      </c>
      <c r="E170" t="s">
        <v>410</v>
      </c>
      <c r="F170" s="144"/>
      <c r="J170" t="s">
        <v>420</v>
      </c>
      <c r="L170" s="284">
        <f>L156*10^6/L169</f>
        <v>845.82024793388382</v>
      </c>
      <c r="M170" t="s">
        <v>415</v>
      </c>
      <c r="N170" s="123"/>
      <c r="O170" s="32"/>
      <c r="T170" s="102"/>
      <c r="U170" s="91" t="s">
        <v>394</v>
      </c>
      <c r="V170" s="279">
        <f ca="1">V169*$D$140*$D$138^2/$D$132^2</f>
        <v>44.656894552139001</v>
      </c>
      <c r="W170" s="279">
        <f ca="1">W169*$D$140*$D$138^2/$D$132^2</f>
        <v>22.781173295454536</v>
      </c>
      <c r="X170" s="280">
        <f ca="1">X169*$D$140*$D$138^2/$D$132^2</f>
        <v>27.730977774064158</v>
      </c>
    </row>
    <row r="171" spans="1:24" hidden="1" x14ac:dyDescent="0.3">
      <c r="A171" s="57"/>
      <c r="B171" t="s">
        <v>421</v>
      </c>
      <c r="D171"/>
      <c r="E171"/>
      <c r="F171" s="144"/>
      <c r="J171" t="s">
        <v>421</v>
      </c>
      <c r="L171"/>
      <c r="M171"/>
      <c r="N171" s="123"/>
      <c r="O171" s="32"/>
    </row>
    <row r="172" spans="1:24" hidden="1" x14ac:dyDescent="0.3">
      <c r="A172" s="57"/>
      <c r="B172" t="s">
        <v>417</v>
      </c>
      <c r="D172" s="147">
        <f>D170/D166/0.7</f>
        <v>5.7252784037313758</v>
      </c>
      <c r="E172" t="s">
        <v>8</v>
      </c>
      <c r="F172" s="148" t="str">
        <f>IF(AND(D172&lt;=G150,D172&lt;=D7),"","FPBW")</f>
        <v/>
      </c>
      <c r="J172" t="s">
        <v>417</v>
      </c>
      <c r="L172" s="147">
        <f>L170/L166/0.7</f>
        <v>5.3389345608308725</v>
      </c>
      <c r="M172" t="s">
        <v>8</v>
      </c>
      <c r="N172" s="412" t="str">
        <f>IF(AND(D172&lt;=O150,D172&lt;=D7),"","FPBW")</f>
        <v/>
      </c>
      <c r="O172" s="32"/>
    </row>
    <row r="173" spans="1:24" hidden="1" x14ac:dyDescent="0.3">
      <c r="A173" s="57"/>
      <c r="B173" s="3" t="s">
        <v>422</v>
      </c>
      <c r="D173" s="281">
        <f>MAX(D172,D168,D165)</f>
        <v>5.7252784037313758</v>
      </c>
      <c r="E173" s="3" t="s">
        <v>8</v>
      </c>
      <c r="F173" s="141"/>
      <c r="J173" s="3" t="s">
        <v>422</v>
      </c>
      <c r="L173" s="281">
        <f>MAX(L172,L168,L165)</f>
        <v>5.3389345608308725</v>
      </c>
      <c r="M173" s="3" t="s">
        <v>8</v>
      </c>
      <c r="N173" s="32"/>
      <c r="O173" s="32"/>
    </row>
    <row r="174" spans="1:24" hidden="1" x14ac:dyDescent="0.3">
      <c r="A174" s="57"/>
      <c r="B174" s="3" t="s">
        <v>423</v>
      </c>
      <c r="D174" s="285">
        <f>HLOOKUP($K$38,$Z$22:$AD$42,21,FALSE)</f>
        <v>6</v>
      </c>
      <c r="E174" s="3" t="s">
        <v>8</v>
      </c>
      <c r="F174" s="148" t="str">
        <f>IF(AND(D174&lt;=G150,D174&lt;=D6,D174&lt;=D7,D174&gt;=D172,D174&gt;=D168),"","FPBW")</f>
        <v/>
      </c>
      <c r="J174" s="3" t="s">
        <v>423</v>
      </c>
      <c r="L174" s="285">
        <v>20</v>
      </c>
      <c r="M174" s="3" t="s">
        <v>8</v>
      </c>
      <c r="N174" s="412" t="str">
        <f>IF(AND(D174&lt;=O150,D174&lt;=D6,D174&lt;=D7,D174&gt;=D172,D174&gt;=D168),"","FPBW")</f>
        <v/>
      </c>
      <c r="O174" s="32"/>
    </row>
    <row r="175" spans="1:24" hidden="1" x14ac:dyDescent="0.3">
      <c r="A175" s="57"/>
      <c r="F175" s="141"/>
    </row>
    <row r="176" spans="1:24" ht="15" hidden="1" thickBot="1" x14ac:dyDescent="0.35">
      <c r="A176" s="59"/>
      <c r="B176" s="150"/>
      <c r="C176" s="150"/>
      <c r="D176" s="150"/>
      <c r="E176" s="150"/>
      <c r="F176" s="151"/>
    </row>
    <row r="177" spans="2:14" customFormat="1" hidden="1" x14ac:dyDescent="0.3"/>
    <row r="178" spans="2:14" customFormat="1" x14ac:dyDescent="0.3">
      <c r="B178" t="s">
        <v>713</v>
      </c>
      <c r="C178" t="s">
        <v>714</v>
      </c>
      <c r="D178" s="284">
        <f>D154*D155/1000</f>
        <v>154.53048128342238</v>
      </c>
      <c r="E178" t="s">
        <v>19</v>
      </c>
      <c r="F178" t="s">
        <v>715</v>
      </c>
      <c r="G178" s="3"/>
      <c r="I178" s="3"/>
      <c r="J178" t="s">
        <v>713</v>
      </c>
      <c r="K178" t="s">
        <v>714</v>
      </c>
      <c r="L178" s="284">
        <f>L163</f>
        <v>145.94545454545448</v>
      </c>
      <c r="M178" t="s">
        <v>19</v>
      </c>
      <c r="N178" t="s">
        <v>715</v>
      </c>
    </row>
    <row r="179" spans="2:14" customFormat="1" x14ac:dyDescent="0.3">
      <c r="B179" t="s">
        <v>716</v>
      </c>
      <c r="C179" t="s">
        <v>717</v>
      </c>
      <c r="D179" s="283">
        <f>(I152+D138)*2</f>
        <v>380</v>
      </c>
      <c r="E179" t="s">
        <v>8</v>
      </c>
      <c r="G179" s="3"/>
      <c r="I179" s="3"/>
      <c r="J179" t="s">
        <v>716</v>
      </c>
      <c r="K179" t="s">
        <v>717</v>
      </c>
      <c r="L179" s="283">
        <f>L164</f>
        <v>370</v>
      </c>
      <c r="M179" t="s">
        <v>8</v>
      </c>
    </row>
    <row r="180" spans="2:14" customFormat="1" x14ac:dyDescent="0.3">
      <c r="B180" t="s">
        <v>718</v>
      </c>
      <c r="D180">
        <f>IF(MAX(D6:D7,G150)&lt;=10,3,IF(MAX(D6:D7,G150)&lt;=20,5,IF(MAX(D6:D7,G150)&lt;=32,6,IF(MAX(D6:D7,G150)&lt;=50,10))))</f>
        <v>5</v>
      </c>
      <c r="E180" t="s">
        <v>8</v>
      </c>
      <c r="F180" t="s">
        <v>719</v>
      </c>
      <c r="G180" s="3"/>
      <c r="I180" s="3"/>
      <c r="J180" t="s">
        <v>718</v>
      </c>
      <c r="L180">
        <f>L165</f>
        <v>5</v>
      </c>
      <c r="M180" t="s">
        <v>8</v>
      </c>
      <c r="N180" t="s">
        <v>719</v>
      </c>
    </row>
    <row r="181" spans="2:14" customFormat="1" x14ac:dyDescent="0.3">
      <c r="B181" t="s">
        <v>720</v>
      </c>
      <c r="D181">
        <f>MIN(D139,D7)</f>
        <v>8</v>
      </c>
      <c r="E181" t="s">
        <v>8</v>
      </c>
      <c r="F181" t="s">
        <v>748</v>
      </c>
      <c r="G181" s="3"/>
      <c r="I181" s="3"/>
      <c r="J181" t="s">
        <v>720</v>
      </c>
      <c r="L181">
        <f>MIN(L139,D6)</f>
        <v>7.2</v>
      </c>
      <c r="M181" t="s">
        <v>8</v>
      </c>
      <c r="N181" t="s">
        <v>748</v>
      </c>
    </row>
    <row r="182" spans="2:14" customFormat="1" x14ac:dyDescent="0.3">
      <c r="B182" t="s">
        <v>721</v>
      </c>
      <c r="C182" t="s">
        <v>722</v>
      </c>
      <c r="D182" s="285">
        <v>16</v>
      </c>
      <c r="E182" t="s">
        <v>8</v>
      </c>
      <c r="F182" t="str">
        <f>IF(D182&lt;=D181,"OK","Check")</f>
        <v>Check</v>
      </c>
      <c r="G182" s="3"/>
      <c r="I182" s="3"/>
      <c r="J182" t="s">
        <v>721</v>
      </c>
      <c r="K182" t="s">
        <v>722</v>
      </c>
      <c r="L182" s="285">
        <v>16</v>
      </c>
      <c r="M182" t="s">
        <v>8</v>
      </c>
      <c r="N182" t="str">
        <f>IF(L182&lt;=L181,"OK","Check")</f>
        <v>Check</v>
      </c>
    </row>
    <row r="183" spans="2:14" customFormat="1" x14ac:dyDescent="0.3">
      <c r="B183" t="s">
        <v>723</v>
      </c>
      <c r="C183" t="s">
        <v>724</v>
      </c>
      <c r="D183" t="s">
        <v>725</v>
      </c>
      <c r="F183" t="s">
        <v>719</v>
      </c>
      <c r="G183" s="3"/>
      <c r="I183" s="3"/>
      <c r="J183" t="s">
        <v>723</v>
      </c>
      <c r="K183" t="s">
        <v>724</v>
      </c>
      <c r="L183" t="s">
        <v>725</v>
      </c>
      <c r="N183" t="s">
        <v>719</v>
      </c>
    </row>
    <row r="184" spans="2:14" customFormat="1" x14ac:dyDescent="0.3">
      <c r="C184" t="s">
        <v>724</v>
      </c>
      <c r="D184">
        <f>0.7*D182*D179</f>
        <v>4256</v>
      </c>
      <c r="E184" t="s">
        <v>11</v>
      </c>
      <c r="G184" s="3"/>
      <c r="I184" s="3"/>
      <c r="K184" t="s">
        <v>724</v>
      </c>
      <c r="L184">
        <f>0.7*L182*L179</f>
        <v>4144</v>
      </c>
      <c r="M184" t="s">
        <v>11</v>
      </c>
    </row>
    <row r="185" spans="2:14" customFormat="1" x14ac:dyDescent="0.3">
      <c r="B185" t="s">
        <v>726</v>
      </c>
      <c r="C185" t="s">
        <v>727</v>
      </c>
      <c r="D185" s="425">
        <f>0.7*D182*D179^2/4</f>
        <v>404320</v>
      </c>
      <c r="E185" t="s">
        <v>728</v>
      </c>
      <c r="G185" s="3"/>
      <c r="I185" s="3"/>
      <c r="J185" t="s">
        <v>726</v>
      </c>
      <c r="K185" t="s">
        <v>727</v>
      </c>
      <c r="L185" s="425">
        <f>0.7*L182*L138^2/4</f>
        <v>20230</v>
      </c>
      <c r="M185" t="s">
        <v>728</v>
      </c>
    </row>
    <row r="186" spans="2:14" customFormat="1" x14ac:dyDescent="0.3">
      <c r="B186" t="s">
        <v>414</v>
      </c>
      <c r="C186" t="s">
        <v>262</v>
      </c>
      <c r="D186" s="91" t="s">
        <v>729</v>
      </c>
      <c r="F186" t="s">
        <v>730</v>
      </c>
      <c r="G186" s="3"/>
      <c r="I186" s="3"/>
      <c r="J186" t="s">
        <v>414</v>
      </c>
      <c r="K186" t="s">
        <v>262</v>
      </c>
      <c r="L186" s="91" t="s">
        <v>729</v>
      </c>
      <c r="N186" t="s">
        <v>730</v>
      </c>
    </row>
    <row r="187" spans="2:14" customFormat="1" x14ac:dyDescent="0.3">
      <c r="D187" s="426" t="s">
        <v>731</v>
      </c>
      <c r="G187" s="3"/>
      <c r="I187" s="3"/>
      <c r="L187" s="426" t="s">
        <v>731</v>
      </c>
    </row>
    <row r="188" spans="2:14" customFormat="1" x14ac:dyDescent="0.3">
      <c r="C188" t="s">
        <v>262</v>
      </c>
      <c r="D188" s="283">
        <f>D45/(SQRT(3)*1.25)</f>
        <v>226.32130552233332</v>
      </c>
      <c r="E188" t="s">
        <v>7</v>
      </c>
      <c r="G188" s="3"/>
      <c r="I188" s="3"/>
      <c r="K188" t="s">
        <v>262</v>
      </c>
      <c r="L188" s="283">
        <f>D45/(SQRT(3)*1.25)</f>
        <v>226.32130552233332</v>
      </c>
      <c r="M188" t="s">
        <v>7</v>
      </c>
    </row>
    <row r="189" spans="2:14" customFormat="1" x14ac:dyDescent="0.3">
      <c r="B189" t="s">
        <v>732</v>
      </c>
      <c r="C189" t="s">
        <v>733</v>
      </c>
      <c r="D189" s="427">
        <f>D178*1000/D184</f>
        <v>36.308853685014661</v>
      </c>
      <c r="E189" t="s">
        <v>7</v>
      </c>
      <c r="F189" t="s">
        <v>734</v>
      </c>
      <c r="G189" s="3"/>
      <c r="I189" s="3"/>
      <c r="J189" t="s">
        <v>732</v>
      </c>
      <c r="K189" t="s">
        <v>733</v>
      </c>
      <c r="L189" s="427">
        <f>L178*1000/L184</f>
        <v>35.218497718497701</v>
      </c>
      <c r="M189" t="s">
        <v>7</v>
      </c>
      <c r="N189" t="s">
        <v>734</v>
      </c>
    </row>
    <row r="190" spans="2:14" customFormat="1" x14ac:dyDescent="0.3">
      <c r="B190" t="s">
        <v>735</v>
      </c>
      <c r="C190" t="s">
        <v>736</v>
      </c>
      <c r="D190" s="429">
        <f>D154*D155^2/2</f>
        <v>6953871.6577540068</v>
      </c>
      <c r="E190" t="s">
        <v>487</v>
      </c>
      <c r="F190" t="s">
        <v>737</v>
      </c>
      <c r="G190" s="3"/>
      <c r="I190" s="3"/>
      <c r="J190" t="s">
        <v>735</v>
      </c>
      <c r="K190" t="s">
        <v>736</v>
      </c>
      <c r="L190" s="429">
        <f>L140*L138^2/2</f>
        <v>77533.522727272677</v>
      </c>
      <c r="M190" t="s">
        <v>487</v>
      </c>
      <c r="N190" t="s">
        <v>737</v>
      </c>
    </row>
    <row r="191" spans="2:14" customFormat="1" x14ac:dyDescent="0.3">
      <c r="B191" t="s">
        <v>738</v>
      </c>
      <c r="C191" t="s">
        <v>739</v>
      </c>
      <c r="D191" s="283">
        <f>D190/D185</f>
        <v>17.19893069290168</v>
      </c>
      <c r="E191" t="s">
        <v>7</v>
      </c>
      <c r="F191" t="s">
        <v>740</v>
      </c>
      <c r="G191" s="3"/>
      <c r="I191" s="3"/>
      <c r="J191" t="s">
        <v>738</v>
      </c>
      <c r="K191" t="s">
        <v>739</v>
      </c>
      <c r="L191" s="283">
        <f>L190/L185</f>
        <v>3.832601222307102</v>
      </c>
      <c r="M191" t="s">
        <v>7</v>
      </c>
      <c r="N191" t="s">
        <v>740</v>
      </c>
    </row>
    <row r="192" spans="2:14" customFormat="1" x14ac:dyDescent="0.3">
      <c r="B192" t="s">
        <v>741</v>
      </c>
      <c r="C192" t="s">
        <v>742</v>
      </c>
      <c r="D192" t="s">
        <v>743</v>
      </c>
      <c r="E192" s="90" t="s">
        <v>744</v>
      </c>
      <c r="F192" s="91" t="s">
        <v>729</v>
      </c>
      <c r="G192" s="3"/>
      <c r="I192" s="3"/>
      <c r="J192" t="s">
        <v>741</v>
      </c>
      <c r="K192" t="s">
        <v>742</v>
      </c>
      <c r="L192" t="s">
        <v>743</v>
      </c>
      <c r="M192" t="s">
        <v>744</v>
      </c>
      <c r="N192" t="s">
        <v>729</v>
      </c>
    </row>
    <row r="193" spans="2:15" customFormat="1" x14ac:dyDescent="0.3">
      <c r="B193" t="s">
        <v>745</v>
      </c>
      <c r="F193" s="426" t="s">
        <v>731</v>
      </c>
      <c r="G193" s="3"/>
      <c r="I193" s="3"/>
      <c r="J193" t="s">
        <v>745</v>
      </c>
      <c r="N193" t="s">
        <v>731</v>
      </c>
    </row>
    <row r="194" spans="2:15" customFormat="1" x14ac:dyDescent="0.3">
      <c r="C194" t="s">
        <v>742</v>
      </c>
      <c r="D194" s="283">
        <f>SQRT(D191^2+3*D189^2)</f>
        <v>65.198173170255643</v>
      </c>
      <c r="E194" t="s">
        <v>7</v>
      </c>
      <c r="F194" s="90" t="str">
        <f>IF(D194&lt;=D188,"&lt;=","&gt;")</f>
        <v>&lt;=</v>
      </c>
      <c r="G194" t="s">
        <v>262</v>
      </c>
      <c r="H194" s="3"/>
      <c r="I194" s="3"/>
      <c r="K194" t="s">
        <v>742</v>
      </c>
      <c r="L194" s="283">
        <f>SQRT(L191^2+3*L189^2)</f>
        <v>61.120508642948266</v>
      </c>
      <c r="M194" t="s">
        <v>7</v>
      </c>
      <c r="N194" t="str">
        <f>IF(L194&lt;=L188,"&lt;=","&gt;")</f>
        <v>&lt;=</v>
      </c>
      <c r="O194" t="s">
        <v>262</v>
      </c>
    </row>
    <row r="195" spans="2:15" customFormat="1" x14ac:dyDescent="0.3">
      <c r="B195" t="s">
        <v>180</v>
      </c>
      <c r="D195" s="283">
        <f>D194/D188</f>
        <v>0.28807792982539998</v>
      </c>
      <c r="E195" t="s">
        <v>746</v>
      </c>
      <c r="F195" s="428" t="str">
        <f>IF(D194&lt;=D188,"Safe","Unsafe")</f>
        <v>Safe</v>
      </c>
      <c r="G195" s="3"/>
      <c r="I195" s="3"/>
      <c r="J195" t="s">
        <v>180</v>
      </c>
      <c r="L195" s="283">
        <f>L194/L188</f>
        <v>0.2700607815154058</v>
      </c>
      <c r="M195" t="s">
        <v>746</v>
      </c>
      <c r="N195" s="428" t="str">
        <f>IF(L194&lt;=L188,"Safe","Unsafe")</f>
        <v>Safe</v>
      </c>
    </row>
    <row r="196" spans="2:15" customFormat="1" x14ac:dyDescent="0.3">
      <c r="G196" s="3"/>
      <c r="I196" s="3"/>
    </row>
    <row r="197" spans="2:15" customFormat="1" x14ac:dyDescent="0.3">
      <c r="B197" t="s">
        <v>747</v>
      </c>
      <c r="D197">
        <f>D182</f>
        <v>16</v>
      </c>
      <c r="E197" t="s">
        <v>8</v>
      </c>
      <c r="G197" s="3"/>
      <c r="I197" s="3"/>
      <c r="J197" t="s">
        <v>747</v>
      </c>
      <c r="L197">
        <f>L182</f>
        <v>16</v>
      </c>
      <c r="M197" t="s">
        <v>8</v>
      </c>
    </row>
    <row r="198" spans="2:15" customFormat="1" x14ac:dyDescent="0.3"/>
    <row r="199" spans="2:15" customFormat="1" x14ac:dyDescent="0.3"/>
    <row r="200" spans="2:15" customFormat="1" x14ac:dyDescent="0.3"/>
    <row r="201" spans="2:15" customFormat="1" x14ac:dyDescent="0.3"/>
    <row r="202" spans="2:15" customFormat="1" x14ac:dyDescent="0.3"/>
    <row r="203" spans="2:15" customFormat="1" x14ac:dyDescent="0.3"/>
    <row r="204" spans="2:15" customFormat="1" x14ac:dyDescent="0.3"/>
    <row r="205" spans="2:15" customFormat="1" x14ac:dyDescent="0.3"/>
    <row r="206" spans="2:15" customFormat="1" x14ac:dyDescent="0.3"/>
    <row r="207" spans="2:15" customFormat="1" x14ac:dyDescent="0.3"/>
    <row r="208" spans="2:15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</sheetData>
  <dataConsolidate/>
  <mergeCells count="6">
    <mergeCell ref="A1:F1"/>
    <mergeCell ref="J12:L12"/>
    <mergeCell ref="Q27:S27"/>
    <mergeCell ref="U158:X158"/>
    <mergeCell ref="B129:D129"/>
    <mergeCell ref="J129:L129"/>
  </mergeCells>
  <conditionalFormatting sqref="F31:F34">
    <cfRule type="expression" dxfId="43" priority="39">
      <formula>$D31&lt;$F31</formula>
    </cfRule>
  </conditionalFormatting>
  <conditionalFormatting sqref="R4:R6 R8:R10 F68">
    <cfRule type="containsText" dxfId="42" priority="38" operator="containsText" text="Check">
      <formula>NOT(ISERROR(SEARCH("Check",F4)))</formula>
    </cfRule>
  </conditionalFormatting>
  <conditionalFormatting sqref="F65">
    <cfRule type="containsText" dxfId="41" priority="37" operator="containsText" text="Check">
      <formula>NOT(ISERROR(SEARCH("Check",F65)))</formula>
    </cfRule>
  </conditionalFormatting>
  <conditionalFormatting sqref="F67">
    <cfRule type="containsText" dxfId="40" priority="36" operator="containsText" text="Check">
      <formula>NOT(ISERROR(SEARCH("Check",F67)))</formula>
    </cfRule>
  </conditionalFormatting>
  <conditionalFormatting sqref="F75">
    <cfRule type="containsText" dxfId="39" priority="35" operator="containsText" text="Check">
      <formula>NOT(ISERROR(SEARCH("Check",F75)))</formula>
    </cfRule>
  </conditionalFormatting>
  <conditionalFormatting sqref="F96">
    <cfRule type="containsText" dxfId="38" priority="34" operator="containsText" text="Check">
      <formula>NOT(ISERROR(SEARCH("Check",F96)))</formula>
    </cfRule>
  </conditionalFormatting>
  <conditionalFormatting sqref="F57">
    <cfRule type="containsText" dxfId="37" priority="33" operator="containsText" text="Check">
      <formula>NOT(ISERROR(SEARCH("Check",F57)))</formula>
    </cfRule>
  </conditionalFormatting>
  <conditionalFormatting sqref="F43">
    <cfRule type="containsText" dxfId="36" priority="31" operator="containsText" text="Check">
      <formula>NOT(ISERROR(SEARCH("Check",F43)))</formula>
    </cfRule>
  </conditionalFormatting>
  <conditionalFormatting sqref="F89">
    <cfRule type="containsText" dxfId="35" priority="32" operator="containsText" text="Check">
      <formula>NOT(ISERROR(SEARCH("Check",F89)))</formula>
    </cfRule>
  </conditionalFormatting>
  <conditionalFormatting sqref="O13:O29">
    <cfRule type="cellIs" dxfId="34" priority="30" operator="equal">
      <formula>1</formula>
    </cfRule>
  </conditionalFormatting>
  <conditionalFormatting sqref="F118">
    <cfRule type="containsText" dxfId="33" priority="29" operator="containsText" text="Check">
      <formula>NOT(ISERROR(SEARCH("Check",F118)))</formula>
    </cfRule>
  </conditionalFormatting>
  <conditionalFormatting sqref="F126">
    <cfRule type="containsText" dxfId="32" priority="28" operator="containsText" text="Check">
      <formula>NOT(ISERROR(SEARCH("Check",F126)))</formula>
    </cfRule>
  </conditionalFormatting>
  <conditionalFormatting sqref="F137">
    <cfRule type="containsText" dxfId="31" priority="27" operator="containsText" text="Check">
      <formula>NOT(ISERROR(SEARCH("Check",F137)))</formula>
    </cfRule>
  </conditionalFormatting>
  <conditionalFormatting sqref="F136">
    <cfRule type="beginsWith" dxfId="30" priority="26" operator="beginsWith" text="Provide">
      <formula>LEFT(F136,LEN("Provide"))="Provide"</formula>
    </cfRule>
  </conditionalFormatting>
  <conditionalFormatting sqref="F146">
    <cfRule type="containsText" dxfId="29" priority="25" operator="containsText" text="Check">
      <formula>NOT(ISERROR(SEARCH("Check",F146)))</formula>
    </cfRule>
  </conditionalFormatting>
  <conditionalFormatting sqref="F159">
    <cfRule type="containsText" dxfId="28" priority="24" operator="containsText" text="Check">
      <formula>NOT(ISERROR(SEARCH("Check",F159)))</formula>
    </cfRule>
  </conditionalFormatting>
  <conditionalFormatting sqref="F160">
    <cfRule type="containsText" dxfId="27" priority="23" operator="containsText" text="Check">
      <formula>NOT(ISERROR(SEARCH("Check",F160)))</formula>
    </cfRule>
  </conditionalFormatting>
  <conditionalFormatting sqref="F97:G106">
    <cfRule type="containsText" dxfId="26" priority="22" operator="containsText" text="Check">
      <formula>NOT(ISERROR(SEARCH("Check",F97)))</formula>
    </cfRule>
  </conditionalFormatting>
  <conditionalFormatting sqref="N137">
    <cfRule type="containsText" dxfId="25" priority="21" operator="containsText" text="Check">
      <formula>NOT(ISERROR(SEARCH("Check",N137)))</formula>
    </cfRule>
  </conditionalFormatting>
  <conditionalFormatting sqref="N136">
    <cfRule type="beginsWith" dxfId="24" priority="20" operator="beginsWith" text="Provide">
      <formula>LEFT(N136,LEN("Provide"))="Provide"</formula>
    </cfRule>
  </conditionalFormatting>
  <conditionalFormatting sqref="N146">
    <cfRule type="containsText" dxfId="23" priority="19" operator="containsText" text="Check">
      <formula>NOT(ISERROR(SEARCH("Check",N146)))</formula>
    </cfRule>
  </conditionalFormatting>
  <conditionalFormatting sqref="N159">
    <cfRule type="containsText" dxfId="22" priority="18" operator="containsText" text="Check">
      <formula>NOT(ISERROR(SEARCH("Check",N159)))</formula>
    </cfRule>
  </conditionalFormatting>
  <conditionalFormatting sqref="N160">
    <cfRule type="containsText" dxfId="21" priority="17" operator="containsText" text="Check">
      <formula>NOT(ISERROR(SEARCH("Check",N160)))</formula>
    </cfRule>
  </conditionalFormatting>
  <conditionalFormatting sqref="F195">
    <cfRule type="containsText" dxfId="20" priority="5" operator="containsText" text="UNSAFE">
      <formula>NOT(ISERROR(SEARCH("UNSAFE",F195)))</formula>
    </cfRule>
    <cfRule type="containsText" dxfId="19" priority="6" operator="containsText" text="SAFE">
      <formula>NOT(ISERROR(SEARCH("SAFE",F195)))</formula>
    </cfRule>
  </conditionalFormatting>
  <conditionalFormatting sqref="N195">
    <cfRule type="containsText" dxfId="18" priority="3" operator="containsText" text="UNSAFE">
      <formula>NOT(ISERROR(SEARCH("UNSAFE",N195)))</formula>
    </cfRule>
    <cfRule type="containsText" dxfId="17" priority="4" operator="containsText" text="SAFE">
      <formula>NOT(ISERROR(SEARCH("SAFE",N195)))</formula>
    </cfRule>
  </conditionalFormatting>
  <conditionalFormatting sqref="D195">
    <cfRule type="expression" dxfId="16" priority="2">
      <formula>D195&gt;=1</formula>
    </cfRule>
  </conditionalFormatting>
  <conditionalFormatting sqref="L195">
    <cfRule type="expression" dxfId="15" priority="1">
      <formula>L195&gt;=1</formula>
    </cfRule>
  </conditionalFormatting>
  <dataValidations disablePrompts="1" count="1">
    <dataValidation type="list" allowBlank="1" showInputMessage="1" showErrorMessage="1" sqref="D44" xr:uid="{0D482FD2-45B4-40B6-A9E9-77E958FAFEBC}">
      <formula1>$P$29:$P$35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EFA-78DE-4863-BBF7-4F52B8E5855D}">
  <sheetPr>
    <tabColor rgb="FF92D050"/>
  </sheetPr>
  <dimension ref="A1:BK104"/>
  <sheetViews>
    <sheetView zoomScale="90" zoomScaleNormal="90" workbookViewId="0">
      <pane xSplit="2" ySplit="8" topLeftCell="AD9" activePane="bottomRight" state="frozen"/>
      <selection pane="topRight" activeCell="C1" sqref="C1"/>
      <selection pane="bottomLeft" activeCell="A9" sqref="A9"/>
      <selection pane="bottomRight" activeCell="AG42" sqref="AG42"/>
    </sheetView>
  </sheetViews>
  <sheetFormatPr defaultRowHeight="14.4" x14ac:dyDescent="0.3"/>
  <cols>
    <col min="1" max="1" width="15.21875" bestFit="1" customWidth="1"/>
    <col min="2" max="2" width="13.44140625" bestFit="1" customWidth="1"/>
    <col min="3" max="8" width="8.88671875" customWidth="1"/>
    <col min="9" max="9" width="10" customWidth="1"/>
    <col min="10" max="10" width="8.88671875" customWidth="1"/>
    <col min="11" max="11" width="10" customWidth="1"/>
    <col min="12" max="12" width="13.44140625" bestFit="1" customWidth="1"/>
    <col min="13" max="13" width="9" bestFit="1" customWidth="1"/>
    <col min="16" max="16" width="11.6640625" customWidth="1"/>
    <col min="17" max="19" width="8.88671875" customWidth="1"/>
    <col min="21" max="28" width="8.88671875" customWidth="1"/>
    <col min="29" max="29" width="9.33203125" customWidth="1"/>
    <col min="30" max="30" width="8.88671875" customWidth="1"/>
    <col min="31" max="31" width="13.33203125" bestFit="1" customWidth="1"/>
    <col min="32" max="32" width="9.21875" customWidth="1"/>
    <col min="38" max="49" width="8.88671875" customWidth="1"/>
    <col min="50" max="50" width="16.6640625" bestFit="1" customWidth="1"/>
    <col min="62" max="62" width="10" bestFit="1" customWidth="1"/>
    <col min="63" max="63" width="9" bestFit="1" customWidth="1"/>
  </cols>
  <sheetData>
    <row r="1" spans="1:63" ht="15.6" x14ac:dyDescent="0.35">
      <c r="A1" s="190"/>
      <c r="B1" s="191"/>
      <c r="C1" s="191"/>
    </row>
    <row r="3" spans="1:63" hidden="1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</row>
    <row r="4" spans="1:63" ht="31.2" hidden="1" x14ac:dyDescent="0.35">
      <c r="A4" s="190" t="s">
        <v>621</v>
      </c>
      <c r="K4">
        <v>22</v>
      </c>
      <c r="L4">
        <v>23</v>
      </c>
      <c r="M4">
        <v>24</v>
      </c>
      <c r="P4">
        <v>2</v>
      </c>
      <c r="R4">
        <v>3</v>
      </c>
      <c r="T4">
        <v>4</v>
      </c>
      <c r="Y4">
        <v>5</v>
      </c>
      <c r="Z4">
        <v>6</v>
      </c>
      <c r="AA4">
        <v>7</v>
      </c>
      <c r="AB4">
        <v>8</v>
      </c>
      <c r="AD4">
        <v>9</v>
      </c>
      <c r="AE4">
        <v>10</v>
      </c>
      <c r="AG4">
        <v>11</v>
      </c>
      <c r="AH4">
        <v>12</v>
      </c>
      <c r="AJ4">
        <v>13</v>
      </c>
      <c r="AK4">
        <v>14</v>
      </c>
      <c r="AL4">
        <v>15</v>
      </c>
      <c r="AN4">
        <v>16</v>
      </c>
      <c r="AP4">
        <v>17</v>
      </c>
      <c r="AQ4">
        <v>18</v>
      </c>
      <c r="AR4">
        <v>19</v>
      </c>
      <c r="AS4">
        <v>20</v>
      </c>
      <c r="AW4">
        <v>21</v>
      </c>
    </row>
    <row r="5" spans="1:63" ht="15" thickBot="1" x14ac:dyDescent="0.35"/>
    <row r="6" spans="1:63" ht="16.2" thickBot="1" x14ac:dyDescent="0.35">
      <c r="A6" s="144"/>
      <c r="B6" s="459" t="s">
        <v>622</v>
      </c>
      <c r="C6" s="460"/>
      <c r="D6" s="460"/>
      <c r="E6" s="460"/>
      <c r="F6" s="460"/>
      <c r="G6" s="460"/>
      <c r="H6" s="460"/>
      <c r="I6" s="460"/>
      <c r="J6" s="460"/>
      <c r="K6" s="460"/>
      <c r="L6" s="460"/>
      <c r="M6" s="461"/>
      <c r="N6" s="459" t="s">
        <v>463</v>
      </c>
      <c r="O6" s="460"/>
      <c r="P6" s="460"/>
      <c r="Q6" s="460"/>
      <c r="R6" s="460"/>
      <c r="S6" s="460"/>
      <c r="T6" s="460"/>
      <c r="U6" s="460"/>
      <c r="V6" s="460"/>
      <c r="W6" s="460"/>
      <c r="X6" s="460"/>
      <c r="Y6" s="460"/>
      <c r="Z6" s="460"/>
      <c r="AA6" s="460"/>
      <c r="AB6" s="460"/>
      <c r="AC6" s="460"/>
      <c r="AD6" s="460"/>
      <c r="AE6" s="460"/>
      <c r="AF6" s="461"/>
      <c r="AG6" s="459" t="s">
        <v>342</v>
      </c>
      <c r="AH6" s="460"/>
      <c r="AI6" s="460"/>
      <c r="AJ6" s="460"/>
      <c r="AK6" s="461"/>
      <c r="AL6" s="459" t="s">
        <v>466</v>
      </c>
      <c r="AM6" s="460"/>
      <c r="AN6" s="460"/>
      <c r="AO6" s="460"/>
      <c r="AP6" s="460"/>
      <c r="AQ6" s="460"/>
      <c r="AR6" s="460"/>
      <c r="AS6" s="460"/>
      <c r="AT6" s="460"/>
      <c r="AU6" s="460"/>
      <c r="AV6" s="460"/>
      <c r="AW6" s="461"/>
      <c r="AX6" s="465" t="s">
        <v>448</v>
      </c>
      <c r="AZ6" s="462" t="s">
        <v>708</v>
      </c>
      <c r="BA6" s="463"/>
      <c r="BB6" s="463"/>
      <c r="BC6" s="463"/>
      <c r="BD6" s="463"/>
      <c r="BE6" s="463"/>
      <c r="BF6" s="463"/>
      <c r="BG6" s="463"/>
      <c r="BH6" s="463"/>
      <c r="BI6" s="463"/>
      <c r="BJ6" s="463"/>
      <c r="BK6" s="464"/>
    </row>
    <row r="7" spans="1:63" ht="72" x14ac:dyDescent="0.3">
      <c r="A7" s="410" t="s">
        <v>292</v>
      </c>
      <c r="B7" s="297" t="s">
        <v>344</v>
      </c>
      <c r="C7" s="295" t="s">
        <v>563</v>
      </c>
      <c r="D7" s="295" t="s">
        <v>564</v>
      </c>
      <c r="E7" s="295" t="s">
        <v>592</v>
      </c>
      <c r="F7" s="295" t="s">
        <v>593</v>
      </c>
      <c r="G7" s="295" t="s">
        <v>594</v>
      </c>
      <c r="H7" s="295" t="s">
        <v>598</v>
      </c>
      <c r="I7" s="295" t="s">
        <v>346</v>
      </c>
      <c r="J7" s="295" t="s">
        <v>347</v>
      </c>
      <c r="K7" s="295" t="s">
        <v>349</v>
      </c>
      <c r="L7" s="295" t="s">
        <v>350</v>
      </c>
      <c r="M7" s="296" t="s">
        <v>348</v>
      </c>
      <c r="N7" s="297" t="s">
        <v>351</v>
      </c>
      <c r="O7" s="295" t="s">
        <v>352</v>
      </c>
      <c r="P7" s="295" t="s">
        <v>600</v>
      </c>
      <c r="Q7" s="295" t="s">
        <v>601</v>
      </c>
      <c r="R7" s="295" t="s">
        <v>602</v>
      </c>
      <c r="S7" s="295" t="s">
        <v>603</v>
      </c>
      <c r="T7" s="295" t="s">
        <v>604</v>
      </c>
      <c r="U7" s="295" t="s">
        <v>605</v>
      </c>
      <c r="V7" s="295" t="s">
        <v>606</v>
      </c>
      <c r="W7" s="295" t="s">
        <v>607</v>
      </c>
      <c r="X7" s="295" t="s">
        <v>608</v>
      </c>
      <c r="Y7" s="295" t="s">
        <v>609</v>
      </c>
      <c r="Z7" s="295" t="s">
        <v>610</v>
      </c>
      <c r="AA7" s="295" t="s">
        <v>611</v>
      </c>
      <c r="AB7" s="295" t="s">
        <v>612</v>
      </c>
      <c r="AC7" s="295" t="s">
        <v>613</v>
      </c>
      <c r="AD7" s="295" t="s">
        <v>614</v>
      </c>
      <c r="AE7" s="295" t="s">
        <v>348</v>
      </c>
      <c r="AF7" s="296" t="s">
        <v>615</v>
      </c>
      <c r="AG7" s="297" t="s">
        <v>563</v>
      </c>
      <c r="AH7" s="295" t="s">
        <v>564</v>
      </c>
      <c r="AI7" s="295" t="s">
        <v>358</v>
      </c>
      <c r="AJ7" s="295" t="s">
        <v>501</v>
      </c>
      <c r="AK7" s="296" t="s">
        <v>618</v>
      </c>
      <c r="AL7" s="297" t="s">
        <v>563</v>
      </c>
      <c r="AM7" s="295" t="s">
        <v>594</v>
      </c>
      <c r="AN7" s="295" t="s">
        <v>362</v>
      </c>
      <c r="AO7" s="295" t="s">
        <v>358</v>
      </c>
      <c r="AP7" s="295" t="s">
        <v>433</v>
      </c>
      <c r="AQ7" s="295" t="s">
        <v>434</v>
      </c>
      <c r="AR7" s="295" t="s">
        <v>432</v>
      </c>
      <c r="AS7" s="295" t="s">
        <v>435</v>
      </c>
      <c r="AT7" s="295" t="s">
        <v>438</v>
      </c>
      <c r="AU7" s="295" t="s">
        <v>439</v>
      </c>
      <c r="AV7" s="295" t="s">
        <v>437</v>
      </c>
      <c r="AW7" s="296" t="s">
        <v>436</v>
      </c>
      <c r="AX7" s="466"/>
      <c r="AZ7" s="413" t="s">
        <v>659</v>
      </c>
      <c r="BA7" s="360" t="s">
        <v>353</v>
      </c>
      <c r="BB7" s="360" t="s">
        <v>605</v>
      </c>
      <c r="BC7" s="360" t="s">
        <v>606</v>
      </c>
      <c r="BD7" s="360" t="s">
        <v>607</v>
      </c>
      <c r="BE7" s="360" t="s">
        <v>608</v>
      </c>
      <c r="BF7" s="360" t="s">
        <v>660</v>
      </c>
      <c r="BG7" s="360" t="s">
        <v>662</v>
      </c>
      <c r="BH7" s="360" t="s">
        <v>661</v>
      </c>
      <c r="BI7" s="360" t="s">
        <v>663</v>
      </c>
      <c r="BJ7" s="360" t="s">
        <v>151</v>
      </c>
      <c r="BK7" s="414" t="s">
        <v>20</v>
      </c>
    </row>
    <row r="8" spans="1:63" ht="15" thickBot="1" x14ac:dyDescent="0.35">
      <c r="B8" s="321"/>
      <c r="C8" s="85" t="s">
        <v>8</v>
      </c>
      <c r="D8" s="85" t="s">
        <v>8</v>
      </c>
      <c r="E8" s="85" t="s">
        <v>8</v>
      </c>
      <c r="F8" s="85" t="s">
        <v>8</v>
      </c>
      <c r="G8" s="85" t="s">
        <v>22</v>
      </c>
      <c r="H8" s="85"/>
      <c r="I8" s="85" t="s">
        <v>11</v>
      </c>
      <c r="J8" s="85" t="s">
        <v>317</v>
      </c>
      <c r="K8" s="85" t="s">
        <v>16</v>
      </c>
      <c r="L8" s="85" t="s">
        <v>19</v>
      </c>
      <c r="M8" s="140" t="s">
        <v>19</v>
      </c>
      <c r="N8" s="321" t="s">
        <v>8</v>
      </c>
      <c r="O8" s="85" t="s">
        <v>343</v>
      </c>
      <c r="P8" s="85" t="s">
        <v>131</v>
      </c>
      <c r="Q8" s="85" t="s">
        <v>131</v>
      </c>
      <c r="R8" s="85" t="s">
        <v>131</v>
      </c>
      <c r="S8" s="85" t="s">
        <v>131</v>
      </c>
      <c r="T8" s="85" t="s">
        <v>131</v>
      </c>
      <c r="U8" s="85" t="s">
        <v>8</v>
      </c>
      <c r="V8" s="85" t="s">
        <v>8</v>
      </c>
      <c r="W8" s="85" t="s">
        <v>8</v>
      </c>
      <c r="X8" s="85" t="s">
        <v>8</v>
      </c>
      <c r="Y8" s="85" t="s">
        <v>8</v>
      </c>
      <c r="Z8" s="85" t="s">
        <v>8</v>
      </c>
      <c r="AA8" s="85" t="s">
        <v>19</v>
      </c>
      <c r="AB8" s="85" t="s">
        <v>19</v>
      </c>
      <c r="AC8" s="85"/>
      <c r="AD8" s="85" t="s">
        <v>16</v>
      </c>
      <c r="AE8" s="85" t="s">
        <v>16</v>
      </c>
      <c r="AF8" s="140"/>
      <c r="AG8" s="321" t="s">
        <v>8</v>
      </c>
      <c r="AH8" s="85" t="s">
        <v>8</v>
      </c>
      <c r="AI8" s="85" t="s">
        <v>8</v>
      </c>
      <c r="AJ8" s="85" t="s">
        <v>8</v>
      </c>
      <c r="AK8" s="140" t="s">
        <v>8</v>
      </c>
      <c r="AL8" s="321" t="s">
        <v>8</v>
      </c>
      <c r="AM8" s="85" t="s">
        <v>8</v>
      </c>
      <c r="AN8" s="85" t="s">
        <v>131</v>
      </c>
      <c r="AO8" s="85" t="s">
        <v>8</v>
      </c>
      <c r="AP8" s="85" t="s">
        <v>7</v>
      </c>
      <c r="AQ8" s="85" t="s">
        <v>7</v>
      </c>
      <c r="AR8" s="85" t="s">
        <v>7</v>
      </c>
      <c r="AS8" s="85" t="s">
        <v>7</v>
      </c>
      <c r="AT8" s="85"/>
      <c r="AU8" s="85"/>
      <c r="AV8" s="85" t="s">
        <v>8</v>
      </c>
      <c r="AW8" s="140" t="s">
        <v>8</v>
      </c>
      <c r="AX8" s="467"/>
      <c r="AZ8" s="321" t="s">
        <v>8</v>
      </c>
      <c r="BA8" s="361" t="s">
        <v>131</v>
      </c>
      <c r="BB8" s="361" t="s">
        <v>8</v>
      </c>
      <c r="BC8" s="361" t="s">
        <v>8</v>
      </c>
      <c r="BD8" s="361" t="s">
        <v>8</v>
      </c>
      <c r="BE8" s="361" t="s">
        <v>8</v>
      </c>
      <c r="BF8" s="361" t="s">
        <v>8</v>
      </c>
      <c r="BG8" s="361" t="s">
        <v>8</v>
      </c>
      <c r="BH8" s="361" t="s">
        <v>8</v>
      </c>
      <c r="BI8" s="361" t="s">
        <v>8</v>
      </c>
      <c r="BJ8" s="361" t="s">
        <v>19</v>
      </c>
      <c r="BK8" s="415" t="s">
        <v>16</v>
      </c>
    </row>
    <row r="9" spans="1:63" x14ac:dyDescent="0.3">
      <c r="A9" s="298">
        <v>1</v>
      </c>
      <c r="B9" s="304" t="s">
        <v>590</v>
      </c>
      <c r="C9" s="305">
        <v>200</v>
      </c>
      <c r="D9" s="305">
        <v>200</v>
      </c>
      <c r="E9" s="305">
        <v>12</v>
      </c>
      <c r="F9" s="305">
        <v>12</v>
      </c>
      <c r="G9" s="305">
        <v>0.5</v>
      </c>
      <c r="H9" s="305">
        <v>350</v>
      </c>
      <c r="I9" s="123">
        <f>C9*D9-((C9-2*E9)*(D9-2*F9))</f>
        <v>9024</v>
      </c>
      <c r="J9" s="306">
        <f>I9*7850/1000^2</f>
        <v>70.838399999999993</v>
      </c>
      <c r="K9" s="324">
        <f>INDEX(RHS!$H$39:$P$63,MATCH(RHS_SUMMARY!K$4,RHS!$H$39:$H$63,0),ROW()-ROW($K$8)+4)</f>
        <v>3589.0909090909081</v>
      </c>
      <c r="L9" s="324">
        <f>INDEX(RHS!$H$39:$P$63,MATCH(RHS_SUMMARY!L$4,RHS!$H$39:$H$63,0),ROW()-ROW($K$8)+4)</f>
        <v>1036.0813012548376</v>
      </c>
      <c r="M9" s="325">
        <f>INDEX(RHS!$H$39:$P$63,MATCH(RHS_SUMMARY!M$4,RHS!$H$39:$H$63,0),ROW()-ROW($K$8)+4)</f>
        <v>253.37454545454545</v>
      </c>
      <c r="N9" s="304">
        <v>30</v>
      </c>
      <c r="O9" s="305">
        <v>8.8000000000000007</v>
      </c>
      <c r="P9" s="311">
        <f>INDEX(RHS!$H$39:$P$59,MATCH(RHS_SUMMARY!P$4,RHS!$H$39:$H$59,0),ROW()-ROW($P$8)+4)</f>
        <v>4</v>
      </c>
      <c r="Q9" s="305">
        <v>4</v>
      </c>
      <c r="R9" s="311">
        <f>INDEX(RHS!$H$39:$P$59,MATCH(RHS_SUMMARY!R$4,RHS!$H$39:$H$59,0),ROW()-ROW($P$8)+4)</f>
        <v>2</v>
      </c>
      <c r="S9" s="305">
        <v>2</v>
      </c>
      <c r="T9" s="311">
        <f>INDEX(RHS!$H$39:$P$59,MATCH(RHS_SUMMARY!T$4,RHS!$H$39:$H$59,0),ROW()-ROW($P$8)+4)</f>
        <v>12</v>
      </c>
      <c r="U9" s="305">
        <v>50</v>
      </c>
      <c r="V9" s="305">
        <v>50</v>
      </c>
      <c r="W9" s="305">
        <v>90</v>
      </c>
      <c r="X9" s="305">
        <v>90</v>
      </c>
      <c r="Y9" s="311">
        <f>INDEX(RHS!$H$39:$P$59,MATCH(RHS_SUMMARY!Y$4,RHS!$H$39:$H$59,0),ROW()-ROW($P$8)+4)</f>
        <v>90</v>
      </c>
      <c r="Z9" s="311">
        <f>INDEX(RHS!$H$39:$P$59,MATCH(RHS_SUMMARY!Z$4,RHS!$H$39:$H$59,0),ROW()-ROW($P$8)+4)</f>
        <v>90</v>
      </c>
      <c r="AA9" s="312">
        <f>INDEX(RHS!$H$39:$P$59,MATCH(RHS_SUMMARY!AA$4,RHS!$H$39:$H$59,0),ROW()-ROW($P$8)+4)</f>
        <v>299.09090909090901</v>
      </c>
      <c r="AB9" s="312">
        <f>INDEX(RHS!$H$39:$P$59,MATCH(RHS_SUMMARY!AB$4,RHS!$H$39:$H$59,0),ROW()-ROW($P$8)+4)</f>
        <v>329.48646759731315</v>
      </c>
      <c r="AC9" s="312">
        <f>AA9/AB9</f>
        <v>0.90774868926164054</v>
      </c>
      <c r="AD9" s="312">
        <f>INDEX(RHS!$H$39:$P$59,MATCH(RHS_SUMMARY!AD$4,RHS!$H$39:$H$59,0),ROW()-ROW($P$8)+4)</f>
        <v>253.37454545454545</v>
      </c>
      <c r="AE9" s="312">
        <f>INDEX(RHS!$H$39:$P$59,MATCH(RHS_SUMMARY!AE$4,RHS!$H$39:$H$59,0),ROW()-ROW($P$8)+4)</f>
        <v>375.614573060937</v>
      </c>
      <c r="AF9" s="313">
        <f>AD9/AE9</f>
        <v>0.67455994422623156</v>
      </c>
      <c r="AG9" s="317">
        <f>INDEX(RHS!$H$39:$P$59,MATCH(RHS_SUMMARY!AG$4,RHS!$H$39:$H$59,0),ROW()-ROW($P$8)+4)</f>
        <v>370</v>
      </c>
      <c r="AH9" s="311">
        <f>INDEX(RHS!$H$39:$P$59,MATCH(RHS_SUMMARY!AH$4,RHS!$H$39:$H$59,0),ROW()-ROW($P$8)+4)</f>
        <v>370</v>
      </c>
      <c r="AI9" s="305">
        <v>40</v>
      </c>
      <c r="AJ9" s="312">
        <f>INDEX(RHS!$H$39:$P$59,MATCH(RHS_SUMMARY!AJ$4,RHS!$H$39:$H$59,0),ROW()-ROW($P$8)+4)</f>
        <v>39.380728165458677</v>
      </c>
      <c r="AK9" s="318">
        <f>INDEX(RHS!$H$39:$P$59,MATCH(RHS_SUMMARY!AK$4,RHS!$H$39:$H$59,0),ROW()-ROW($P$8)+4)</f>
        <v>20</v>
      </c>
      <c r="AL9" s="317">
        <f>INDEX(RHS!$H$39:$P$59,MATCH(RHS_SUMMARY!AL$4,RHS!$H$39:$H$59,0),ROW()-ROW($P$8)+4)</f>
        <v>85</v>
      </c>
      <c r="AM9" s="305">
        <v>100</v>
      </c>
      <c r="AN9" s="311">
        <f>INDEX(RHS!$H$39:$P$59,MATCH(RHS_SUMMARY!AN$4,RHS!$H$39:$H$59,0),ROW()-ROW($P$8)+4)</f>
        <v>4</v>
      </c>
      <c r="AO9" s="305">
        <v>10</v>
      </c>
      <c r="AP9" s="312">
        <f>INDEX(RHS!$H$39:$P$59,MATCH(RHS_SUMMARY!AP$4,RHS!$H$39:$H$59,0),ROW()-ROW($P$8)+4)</f>
        <v>82.576823232279523</v>
      </c>
      <c r="AQ9" s="312">
        <f>INDEX(RHS!$H$39:$P$59,MATCH(RHS_SUMMARY!AQ$4,RHS!$H$39:$H$59,0),ROW()-ROW($P$8)+4)</f>
        <v>200.55913407264754</v>
      </c>
      <c r="AR9" s="312">
        <f>INDEX(RHS!$H$39:$P$59,MATCH(RHS_SUMMARY!AR$4,RHS!$H$39:$H$59,0),ROW()-ROW($P$8)+4)</f>
        <v>318.18181818181813</v>
      </c>
      <c r="AS9" s="312">
        <f>INDEX(RHS!$H$39:$P$59,MATCH(RHS_SUMMARY!AS$4,RHS!$H$39:$H$59,0),ROW()-ROW($P$8)+4)</f>
        <v>226.32130552233332</v>
      </c>
      <c r="AT9" s="312">
        <f>AP9/AR9</f>
        <v>0.25952715873002141</v>
      </c>
      <c r="AU9" s="312">
        <f>AQ9/AS9</f>
        <v>0.8861699238159283</v>
      </c>
      <c r="AV9" s="305">
        <v>8</v>
      </c>
      <c r="AW9" s="313">
        <f>INDEX(RHS!$H$39:$P$59,MATCH(RHS_SUMMARY!AW$4,RHS!$H$39:$H$59,0),ROW()-ROW($P$8)+4)</f>
        <v>7.3367964471773286</v>
      </c>
      <c r="AX9" s="349" t="s">
        <v>709</v>
      </c>
      <c r="AZ9" s="416">
        <f>N9</f>
        <v>30</v>
      </c>
      <c r="BA9" s="123">
        <f t="shared" ref="BA9:BE10" si="0">T9</f>
        <v>12</v>
      </c>
      <c r="BB9" s="123">
        <f t="shared" si="0"/>
        <v>50</v>
      </c>
      <c r="BC9" s="123">
        <f t="shared" si="0"/>
        <v>50</v>
      </c>
      <c r="BD9" s="123">
        <f t="shared" si="0"/>
        <v>90</v>
      </c>
      <c r="BE9" s="123">
        <f t="shared" si="0"/>
        <v>90</v>
      </c>
      <c r="BF9" s="123">
        <f>MAX((BG9-C9)/2-BC9,(BH9-D9)/2-BB9)</f>
        <v>35</v>
      </c>
      <c r="BG9" s="123">
        <f t="shared" ref="BG9:BI10" si="1">AG9</f>
        <v>370</v>
      </c>
      <c r="BH9" s="123">
        <f t="shared" si="1"/>
        <v>370</v>
      </c>
      <c r="BI9" s="123">
        <f t="shared" si="1"/>
        <v>40</v>
      </c>
      <c r="BJ9" s="417">
        <f>K9/1.25</f>
        <v>2871.2727272727266</v>
      </c>
      <c r="BK9" s="418">
        <f>M9/1.25</f>
        <v>202.69963636363636</v>
      </c>
    </row>
    <row r="10" spans="1:63" x14ac:dyDescent="0.3">
      <c r="A10" s="298">
        <v>2</v>
      </c>
      <c r="B10" s="304" t="s">
        <v>591</v>
      </c>
      <c r="C10" s="305">
        <v>160</v>
      </c>
      <c r="D10" s="305">
        <v>250</v>
      </c>
      <c r="E10" s="305">
        <v>7.2</v>
      </c>
      <c r="F10" s="305">
        <v>14.1</v>
      </c>
      <c r="G10" s="305">
        <v>0.5</v>
      </c>
      <c r="H10" s="305">
        <v>350</v>
      </c>
      <c r="I10" s="409">
        <f>C10*D10-((C10-2*E10)*(D10-2*F10))</f>
        <v>7705.9199999999983</v>
      </c>
      <c r="J10" s="306">
        <f>I10*7850/1000^2</f>
        <v>60.491471999999987</v>
      </c>
      <c r="K10" s="324">
        <f>INDEX(RHS!$H$39:$P$63,MATCH(RHS_SUMMARY!K$4,RHS!$H$39:$H$63,0),ROW()-ROW($K$8)+4)</f>
        <v>3064.8545454545438</v>
      </c>
      <c r="L10" s="324">
        <f>INDEX(RHS!$H$39:$P$63,MATCH(RHS_SUMMARY!L$4,RHS!$H$39:$H$63,0),ROW()-ROW($K$8)+4)</f>
        <v>690.53447681765056</v>
      </c>
      <c r="M10" s="325">
        <f>INDEX(RHS!$H$39:$P$63,MATCH(RHS_SUMMARY!M$4,RHS!$H$39:$H$63,0),ROW()-ROW($K$8)+4)</f>
        <v>140.6074340363636</v>
      </c>
      <c r="N10" s="304">
        <v>30</v>
      </c>
      <c r="O10" s="305">
        <v>8.8000000000000007</v>
      </c>
      <c r="P10" s="311">
        <f>INDEX(RHS!$H$39:$P$59,MATCH(RHS_SUMMARY!P$4,RHS!$H$39:$H$59,0),ROW()-ROW($P$8)+4)</f>
        <v>5</v>
      </c>
      <c r="Q10" s="305">
        <v>5</v>
      </c>
      <c r="R10" s="311">
        <f>INDEX(RHS!$H$39:$P$59,MATCH(RHS_SUMMARY!R$4,RHS!$H$39:$H$59,0),ROW()-ROW($P$8)+4)</f>
        <v>2</v>
      </c>
      <c r="S10" s="305">
        <v>2</v>
      </c>
      <c r="T10" s="311">
        <f>INDEX(RHS!$H$39:$P$59,MATCH(RHS_SUMMARY!T$4,RHS!$H$39:$H$59,0),ROW()-ROW($P$8)+4)</f>
        <v>14</v>
      </c>
      <c r="U10" s="305">
        <v>50</v>
      </c>
      <c r="V10" s="305">
        <v>50</v>
      </c>
      <c r="W10" s="305">
        <v>80</v>
      </c>
      <c r="X10" s="305">
        <v>80</v>
      </c>
      <c r="Y10" s="311">
        <f>INDEX(RHS!$H$39:$P$59,MATCH(RHS_SUMMARY!Y$4,RHS!$H$39:$H$59,0),ROW()-ROW($P$8)+4)</f>
        <v>80</v>
      </c>
      <c r="Z10" s="311">
        <f>INDEX(RHS!$H$39:$P$59,MATCH(RHS_SUMMARY!Z$4,RHS!$H$39:$H$59,0),ROW()-ROW($P$8)+4)</f>
        <v>80</v>
      </c>
      <c r="AA10" s="312">
        <f>INDEX(RHS!$H$39:$P$59,MATCH(RHS_SUMMARY!AA$4,RHS!$H$39:$H$59,0),ROW()-ROW($P$8)+4)</f>
        <v>218.91818181818169</v>
      </c>
      <c r="AB10" s="312">
        <f>INDEX(RHS!$H$39:$P$59,MATCH(RHS_SUMMARY!AB$4,RHS!$H$39:$H$59,0),ROW()-ROW($P$8)+4)</f>
        <v>329.48646759731315</v>
      </c>
      <c r="AC10" s="312">
        <f>AA10/AB10</f>
        <v>0.66442237647749425</v>
      </c>
      <c r="AD10" s="312">
        <f>INDEX(RHS!$H$39:$P$59,MATCH(RHS_SUMMARY!AD$4,RHS!$H$39:$H$59,0),ROW()-ROW($P$8)+4)</f>
        <v>140.6074340363636</v>
      </c>
      <c r="AE10" s="312">
        <f>INDEX(RHS!$H$39:$P$59,MATCH(RHS_SUMMARY!AE$4,RHS!$H$39:$H$59,0),ROW()-ROW($P$8)+4)</f>
        <v>412.95637272196575</v>
      </c>
      <c r="AF10" s="313">
        <f>AD10/AE10</f>
        <v>0.34048980309847748</v>
      </c>
      <c r="AG10" s="317">
        <f>INDEX(RHS!$H$39:$P$59,MATCH(RHS_SUMMARY!AG$4,RHS!$H$39:$H$59,0),ROW()-ROW($P$8)+4)</f>
        <v>340</v>
      </c>
      <c r="AH10" s="311">
        <f>INDEX(RHS!$H$39:$P$59,MATCH(RHS_SUMMARY!AH$4,RHS!$H$39:$H$59,0),ROW()-ROW($P$8)+4)</f>
        <v>420</v>
      </c>
      <c r="AI10" s="305">
        <v>40</v>
      </c>
      <c r="AJ10" s="312">
        <f>INDEX(RHS!$H$39:$P$59,MATCH(RHS_SUMMARY!AJ$4,RHS!$H$39:$H$59,0),ROW()-ROW($P$8)+4)</f>
        <v>38.202808083366655</v>
      </c>
      <c r="AK10" s="318">
        <f>INDEX(RHS!$H$39:$P$59,MATCH(RHS_SUMMARY!AK$4,RHS!$H$39:$H$59,0),ROW()-ROW($P$8)+4)</f>
        <v>16</v>
      </c>
      <c r="AL10" s="317">
        <f>INDEX(RHS!$H$39:$P$59,MATCH(RHS_SUMMARY!AL$4,RHS!$H$39:$H$59,0),ROW()-ROW($P$8)+4)</f>
        <v>90</v>
      </c>
      <c r="AM10" s="305">
        <v>100</v>
      </c>
      <c r="AN10" s="311">
        <f>INDEX(RHS!$H$39:$P$59,MATCH(RHS_SUMMARY!AN$4,RHS!$H$39:$H$59,0),ROW()-ROW($P$8)+4)</f>
        <v>4</v>
      </c>
      <c r="AO10" s="305">
        <v>8</v>
      </c>
      <c r="AP10" s="312">
        <f>INDEX(RHS!$H$39:$P$59,MATCH(RHS_SUMMARY!AP$4,RHS!$H$39:$H$59,0),ROW()-ROW($P$8)+4)</f>
        <v>80.85897276458148</v>
      </c>
      <c r="AQ10" s="312">
        <f>INDEX(RHS!$H$39:$P$59,MATCH(RHS_SUMMARY!AQ$4,RHS!$H$39:$H$59,0),ROW()-ROW($P$8)+4)</f>
        <v>193.16310160427798</v>
      </c>
      <c r="AR10" s="312">
        <f>INDEX(RHS!$H$39:$P$59,MATCH(RHS_SUMMARY!AR$4,RHS!$H$39:$H$59,0),ROW()-ROW($P$8)+4)</f>
        <v>318.18181818181813</v>
      </c>
      <c r="AS10" s="312">
        <f>INDEX(RHS!$H$39:$P$59,MATCH(RHS_SUMMARY!AS$4,RHS!$H$39:$H$59,0),ROW()-ROW($P$8)+4)</f>
        <v>226.32130552233332</v>
      </c>
      <c r="AT10" s="312">
        <f>AP10/AR10</f>
        <v>0.25412820011725612</v>
      </c>
      <c r="AU10" s="312">
        <f>AQ10/AS10</f>
        <v>0.85349057685254781</v>
      </c>
      <c r="AV10" s="305">
        <v>6</v>
      </c>
      <c r="AW10" s="313">
        <f>INDEX(RHS!$H$39:$P$59,MATCH(RHS_SUMMARY!AW$4,RHS!$H$39:$H$59,0),ROW()-ROW($P$8)+4)</f>
        <v>5.7252784037313758</v>
      </c>
      <c r="AX10" s="349" t="s">
        <v>709</v>
      </c>
      <c r="AZ10" s="416">
        <f>N10</f>
        <v>30</v>
      </c>
      <c r="BA10" s="123">
        <f t="shared" si="0"/>
        <v>14</v>
      </c>
      <c r="BB10" s="123">
        <f t="shared" si="0"/>
        <v>50</v>
      </c>
      <c r="BC10" s="123">
        <f t="shared" si="0"/>
        <v>50</v>
      </c>
      <c r="BD10" s="123">
        <f t="shared" si="0"/>
        <v>80</v>
      </c>
      <c r="BE10" s="123">
        <f t="shared" si="0"/>
        <v>80</v>
      </c>
      <c r="BF10" s="123">
        <f>MAX((BG10-C10)/2-BC10,(BH10-D10)/2-BB10)</f>
        <v>40</v>
      </c>
      <c r="BG10" s="123">
        <f t="shared" si="1"/>
        <v>340</v>
      </c>
      <c r="BH10" s="123">
        <f t="shared" si="1"/>
        <v>420</v>
      </c>
      <c r="BI10" s="123">
        <f t="shared" si="1"/>
        <v>40</v>
      </c>
      <c r="BJ10" s="417">
        <f t="shared" ref="BJ10:BJ12" si="2">K10/1.25</f>
        <v>2451.8836363636351</v>
      </c>
      <c r="BK10" s="418">
        <f t="shared" ref="BK10:BK12" si="3">M10/1.25</f>
        <v>112.48594722909088</v>
      </c>
    </row>
    <row r="11" spans="1:63" x14ac:dyDescent="0.3">
      <c r="A11" s="298">
        <v>3</v>
      </c>
      <c r="B11" s="304" t="s">
        <v>704</v>
      </c>
      <c r="C11" s="305">
        <v>150</v>
      </c>
      <c r="D11" s="305">
        <v>150</v>
      </c>
      <c r="E11" s="305">
        <v>5.7</v>
      </c>
      <c r="F11" s="305">
        <v>9</v>
      </c>
      <c r="G11" s="305">
        <v>0.5</v>
      </c>
      <c r="H11" s="305">
        <v>350</v>
      </c>
      <c r="I11" s="409">
        <f t="shared" ref="I11:I12" si="4">C11*D11-((C11-2*E11)*(D11-2*F11))</f>
        <v>4204.7999999999993</v>
      </c>
      <c r="J11" s="306">
        <f t="shared" ref="J11:J12" si="5">I11*7850/1000^2</f>
        <v>33.007679999999993</v>
      </c>
      <c r="K11" s="324">
        <f>INDEX(RHS!$H$39:$P$63,MATCH(RHS_SUMMARY!K$4,RHS!$H$39:$H$63,0),ROW()-ROW($K$8)+4)</f>
        <v>1672.363636363636</v>
      </c>
      <c r="L11" s="324">
        <f>INDEX(RHS!$H$39:$P$63,MATCH(RHS_SUMMARY!L$4,RHS!$H$39:$H$63,0),ROW()-ROW($K$8)+4)</f>
        <v>482.76979781874337</v>
      </c>
      <c r="M11" s="325">
        <f>INDEX(RHS!$H$39:$P$63,MATCH(RHS_SUMMARY!M$4,RHS!$H$39:$H$63,0),ROW()-ROW($K$8)+4)</f>
        <v>82.09087717090911</v>
      </c>
      <c r="N11" s="304">
        <v>24</v>
      </c>
      <c r="O11" s="305">
        <v>8.8000000000000007</v>
      </c>
      <c r="P11" s="311">
        <f>INDEX(RHS!$H$39:$P$59,MATCH(RHS_SUMMARY!P$4,RHS!$H$39:$H$59,0),ROW()-ROW($P$8)+4)</f>
        <v>3</v>
      </c>
      <c r="Q11" s="305">
        <v>3</v>
      </c>
      <c r="R11" s="311">
        <f>INDEX(RHS!$H$39:$P$59,MATCH(RHS_SUMMARY!R$4,RHS!$H$39:$H$59,0),ROW()-ROW($P$8)+4)</f>
        <v>1</v>
      </c>
      <c r="S11" s="305">
        <v>1</v>
      </c>
      <c r="T11" s="311">
        <f>INDEX(RHS!$H$39:$P$59,MATCH(RHS_SUMMARY!T$4,RHS!$H$39:$H$59,0),ROW()-ROW($P$8)+4)</f>
        <v>8</v>
      </c>
      <c r="U11" s="305">
        <v>40</v>
      </c>
      <c r="V11" s="305">
        <v>40</v>
      </c>
      <c r="W11" s="305">
        <v>105</v>
      </c>
      <c r="X11" s="305">
        <v>105</v>
      </c>
      <c r="Y11" s="311">
        <f>INDEX(RHS!$H$39:$P$59,MATCH(RHS_SUMMARY!Y$4,RHS!$H$39:$H$59,0),ROW()-ROW($P$8)+4)</f>
        <v>105</v>
      </c>
      <c r="Z11" s="311">
        <f>INDEX(RHS!$H$39:$P$59,MATCH(RHS_SUMMARY!Z$4,RHS!$H$39:$H$59,0),ROW()-ROW($P$8)+4)</f>
        <v>105</v>
      </c>
      <c r="AA11" s="312">
        <f>INDEX(RHS!$H$39:$P$59,MATCH(RHS_SUMMARY!AA$4,RHS!$H$39:$H$59,0),ROW()-ROW($P$8)+4)</f>
        <v>209.0454545454545</v>
      </c>
      <c r="AB11" s="312">
        <f>INDEX(RHS!$H$39:$P$59,MATCH(RHS_SUMMARY!AB$4,RHS!$H$39:$H$59,0),ROW()-ROW($P$8)+4)</f>
        <v>210.87133926228043</v>
      </c>
      <c r="AC11" s="312">
        <f t="shared" ref="AC11:AC12" si="6">AA11/AB11</f>
        <v>0.99134123810654562</v>
      </c>
      <c r="AD11" s="312">
        <f>INDEX(RHS!$H$39:$P$59,MATCH(RHS_SUMMARY!AD$4,RHS!$H$39:$H$59,0),ROW()-ROW($P$8)+4)</f>
        <v>82.09087717090911</v>
      </c>
      <c r="AE11" s="312">
        <f>INDEX(RHS!$H$39:$P$59,MATCH(RHS_SUMMARY!AE$4,RHS!$H$39:$H$59,0),ROW()-ROW($P$8)+4)</f>
        <v>132.84894373523667</v>
      </c>
      <c r="AF11" s="313">
        <f t="shared" ref="AF11:AF12" si="7">AD11/AE11</f>
        <v>0.61792645739444774</v>
      </c>
      <c r="AG11" s="317">
        <f>INDEX(RHS!$H$39:$P$59,MATCH(RHS_SUMMARY!AG$4,RHS!$H$39:$H$59,0),ROW()-ROW($P$8)+4)</f>
        <v>290</v>
      </c>
      <c r="AH11" s="311">
        <f>INDEX(RHS!$H$39:$P$59,MATCH(RHS_SUMMARY!AH$4,RHS!$H$39:$H$59,0),ROW()-ROW($P$8)+4)</f>
        <v>290</v>
      </c>
      <c r="AI11" s="305">
        <v>32</v>
      </c>
      <c r="AJ11" s="312">
        <f>INDEX(RHS!$H$39:$P$59,MATCH(RHS_SUMMARY!AJ$4,RHS!$H$39:$H$59,0),ROW()-ROW($P$8)+4)</f>
        <v>28.219915598095543</v>
      </c>
      <c r="AK11" s="318">
        <f>INDEX(RHS!$H$39:$P$59,MATCH(RHS_SUMMARY!AK$4,RHS!$H$39:$H$59,0),ROW()-ROW($P$8)+4)</f>
        <v>20</v>
      </c>
      <c r="AL11" s="317">
        <f>INDEX(RHS!$H$39:$P$59,MATCH(RHS_SUMMARY!AL$4,RHS!$H$39:$H$59,0),ROW()-ROW($P$8)+4)</f>
        <v>70</v>
      </c>
      <c r="AM11" s="305">
        <v>100</v>
      </c>
      <c r="AN11" s="311">
        <f>INDEX(RHS!$H$39:$P$59,MATCH(RHS_SUMMARY!AN$4,RHS!$H$39:$H$59,0),ROW()-ROW($P$8)+4)</f>
        <v>4</v>
      </c>
      <c r="AO11" s="305">
        <v>8</v>
      </c>
      <c r="AP11" s="312">
        <f>INDEX(RHS!$H$39:$P$59,MATCH(RHS_SUMMARY!AP$4,RHS!$H$39:$H$59,0),ROW()-ROW($P$8)+4)</f>
        <v>65.452572547315043</v>
      </c>
      <c r="AQ11" s="312">
        <f>INDEX(RHS!$H$39:$P$59,MATCH(RHS_SUMMARY!AQ$4,RHS!$H$39:$H$59,0),ROW()-ROW($P$8)+4)</f>
        <v>182.69727597016535</v>
      </c>
      <c r="AR11" s="312">
        <f>INDEX(RHS!$H$39:$P$59,MATCH(RHS_SUMMARY!AR$4,RHS!$H$39:$H$59,0),ROW()-ROW($P$8)+4)</f>
        <v>318.18181818181813</v>
      </c>
      <c r="AS11" s="312">
        <f>INDEX(RHS!$H$39:$P$59,MATCH(RHS_SUMMARY!AS$4,RHS!$H$39:$H$59,0),ROW()-ROW($P$8)+4)</f>
        <v>226.32130552233332</v>
      </c>
      <c r="AT11" s="312">
        <f t="shared" ref="AT11:AT12" si="8">AP11/AR11</f>
        <v>0.20570808514870445</v>
      </c>
      <c r="AU11" s="312">
        <f t="shared" ref="AU11:AU12" si="9">AQ11/AS11</f>
        <v>0.80724735812438497</v>
      </c>
      <c r="AV11" s="305">
        <v>6</v>
      </c>
      <c r="AW11" s="313">
        <f>INDEX(RHS!$H$39:$P$59,MATCH(RHS_SUMMARY!AW$4,RHS!$H$39:$H$59,0),ROW()-ROW($P$8)+4)</f>
        <v>5.098404367101379</v>
      </c>
      <c r="AX11" s="349" t="s">
        <v>709</v>
      </c>
      <c r="AZ11" s="416">
        <f t="shared" ref="AZ11:AZ12" si="10">N11</f>
        <v>24</v>
      </c>
      <c r="BA11" s="123">
        <f t="shared" ref="BA11:BA12" si="11">T11</f>
        <v>8</v>
      </c>
      <c r="BB11" s="123">
        <f t="shared" ref="BB11:BB12" si="12">U11</f>
        <v>40</v>
      </c>
      <c r="BC11" s="123">
        <f t="shared" ref="BC11:BC12" si="13">V11</f>
        <v>40</v>
      </c>
      <c r="BD11" s="123">
        <f t="shared" ref="BD11:BD12" si="14">W11</f>
        <v>105</v>
      </c>
      <c r="BE11" s="123">
        <f t="shared" ref="BE11:BE12" si="15">X11</f>
        <v>105</v>
      </c>
      <c r="BF11" s="123">
        <f t="shared" ref="BF11:BF12" si="16">MAX((BG11-C11)/2-BC11,(BH11-D11)/2-BB11)</f>
        <v>30</v>
      </c>
      <c r="BG11" s="123">
        <f t="shared" ref="BG11:BG12" si="17">AG11</f>
        <v>290</v>
      </c>
      <c r="BH11" s="123">
        <f t="shared" ref="BH11:BH12" si="18">AH11</f>
        <v>290</v>
      </c>
      <c r="BI11" s="123">
        <f t="shared" ref="BI11:BI12" si="19">AI11</f>
        <v>32</v>
      </c>
      <c r="BJ11" s="417">
        <f t="shared" si="2"/>
        <v>1337.8909090909087</v>
      </c>
      <c r="BK11" s="418">
        <f t="shared" si="3"/>
        <v>65.672701736727291</v>
      </c>
    </row>
    <row r="12" spans="1:63" ht="15" thickBot="1" x14ac:dyDescent="0.35">
      <c r="A12" s="298">
        <v>4</v>
      </c>
      <c r="B12" s="307" t="s">
        <v>705</v>
      </c>
      <c r="C12" s="308">
        <v>200</v>
      </c>
      <c r="D12" s="308">
        <v>400</v>
      </c>
      <c r="E12" s="308">
        <v>20.8</v>
      </c>
      <c r="F12" s="308">
        <v>15.3</v>
      </c>
      <c r="G12" s="308">
        <v>1</v>
      </c>
      <c r="H12" s="308">
        <v>350</v>
      </c>
      <c r="I12" s="309">
        <f t="shared" si="4"/>
        <v>21487.040000000001</v>
      </c>
      <c r="J12" s="310">
        <f t="shared" si="5"/>
        <v>168.67326399999999</v>
      </c>
      <c r="K12" s="326">
        <f>INDEX(RHS!$H$39:$P$63,MATCH(RHS_SUMMARY!K$4,RHS!$H$39:$H$63,0),ROW()-ROW($K$8)+4)</f>
        <v>8545.9818181818173</v>
      </c>
      <c r="L12" s="326">
        <f>INDEX(RHS!$H$39:$P$63,MATCH(RHS_SUMMARY!L$4,RHS!$H$39:$H$63,0),ROW()-ROW($K$8)+4)</f>
        <v>1644.6749677389732</v>
      </c>
      <c r="M12" s="327">
        <f>INDEX(RHS!$H$39:$P$63,MATCH(RHS_SUMMARY!M$4,RHS!$H$39:$H$63,0),ROW()-ROW($K$8)+4)</f>
        <v>669.32997090909089</v>
      </c>
      <c r="N12" s="307">
        <v>42</v>
      </c>
      <c r="O12" s="308">
        <v>10.9</v>
      </c>
      <c r="P12" s="314">
        <f>INDEX(RHS!$H$39:$P$59,MATCH(RHS_SUMMARY!P$4,RHS!$H$39:$H$59,0),ROW()-ROW($P$8)+4)</f>
        <v>5</v>
      </c>
      <c r="Q12" s="308">
        <v>5</v>
      </c>
      <c r="R12" s="314">
        <f>INDEX(RHS!$H$39:$P$59,MATCH(RHS_SUMMARY!R$4,RHS!$H$39:$H$59,0),ROW()-ROW($P$8)+4)</f>
        <v>1</v>
      </c>
      <c r="S12" s="308">
        <v>1</v>
      </c>
      <c r="T12" s="314">
        <f>INDEX(RHS!$H$39:$P$59,MATCH(RHS_SUMMARY!T$4,RHS!$H$39:$H$59,0),ROW()-ROW($P$8)+4)</f>
        <v>12</v>
      </c>
      <c r="U12" s="308">
        <v>50</v>
      </c>
      <c r="V12" s="308">
        <v>50</v>
      </c>
      <c r="W12" s="308">
        <v>125</v>
      </c>
      <c r="X12" s="411">
        <v>150</v>
      </c>
      <c r="Y12" s="314">
        <f>INDEX(RHS!$H$39:$P$59,MATCH(RHS_SUMMARY!Y$4,RHS!$H$39:$H$59,0),ROW()-ROW($P$8)+4)</f>
        <v>125</v>
      </c>
      <c r="Z12" s="326">
        <f>INDEX(RHS!$H$39:$P$59,MATCH(RHS_SUMMARY!Z$4,RHS!$H$39:$H$59,0),ROW()-ROW($P$8)+4)</f>
        <v>150</v>
      </c>
      <c r="AA12" s="315">
        <f>INDEX(RHS!$H$39:$P$59,MATCH(RHS_SUMMARY!AA$4,RHS!$H$39:$H$59,0),ROW()-ROW($P$8)+4)</f>
        <v>712.16515151515148</v>
      </c>
      <c r="AB12" s="315">
        <f>INDEX(RHS!$H$39:$P$59,MATCH(RHS_SUMMARY!AB$4,RHS!$H$39:$H$59,0),ROW()-ROW($P$8)+4)</f>
        <v>809.18700668718475</v>
      </c>
      <c r="AC12" s="315">
        <f t="shared" si="6"/>
        <v>0.88009958838904101</v>
      </c>
      <c r="AD12" s="315">
        <f>INDEX(RHS!$H$39:$P$59,MATCH(RHS_SUMMARY!AD$4,RHS!$H$39:$H$59,0),ROW()-ROW($P$8)+4)</f>
        <v>669.32997090909089</v>
      </c>
      <c r="AE12" s="315">
        <f>INDEX(RHS!$H$39:$P$59,MATCH(RHS_SUMMARY!AE$4,RHS!$H$39:$H$59,0),ROW()-ROW($P$8)+4)</f>
        <v>1213.7805100307769</v>
      </c>
      <c r="AF12" s="316">
        <f t="shared" si="7"/>
        <v>0.55144234511733858</v>
      </c>
      <c r="AG12" s="319">
        <f>INDEX(RHS!$H$39:$P$59,MATCH(RHS_SUMMARY!AG$4,RHS!$H$39:$H$59,0),ROW()-ROW($P$8)+4)</f>
        <v>400</v>
      </c>
      <c r="AH12" s="314">
        <f>INDEX(RHS!$H$39:$P$59,MATCH(RHS_SUMMARY!AH$4,RHS!$H$39:$H$59,0),ROW()-ROW($P$8)+4)</f>
        <v>600</v>
      </c>
      <c r="AI12" s="308">
        <v>36</v>
      </c>
      <c r="AJ12" s="315">
        <f>INDEX(RHS!$H$39:$P$59,MATCH(RHS_SUMMARY!AJ$4,RHS!$H$39:$H$59,0),ROW()-ROW($P$8)+4)</f>
        <v>61.62965310152363</v>
      </c>
      <c r="AK12" s="320">
        <f>INDEX(RHS!$H$39:$P$59,MATCH(RHS_SUMMARY!AK$4,RHS!$H$39:$H$59,0),ROW()-ROW($P$8)+4)</f>
        <v>36</v>
      </c>
      <c r="AL12" s="319">
        <f>INDEX(RHS!$H$39:$P$59,MATCH(RHS_SUMMARY!AL$4,RHS!$H$39:$H$59,0),ROW()-ROW($P$8)+4)</f>
        <v>100</v>
      </c>
      <c r="AM12" s="308">
        <v>125</v>
      </c>
      <c r="AN12" s="314">
        <f>INDEX(RHS!$H$39:$P$59,MATCH(RHS_SUMMARY!AN$4,RHS!$H$39:$H$59,0),ROW()-ROW($P$8)+4)</f>
        <v>4</v>
      </c>
      <c r="AO12" s="308">
        <v>20</v>
      </c>
      <c r="AP12" s="315">
        <f>INDEX(RHS!$H$39:$P$59,MATCH(RHS_SUMMARY!AP$4,RHS!$H$39:$H$59,0),ROW()-ROW($P$8)+4)</f>
        <v>111.53916127725815</v>
      </c>
      <c r="AQ12" s="315">
        <f>INDEX(RHS!$H$39:$P$59,MATCH(RHS_SUMMARY!AQ$4,RHS!$H$39:$H$59,0),ROW()-ROW($P$8)+4)</f>
        <v>213.6495454545454</v>
      </c>
      <c r="AR12" s="315">
        <f>INDEX(RHS!$H$39:$P$59,MATCH(RHS_SUMMARY!AR$4,RHS!$H$39:$H$59,0),ROW()-ROW($P$8)+4)</f>
        <v>300</v>
      </c>
      <c r="AS12" s="315">
        <f>INDEX(RHS!$H$39:$P$59,MATCH(RHS_SUMMARY!AS$4,RHS!$H$39:$H$59,0),ROW()-ROW($P$8)+4)</f>
        <v>226.32130552233332</v>
      </c>
      <c r="AT12" s="315">
        <f t="shared" si="8"/>
        <v>0.37179720425752716</v>
      </c>
      <c r="AU12" s="315">
        <f t="shared" si="9"/>
        <v>0.94400986668691045</v>
      </c>
      <c r="AV12" s="308">
        <v>16</v>
      </c>
      <c r="AW12" s="316">
        <f>INDEX(RHS!$H$39:$P$59,MATCH(RHS_SUMMARY!AW$4,RHS!$H$39:$H$59,0),ROW()-ROW($P$8)+4)</f>
        <v>15.412405986725069</v>
      </c>
      <c r="AX12" s="422" t="s">
        <v>710</v>
      </c>
      <c r="AZ12" s="419">
        <f t="shared" si="10"/>
        <v>42</v>
      </c>
      <c r="BA12" s="381">
        <f t="shared" si="11"/>
        <v>12</v>
      </c>
      <c r="BB12" s="381">
        <f t="shared" si="12"/>
        <v>50</v>
      </c>
      <c r="BC12" s="381">
        <f t="shared" si="13"/>
        <v>50</v>
      </c>
      <c r="BD12" s="381">
        <f t="shared" si="14"/>
        <v>125</v>
      </c>
      <c r="BE12" s="381">
        <f t="shared" si="15"/>
        <v>150</v>
      </c>
      <c r="BF12" s="381">
        <f t="shared" si="16"/>
        <v>50</v>
      </c>
      <c r="BG12" s="381">
        <f t="shared" si="17"/>
        <v>400</v>
      </c>
      <c r="BH12" s="381">
        <f t="shared" si="18"/>
        <v>600</v>
      </c>
      <c r="BI12" s="381">
        <f t="shared" si="19"/>
        <v>36</v>
      </c>
      <c r="BJ12" s="420">
        <f t="shared" si="2"/>
        <v>6836.7854545454538</v>
      </c>
      <c r="BK12" s="421">
        <f t="shared" si="3"/>
        <v>535.46397672727267</v>
      </c>
    </row>
    <row r="14" spans="1:63" x14ac:dyDescent="0.3">
      <c r="K14" s="246"/>
      <c r="L14" s="246"/>
      <c r="M14" s="246"/>
    </row>
    <row r="15" spans="1:63" x14ac:dyDescent="0.3">
      <c r="K15" s="246"/>
      <c r="L15" s="246"/>
      <c r="M15" s="246"/>
      <c r="N15" s="3"/>
      <c r="O15" s="3"/>
    </row>
    <row r="16" spans="1:63" hidden="1" x14ac:dyDescent="0.3">
      <c r="A16" t="s">
        <v>635</v>
      </c>
      <c r="M16" s="3"/>
      <c r="N16" s="3"/>
      <c r="O16" s="3"/>
    </row>
    <row r="17" spans="1:49" hidden="1" x14ac:dyDescent="0.3">
      <c r="A17">
        <v>1</v>
      </c>
      <c r="B17" t="s">
        <v>590</v>
      </c>
      <c r="C17">
        <v>200</v>
      </c>
      <c r="D17">
        <v>200</v>
      </c>
      <c r="E17">
        <v>12</v>
      </c>
      <c r="F17">
        <v>12</v>
      </c>
      <c r="G17">
        <v>0.5</v>
      </c>
      <c r="H17">
        <v>350</v>
      </c>
      <c r="I17">
        <v>9024</v>
      </c>
      <c r="J17">
        <v>70.838399999999993</v>
      </c>
      <c r="K17">
        <v>3589.0909090909081</v>
      </c>
      <c r="L17">
        <v>1036.0813012548376</v>
      </c>
      <c r="M17" s="3">
        <v>253.37454545454545</v>
      </c>
      <c r="N17" s="3">
        <v>24</v>
      </c>
      <c r="O17" s="3">
        <v>8.8000000000000007</v>
      </c>
      <c r="P17">
        <v>5</v>
      </c>
      <c r="Q17">
        <v>6</v>
      </c>
      <c r="R17">
        <v>4</v>
      </c>
      <c r="S17">
        <v>4</v>
      </c>
      <c r="T17">
        <v>20</v>
      </c>
      <c r="U17">
        <v>40</v>
      </c>
      <c r="V17">
        <v>40</v>
      </c>
      <c r="W17">
        <v>64</v>
      </c>
      <c r="X17">
        <v>64</v>
      </c>
      <c r="Y17">
        <v>64</v>
      </c>
      <c r="Z17">
        <v>64</v>
      </c>
      <c r="AA17">
        <v>179.45454545454541</v>
      </c>
      <c r="AB17">
        <v>210.87133926228043</v>
      </c>
      <c r="AC17">
        <v>0.85101439618278796</v>
      </c>
      <c r="AD17">
        <v>253.37454545454545</v>
      </c>
      <c r="AE17">
        <v>385.97889938567812</v>
      </c>
      <c r="AF17">
        <v>0.6564466240455501</v>
      </c>
      <c r="AG17">
        <v>400</v>
      </c>
      <c r="AH17">
        <v>400</v>
      </c>
      <c r="AI17">
        <v>40</v>
      </c>
      <c r="AJ17">
        <v>35.945413160412095</v>
      </c>
      <c r="AK17">
        <v>16</v>
      </c>
      <c r="AL17">
        <v>100</v>
      </c>
      <c r="AM17">
        <v>100</v>
      </c>
      <c r="AN17">
        <v>20</v>
      </c>
      <c r="AO17">
        <v>8</v>
      </c>
      <c r="AP17">
        <v>90.748189863234089</v>
      </c>
      <c r="AQ17">
        <v>179.45454545454541</v>
      </c>
      <c r="AR17">
        <v>226.32130552233332</v>
      </c>
      <c r="AS17">
        <v>318.18181818181813</v>
      </c>
      <c r="AT17">
        <v>0.40097060086231734</v>
      </c>
      <c r="AU17">
        <v>0.56399999999999995</v>
      </c>
      <c r="AV17">
        <v>6</v>
      </c>
      <c r="AW17">
        <v>5.4371613476930234</v>
      </c>
    </row>
    <row r="18" spans="1:49" hidden="1" x14ac:dyDescent="0.3">
      <c r="A18">
        <v>2</v>
      </c>
      <c r="B18" t="s">
        <v>590</v>
      </c>
      <c r="C18">
        <v>200</v>
      </c>
      <c r="D18">
        <v>200</v>
      </c>
      <c r="E18">
        <v>12</v>
      </c>
      <c r="F18">
        <v>12</v>
      </c>
      <c r="G18">
        <v>0.5</v>
      </c>
      <c r="H18">
        <v>350</v>
      </c>
      <c r="I18">
        <v>9024</v>
      </c>
      <c r="J18">
        <v>70.838399999999993</v>
      </c>
      <c r="K18">
        <v>3589.0909090909081</v>
      </c>
      <c r="L18">
        <v>1036.0813012548376</v>
      </c>
      <c r="M18" s="3">
        <v>253.37454545454545</v>
      </c>
      <c r="N18" s="3">
        <v>30</v>
      </c>
      <c r="O18" s="3">
        <v>8.8000000000000007</v>
      </c>
      <c r="P18">
        <v>4</v>
      </c>
      <c r="Q18">
        <v>4</v>
      </c>
      <c r="R18">
        <v>2</v>
      </c>
      <c r="S18">
        <v>2</v>
      </c>
      <c r="T18">
        <v>12</v>
      </c>
      <c r="U18">
        <v>50</v>
      </c>
      <c r="V18">
        <v>50</v>
      </c>
      <c r="W18">
        <v>100</v>
      </c>
      <c r="X18">
        <v>100</v>
      </c>
      <c r="Y18">
        <v>100</v>
      </c>
      <c r="Z18">
        <v>100</v>
      </c>
      <c r="AA18">
        <v>299.09090909090901</v>
      </c>
      <c r="AB18">
        <v>329.48646759731315</v>
      </c>
      <c r="AC18">
        <v>0.90774868926164054</v>
      </c>
      <c r="AD18">
        <v>253.37454545454545</v>
      </c>
      <c r="AE18">
        <v>417.34952562326333</v>
      </c>
      <c r="AF18">
        <v>0.60710394980360849</v>
      </c>
      <c r="AG18">
        <v>400</v>
      </c>
      <c r="AH18">
        <v>400</v>
      </c>
      <c r="AI18">
        <v>50</v>
      </c>
      <c r="AJ18">
        <v>47.124834217215017</v>
      </c>
      <c r="AK18">
        <v>20</v>
      </c>
      <c r="AL18">
        <v>100</v>
      </c>
      <c r="AM18">
        <v>100</v>
      </c>
      <c r="AN18">
        <v>12</v>
      </c>
      <c r="AO18">
        <v>10</v>
      </c>
      <c r="AP18">
        <v>83.080808080808055</v>
      </c>
      <c r="AQ18">
        <v>224.31818181818176</v>
      </c>
      <c r="AR18">
        <v>226.32130552233332</v>
      </c>
      <c r="AS18">
        <v>318.18181818181813</v>
      </c>
      <c r="AT18">
        <v>0.36709229778020019</v>
      </c>
      <c r="AU18">
        <v>0.70499999999999996</v>
      </c>
      <c r="AV18">
        <v>10</v>
      </c>
      <c r="AW18">
        <v>8.4955646057703493</v>
      </c>
    </row>
    <row r="19" spans="1:49" hidden="1" x14ac:dyDescent="0.3">
      <c r="M19" s="3"/>
      <c r="N19" s="3"/>
      <c r="O19" s="3"/>
    </row>
    <row r="20" spans="1:49" hidden="1" x14ac:dyDescent="0.3">
      <c r="M20" s="3"/>
      <c r="N20" s="3"/>
      <c r="O20" s="3"/>
    </row>
    <row r="21" spans="1:49" hidden="1" x14ac:dyDescent="0.3">
      <c r="A21">
        <v>1</v>
      </c>
      <c r="B21" t="s">
        <v>591</v>
      </c>
      <c r="C21">
        <v>160</v>
      </c>
      <c r="D21">
        <v>250</v>
      </c>
      <c r="E21">
        <v>7.2</v>
      </c>
      <c r="F21">
        <v>14.1</v>
      </c>
      <c r="G21">
        <v>0.5</v>
      </c>
      <c r="H21">
        <v>350</v>
      </c>
      <c r="I21">
        <v>7705.9199999999983</v>
      </c>
      <c r="J21">
        <v>60.491471999999987</v>
      </c>
      <c r="K21">
        <v>3064.8545454545438</v>
      </c>
      <c r="L21">
        <v>690.53447681765056</v>
      </c>
      <c r="M21" s="3">
        <v>140.6074340363636</v>
      </c>
      <c r="N21" s="3">
        <v>24</v>
      </c>
      <c r="O21" s="3">
        <v>8.8000000000000007</v>
      </c>
      <c r="P21">
        <v>4</v>
      </c>
      <c r="Q21">
        <v>6</v>
      </c>
      <c r="R21">
        <v>2</v>
      </c>
      <c r="S21">
        <v>2</v>
      </c>
      <c r="T21">
        <v>16</v>
      </c>
      <c r="U21">
        <v>40</v>
      </c>
      <c r="V21">
        <v>40</v>
      </c>
      <c r="W21">
        <v>66</v>
      </c>
      <c r="X21">
        <v>80</v>
      </c>
      <c r="Y21">
        <v>66</v>
      </c>
      <c r="Z21">
        <v>80</v>
      </c>
      <c r="AA21">
        <v>191.55340909090899</v>
      </c>
      <c r="AB21">
        <v>210.87133926228043</v>
      </c>
      <c r="AC21">
        <v>0.90838996784032411</v>
      </c>
      <c r="AD21">
        <v>140.6074340363636</v>
      </c>
      <c r="AE21">
        <v>314.90119996500545</v>
      </c>
      <c r="AF21">
        <v>0.44651285562579346</v>
      </c>
      <c r="AG21">
        <v>320</v>
      </c>
      <c r="AH21">
        <v>410</v>
      </c>
      <c r="AI21">
        <v>40</v>
      </c>
      <c r="AJ21">
        <v>37.137373970900853</v>
      </c>
      <c r="AK21">
        <v>16</v>
      </c>
      <c r="AL21">
        <v>80</v>
      </c>
      <c r="AM21">
        <v>100</v>
      </c>
      <c r="AN21">
        <v>16</v>
      </c>
      <c r="AO21">
        <v>8</v>
      </c>
      <c r="AP21">
        <v>69.537255710823445</v>
      </c>
      <c r="AQ21">
        <v>186.88137472283802</v>
      </c>
      <c r="AR21">
        <v>226.32130552233332</v>
      </c>
      <c r="AS21">
        <v>318.18181818181813</v>
      </c>
      <c r="AT21">
        <v>0.30725015283177365</v>
      </c>
      <c r="AU21">
        <v>0.58734146341463389</v>
      </c>
      <c r="AV21">
        <v>6</v>
      </c>
      <c r="AW21">
        <v>5.3925537027617425</v>
      </c>
    </row>
    <row r="22" spans="1:49" hidden="1" x14ac:dyDescent="0.3">
      <c r="A22">
        <v>2</v>
      </c>
      <c r="B22" t="s">
        <v>591</v>
      </c>
      <c r="C22">
        <v>160</v>
      </c>
      <c r="D22">
        <v>250</v>
      </c>
      <c r="E22">
        <v>7.2</v>
      </c>
      <c r="F22">
        <v>14.1</v>
      </c>
      <c r="G22">
        <v>0.5</v>
      </c>
      <c r="H22">
        <v>350</v>
      </c>
      <c r="I22">
        <v>7705.9199999999983</v>
      </c>
      <c r="J22">
        <v>60.491471999999987</v>
      </c>
      <c r="K22">
        <v>3064.8545454545438</v>
      </c>
      <c r="L22">
        <v>690.53447681765056</v>
      </c>
      <c r="M22">
        <v>140.6074340363636</v>
      </c>
      <c r="N22">
        <v>30</v>
      </c>
      <c r="O22">
        <v>8.8000000000000007</v>
      </c>
      <c r="P22">
        <v>3</v>
      </c>
      <c r="Q22">
        <v>4</v>
      </c>
      <c r="R22">
        <v>1</v>
      </c>
      <c r="S22">
        <v>1</v>
      </c>
      <c r="T22">
        <v>10</v>
      </c>
      <c r="U22">
        <v>50</v>
      </c>
      <c r="V22">
        <v>50</v>
      </c>
      <c r="W22">
        <v>116.66666666</v>
      </c>
      <c r="X22">
        <v>130</v>
      </c>
      <c r="Y22">
        <v>116.66666666666667</v>
      </c>
      <c r="Z22">
        <v>130</v>
      </c>
      <c r="AA22">
        <v>306.48545454545439</v>
      </c>
      <c r="AB22">
        <v>329.48646759731315</v>
      </c>
      <c r="AC22">
        <v>0.93019132706849195</v>
      </c>
      <c r="AD22">
        <v>140.6074340363636</v>
      </c>
      <c r="AE22">
        <v>342.66592630120567</v>
      </c>
      <c r="AF22">
        <v>0.41033386527252408</v>
      </c>
      <c r="AG22">
        <v>360</v>
      </c>
      <c r="AH22">
        <v>450</v>
      </c>
      <c r="AI22">
        <v>50</v>
      </c>
      <c r="AJ22">
        <v>47.703820601708614</v>
      </c>
      <c r="AK22">
        <v>25</v>
      </c>
      <c r="AL22">
        <v>100</v>
      </c>
      <c r="AM22">
        <v>100</v>
      </c>
      <c r="AN22">
        <v>10</v>
      </c>
      <c r="AO22">
        <v>8</v>
      </c>
      <c r="AP22">
        <v>87.825478148235973</v>
      </c>
      <c r="AQ22">
        <v>307.43139730639712</v>
      </c>
      <c r="AR22">
        <v>226.32130552233332</v>
      </c>
      <c r="AS22">
        <v>318.18181818181813</v>
      </c>
      <c r="AT22">
        <v>0.38805660804024206</v>
      </c>
      <c r="AU22">
        <v>0.96621296296296255</v>
      </c>
      <c r="AV22">
        <v>10</v>
      </c>
      <c r="AW22">
        <v>9.3146379004648416</v>
      </c>
    </row>
    <row r="23" spans="1:49" hidden="1" x14ac:dyDescent="0.3">
      <c r="M23" s="3"/>
      <c r="N23" s="3"/>
      <c r="O23" s="3"/>
    </row>
    <row r="24" spans="1:49" ht="15" hidden="1" thickBot="1" x14ac:dyDescent="0.35">
      <c r="A24" s="298">
        <v>2</v>
      </c>
      <c r="B24" s="307" t="s">
        <v>591</v>
      </c>
      <c r="C24" s="308">
        <v>160</v>
      </c>
      <c r="D24" s="308">
        <v>250</v>
      </c>
      <c r="E24" s="308">
        <v>7.2</v>
      </c>
      <c r="F24" s="308">
        <v>14.1</v>
      </c>
      <c r="G24" s="308">
        <v>0.5</v>
      </c>
      <c r="H24" s="308">
        <v>350</v>
      </c>
      <c r="I24" s="309">
        <v>7705.9199999999983</v>
      </c>
      <c r="J24" s="310">
        <v>60.491471999999987</v>
      </c>
      <c r="K24" s="326">
        <v>3064.8545454545438</v>
      </c>
      <c r="L24" s="326">
        <v>690.53447681765056</v>
      </c>
      <c r="M24" s="327">
        <v>140.6074340363636</v>
      </c>
      <c r="N24" s="307">
        <v>24</v>
      </c>
      <c r="O24" s="308">
        <v>8.8000000000000007</v>
      </c>
      <c r="P24" s="314">
        <v>4</v>
      </c>
      <c r="Q24" s="308">
        <v>5</v>
      </c>
      <c r="R24" s="314">
        <v>3</v>
      </c>
      <c r="S24" s="308">
        <v>3</v>
      </c>
      <c r="T24" s="314">
        <v>16</v>
      </c>
      <c r="U24" s="308">
        <v>40</v>
      </c>
      <c r="V24" s="308">
        <v>40</v>
      </c>
      <c r="W24" s="308">
        <v>80</v>
      </c>
      <c r="X24" s="308">
        <v>60</v>
      </c>
      <c r="Y24" s="314">
        <v>82.5</v>
      </c>
      <c r="Z24" s="314">
        <v>60</v>
      </c>
      <c r="AA24" s="315">
        <v>191.55340909090899</v>
      </c>
      <c r="AB24" s="315">
        <v>210.87133926228043</v>
      </c>
      <c r="AC24" s="315">
        <v>0.90838996784032411</v>
      </c>
      <c r="AD24" s="315">
        <v>140.6074340363636</v>
      </c>
      <c r="AE24" s="315">
        <v>278.35016782621022</v>
      </c>
      <c r="AF24" s="316">
        <v>0.50514585686958446</v>
      </c>
      <c r="AG24" s="319">
        <v>320</v>
      </c>
      <c r="AH24" s="314">
        <v>410</v>
      </c>
      <c r="AI24" s="308">
        <v>40</v>
      </c>
      <c r="AJ24" s="315">
        <v>37.137373970900853</v>
      </c>
      <c r="AK24" s="320">
        <v>12</v>
      </c>
      <c r="AL24" s="319">
        <v>80</v>
      </c>
      <c r="AM24" s="308">
        <v>100</v>
      </c>
      <c r="AN24" s="314">
        <v>16</v>
      </c>
      <c r="AO24" s="308">
        <v>8</v>
      </c>
      <c r="AP24" s="315">
        <v>57.997668017432481</v>
      </c>
      <c r="AQ24" s="315">
        <v>140.16103104212851</v>
      </c>
      <c r="AR24" s="315">
        <v>226.32130552233332</v>
      </c>
      <c r="AS24" s="315">
        <v>318.18181818181813</v>
      </c>
      <c r="AT24" s="315">
        <v>0.25626251971098357</v>
      </c>
      <c r="AU24" s="315">
        <v>0.44050609756097542</v>
      </c>
      <c r="AV24" s="308">
        <v>6</v>
      </c>
      <c r="AW24" s="316">
        <v>5</v>
      </c>
    </row>
    <row r="25" spans="1:49" hidden="1" x14ac:dyDescent="0.3">
      <c r="M25" s="3"/>
      <c r="N25" s="3"/>
      <c r="O25" s="3"/>
    </row>
    <row r="26" spans="1:49" hidden="1" x14ac:dyDescent="0.3">
      <c r="A26">
        <v>1</v>
      </c>
      <c r="B26" t="s">
        <v>590</v>
      </c>
      <c r="C26">
        <v>200</v>
      </c>
      <c r="D26">
        <v>200</v>
      </c>
      <c r="E26">
        <v>12</v>
      </c>
      <c r="F26">
        <v>12</v>
      </c>
      <c r="G26">
        <v>0.5</v>
      </c>
      <c r="H26">
        <v>350</v>
      </c>
      <c r="I26" s="353">
        <v>9024</v>
      </c>
      <c r="J26" s="353">
        <v>70.838399999999993</v>
      </c>
      <c r="K26" s="353">
        <v>3589.0909090909081</v>
      </c>
      <c r="L26" s="353">
        <v>1036.0813012548376</v>
      </c>
      <c r="M26" s="353">
        <v>253.37454545454545</v>
      </c>
      <c r="N26">
        <v>24</v>
      </c>
      <c r="O26">
        <v>8.8000000000000007</v>
      </c>
      <c r="P26">
        <v>5</v>
      </c>
      <c r="Q26">
        <v>6</v>
      </c>
      <c r="R26">
        <v>4</v>
      </c>
      <c r="S26">
        <v>4</v>
      </c>
      <c r="T26">
        <v>20</v>
      </c>
      <c r="U26">
        <v>40</v>
      </c>
      <c r="V26">
        <v>40</v>
      </c>
      <c r="W26">
        <v>64</v>
      </c>
      <c r="X26">
        <v>64</v>
      </c>
      <c r="Y26">
        <v>64</v>
      </c>
      <c r="Z26">
        <v>64</v>
      </c>
      <c r="AA26" s="353">
        <v>179.45454545454541</v>
      </c>
      <c r="AB26" s="353">
        <v>210.87133926228043</v>
      </c>
      <c r="AC26" s="353">
        <v>0.85101439618278796</v>
      </c>
      <c r="AD26" s="353">
        <v>253.37454545454545</v>
      </c>
      <c r="AE26" s="353">
        <v>385.97889938567812</v>
      </c>
      <c r="AF26" s="353">
        <v>0.6564466240455501</v>
      </c>
      <c r="AG26">
        <v>400</v>
      </c>
      <c r="AH26">
        <v>400</v>
      </c>
      <c r="AI26">
        <v>40</v>
      </c>
      <c r="AJ26" s="353">
        <v>37.889792340897877</v>
      </c>
      <c r="AK26">
        <v>16</v>
      </c>
      <c r="AL26">
        <v>100</v>
      </c>
      <c r="AM26">
        <v>100</v>
      </c>
      <c r="AN26">
        <v>20</v>
      </c>
      <c r="AO26">
        <v>10</v>
      </c>
      <c r="AP26">
        <v>78.284308561726576</v>
      </c>
      <c r="AQ26">
        <v>143.56363636363633</v>
      </c>
      <c r="AR26">
        <v>226.32130552233332</v>
      </c>
      <c r="AS26">
        <v>318.18181818181813</v>
      </c>
      <c r="AT26" s="353">
        <v>0.34589897924568797</v>
      </c>
      <c r="AU26" s="353">
        <v>0.45119999999999999</v>
      </c>
      <c r="AV26">
        <v>6</v>
      </c>
      <c r="AW26" s="353">
        <v>5.4371613476930234</v>
      </c>
    </row>
    <row r="27" spans="1:49" hidden="1" x14ac:dyDescent="0.3">
      <c r="A27">
        <v>2</v>
      </c>
      <c r="B27" t="s">
        <v>590</v>
      </c>
      <c r="C27">
        <v>200</v>
      </c>
      <c r="D27">
        <v>200</v>
      </c>
      <c r="E27">
        <v>12</v>
      </c>
      <c r="F27">
        <v>12</v>
      </c>
      <c r="G27">
        <v>0.5</v>
      </c>
      <c r="H27">
        <v>350</v>
      </c>
      <c r="I27" s="353">
        <v>9024</v>
      </c>
      <c r="J27" s="353">
        <v>70.838399999999993</v>
      </c>
      <c r="K27" s="353">
        <v>3589.0909090909081</v>
      </c>
      <c r="L27" s="353">
        <v>1036.0813012548376</v>
      </c>
      <c r="M27" s="353">
        <v>253.37454545454545</v>
      </c>
      <c r="N27">
        <v>30</v>
      </c>
      <c r="O27">
        <v>8.8000000000000007</v>
      </c>
      <c r="P27">
        <v>4</v>
      </c>
      <c r="Q27">
        <v>4</v>
      </c>
      <c r="R27">
        <v>2</v>
      </c>
      <c r="S27">
        <v>2</v>
      </c>
      <c r="T27">
        <v>12</v>
      </c>
      <c r="U27">
        <v>50</v>
      </c>
      <c r="V27">
        <v>50</v>
      </c>
      <c r="W27">
        <v>100</v>
      </c>
      <c r="X27">
        <v>100</v>
      </c>
      <c r="Y27">
        <v>100</v>
      </c>
      <c r="Z27">
        <v>100</v>
      </c>
      <c r="AA27" s="353">
        <v>299.09090909090901</v>
      </c>
      <c r="AB27" s="353">
        <v>329.48646759731315</v>
      </c>
      <c r="AC27" s="353">
        <v>0.90774868926164054</v>
      </c>
      <c r="AD27" s="353">
        <v>253.37454545454545</v>
      </c>
      <c r="AE27" s="353">
        <v>417.34952562326333</v>
      </c>
      <c r="AF27" s="353">
        <v>0.60710394980360849</v>
      </c>
      <c r="AG27">
        <v>400</v>
      </c>
      <c r="AH27">
        <v>400</v>
      </c>
      <c r="AI27">
        <v>50</v>
      </c>
      <c r="AJ27" s="353">
        <v>45.345892868042633</v>
      </c>
      <c r="AK27">
        <v>20</v>
      </c>
      <c r="AL27">
        <v>100</v>
      </c>
      <c r="AM27">
        <v>100</v>
      </c>
      <c r="AN27">
        <v>12</v>
      </c>
      <c r="AO27">
        <v>10</v>
      </c>
      <c r="AP27">
        <v>83.080808080808055</v>
      </c>
      <c r="AQ27">
        <v>224.31818181818176</v>
      </c>
      <c r="AR27">
        <v>226.32130552233332</v>
      </c>
      <c r="AS27">
        <v>318.18181818181813</v>
      </c>
      <c r="AT27" s="353">
        <v>0.36709229778020019</v>
      </c>
      <c r="AU27" s="353">
        <v>0.70499999999999996</v>
      </c>
      <c r="AV27">
        <v>10</v>
      </c>
      <c r="AW27" s="353">
        <v>8.4955646057703493</v>
      </c>
    </row>
    <row r="28" spans="1:49" hidden="1" x14ac:dyDescent="0.3">
      <c r="I28" s="353"/>
      <c r="J28" s="353"/>
      <c r="K28" s="353"/>
      <c r="L28" s="353"/>
      <c r="M28" s="353"/>
      <c r="AA28" s="353"/>
      <c r="AB28" s="353"/>
      <c r="AC28" s="353"/>
      <c r="AD28" s="353"/>
      <c r="AE28" s="353"/>
      <c r="AF28" s="353"/>
      <c r="AJ28" s="353"/>
      <c r="AT28" s="353"/>
      <c r="AU28" s="353"/>
      <c r="AW28" s="353"/>
    </row>
    <row r="29" spans="1:49" hidden="1" x14ac:dyDescent="0.3">
      <c r="A29">
        <v>1</v>
      </c>
      <c r="B29" t="s">
        <v>591</v>
      </c>
      <c r="C29">
        <v>160</v>
      </c>
      <c r="D29">
        <v>250</v>
      </c>
      <c r="E29">
        <v>7.2</v>
      </c>
      <c r="F29">
        <v>14.1</v>
      </c>
      <c r="G29">
        <v>0.5</v>
      </c>
      <c r="H29">
        <v>350</v>
      </c>
      <c r="I29" s="353">
        <v>7705.92</v>
      </c>
      <c r="J29" s="353">
        <v>60.491472000000002</v>
      </c>
      <c r="K29" s="353">
        <v>3064.8545454545401</v>
      </c>
      <c r="L29" s="353">
        <v>690.53447681765056</v>
      </c>
      <c r="M29" s="353">
        <v>140.6074340363636</v>
      </c>
      <c r="N29">
        <v>24</v>
      </c>
      <c r="O29">
        <v>8.8000000000000007</v>
      </c>
      <c r="P29">
        <v>4</v>
      </c>
      <c r="Q29">
        <v>6</v>
      </c>
      <c r="R29">
        <v>2</v>
      </c>
      <c r="S29">
        <v>2</v>
      </c>
      <c r="T29">
        <v>16</v>
      </c>
      <c r="U29">
        <v>40</v>
      </c>
      <c r="V29">
        <v>40</v>
      </c>
      <c r="W29">
        <v>66</v>
      </c>
      <c r="X29">
        <v>80</v>
      </c>
      <c r="Y29">
        <v>66</v>
      </c>
      <c r="Z29">
        <v>80</v>
      </c>
      <c r="AA29" s="353">
        <v>191.55340909090899</v>
      </c>
      <c r="AB29" s="353">
        <v>210.87133926228043</v>
      </c>
      <c r="AC29" s="353">
        <v>0.90838996784032411</v>
      </c>
      <c r="AD29" s="353">
        <v>140.6074340363636</v>
      </c>
      <c r="AE29" s="353">
        <v>314.90119996500545</v>
      </c>
      <c r="AF29" s="353">
        <v>0.44651285562579346</v>
      </c>
      <c r="AG29">
        <v>320</v>
      </c>
      <c r="AH29">
        <v>410</v>
      </c>
      <c r="AI29">
        <v>40</v>
      </c>
      <c r="AJ29" s="353">
        <v>35.73545476515902</v>
      </c>
      <c r="AK29">
        <v>16</v>
      </c>
      <c r="AL29">
        <v>80</v>
      </c>
      <c r="AM29">
        <v>100</v>
      </c>
      <c r="AN29">
        <v>16</v>
      </c>
      <c r="AO29">
        <v>8</v>
      </c>
      <c r="AP29">
        <v>69.537255710823445</v>
      </c>
      <c r="AQ29">
        <v>186.88137472283802</v>
      </c>
      <c r="AR29">
        <v>226.32130552233332</v>
      </c>
      <c r="AS29">
        <v>318.18181818181813</v>
      </c>
      <c r="AT29" s="353">
        <v>0.30725015283177365</v>
      </c>
      <c r="AU29" s="353">
        <v>0.58734146341463389</v>
      </c>
      <c r="AV29">
        <v>6</v>
      </c>
      <c r="AW29" s="353">
        <v>5.3925537027617425</v>
      </c>
    </row>
    <row r="30" spans="1:49" hidden="1" x14ac:dyDescent="0.3">
      <c r="A30">
        <v>2</v>
      </c>
      <c r="B30" t="s">
        <v>591</v>
      </c>
      <c r="C30">
        <v>160</v>
      </c>
      <c r="D30">
        <v>250</v>
      </c>
      <c r="E30">
        <v>7.2</v>
      </c>
      <c r="F30">
        <v>14.1</v>
      </c>
      <c r="G30">
        <v>0.5</v>
      </c>
      <c r="H30">
        <v>350</v>
      </c>
      <c r="I30" s="353">
        <v>7705.9199999999983</v>
      </c>
      <c r="J30" s="353">
        <v>60.491471999999987</v>
      </c>
      <c r="K30" s="353">
        <v>3064.8545454545438</v>
      </c>
      <c r="L30" s="353">
        <v>690.53447681765056</v>
      </c>
      <c r="M30" s="353">
        <v>140.6074340363636</v>
      </c>
      <c r="N30">
        <v>30</v>
      </c>
      <c r="O30">
        <v>8.8000000000000007</v>
      </c>
      <c r="P30">
        <v>3</v>
      </c>
      <c r="Q30">
        <v>4</v>
      </c>
      <c r="R30">
        <v>1</v>
      </c>
      <c r="S30">
        <v>1</v>
      </c>
      <c r="T30">
        <v>10</v>
      </c>
      <c r="U30">
        <v>50</v>
      </c>
      <c r="V30">
        <v>50</v>
      </c>
      <c r="W30" s="353">
        <v>116.66666600000001</v>
      </c>
      <c r="X30" s="353">
        <v>130</v>
      </c>
      <c r="Y30" s="353">
        <v>116.66666600000001</v>
      </c>
      <c r="Z30">
        <v>130</v>
      </c>
      <c r="AA30" s="353">
        <v>306.48545454545439</v>
      </c>
      <c r="AB30" s="353">
        <v>329.48646759731315</v>
      </c>
      <c r="AC30" s="353">
        <v>0.93019132706849195</v>
      </c>
      <c r="AD30" s="353">
        <v>140.6074340363636</v>
      </c>
      <c r="AE30" s="353">
        <v>342.66592630120567</v>
      </c>
      <c r="AF30" s="353">
        <v>0.41033386527252408</v>
      </c>
      <c r="AG30">
        <v>360</v>
      </c>
      <c r="AH30">
        <v>449.99999800000001</v>
      </c>
      <c r="AI30">
        <v>50</v>
      </c>
      <c r="AJ30" s="353">
        <v>45.903023005798588</v>
      </c>
      <c r="AK30">
        <v>25</v>
      </c>
      <c r="AL30">
        <v>100</v>
      </c>
      <c r="AM30">
        <v>100</v>
      </c>
      <c r="AN30">
        <v>10</v>
      </c>
      <c r="AO30">
        <v>8</v>
      </c>
      <c r="AP30">
        <v>87.825478538571446</v>
      </c>
      <c r="AQ30">
        <v>307.43139867275892</v>
      </c>
      <c r="AR30">
        <v>226.32130552233332</v>
      </c>
      <c r="AS30">
        <v>318.18181818181813</v>
      </c>
      <c r="AT30" s="353">
        <v>0.38805660976493817</v>
      </c>
      <c r="AU30" s="353">
        <v>0.96621296725724248</v>
      </c>
      <c r="AV30">
        <v>10</v>
      </c>
      <c r="AW30" s="353">
        <v>9.3146379418632339</v>
      </c>
    </row>
    <row r="31" spans="1:49" ht="15" hidden="1" thickBot="1" x14ac:dyDescent="0.35">
      <c r="W31" s="353"/>
      <c r="X31" s="353"/>
      <c r="Y31" s="353"/>
    </row>
    <row r="32" spans="1:49" ht="72" hidden="1" x14ac:dyDescent="0.3">
      <c r="A32" s="295" t="s">
        <v>292</v>
      </c>
      <c r="B32" s="297" t="s">
        <v>344</v>
      </c>
      <c r="C32" s="295" t="s">
        <v>563</v>
      </c>
      <c r="D32" s="295" t="s">
        <v>564</v>
      </c>
      <c r="E32" s="295" t="s">
        <v>592</v>
      </c>
      <c r="F32" s="295" t="s">
        <v>593</v>
      </c>
      <c r="G32" s="295" t="s">
        <v>594</v>
      </c>
      <c r="H32" s="295" t="s">
        <v>598</v>
      </c>
      <c r="I32" s="295" t="s">
        <v>346</v>
      </c>
      <c r="J32" s="295" t="s">
        <v>347</v>
      </c>
      <c r="K32" s="295" t="s">
        <v>349</v>
      </c>
      <c r="L32" s="295" t="s">
        <v>350</v>
      </c>
      <c r="M32" s="296" t="s">
        <v>348</v>
      </c>
      <c r="N32" s="297" t="s">
        <v>351</v>
      </c>
      <c r="O32" s="295" t="s">
        <v>352</v>
      </c>
      <c r="P32" s="295" t="s">
        <v>600</v>
      </c>
      <c r="Q32" s="295" t="s">
        <v>601</v>
      </c>
      <c r="R32" s="295" t="s">
        <v>602</v>
      </c>
      <c r="S32" s="295" t="s">
        <v>603</v>
      </c>
      <c r="T32" s="295" t="s">
        <v>604</v>
      </c>
      <c r="U32" s="295" t="s">
        <v>605</v>
      </c>
      <c r="V32" s="295" t="s">
        <v>606</v>
      </c>
      <c r="W32" s="295" t="s">
        <v>607</v>
      </c>
      <c r="X32" s="295" t="s">
        <v>608</v>
      </c>
      <c r="Y32" s="295" t="s">
        <v>609</v>
      </c>
      <c r="Z32" s="295" t="s">
        <v>610</v>
      </c>
      <c r="AA32" s="295" t="s">
        <v>611</v>
      </c>
      <c r="AB32" s="295" t="s">
        <v>612</v>
      </c>
      <c r="AC32" s="295" t="s">
        <v>613</v>
      </c>
      <c r="AD32" s="295" t="s">
        <v>614</v>
      </c>
      <c r="AE32" s="295" t="s">
        <v>348</v>
      </c>
      <c r="AF32" s="296" t="s">
        <v>615</v>
      </c>
      <c r="AG32" s="297" t="s">
        <v>563</v>
      </c>
      <c r="AH32" s="295" t="s">
        <v>564</v>
      </c>
      <c r="AI32" s="295" t="s">
        <v>358</v>
      </c>
      <c r="AJ32" s="295" t="s">
        <v>501</v>
      </c>
      <c r="AK32" s="296" t="s">
        <v>618</v>
      </c>
    </row>
    <row r="33" spans="1:63" s="357" customFormat="1" hidden="1" x14ac:dyDescent="0.3">
      <c r="A33" s="357">
        <v>1</v>
      </c>
      <c r="B33" s="357" t="s">
        <v>590</v>
      </c>
      <c r="C33" s="357">
        <v>200</v>
      </c>
      <c r="D33" s="357">
        <v>200</v>
      </c>
      <c r="E33" s="357">
        <v>12</v>
      </c>
      <c r="F33" s="357">
        <v>12</v>
      </c>
      <c r="G33" s="357">
        <v>0.5</v>
      </c>
      <c r="H33" s="357">
        <v>350</v>
      </c>
      <c r="I33" s="357">
        <v>9024</v>
      </c>
      <c r="J33" s="357">
        <v>70.838399999999993</v>
      </c>
      <c r="K33" s="357">
        <v>3589.0909090909081</v>
      </c>
      <c r="L33" s="358">
        <v>1036.0813012548376</v>
      </c>
      <c r="M33" s="358">
        <v>253.37454545454545</v>
      </c>
      <c r="N33" s="357">
        <v>24</v>
      </c>
      <c r="O33" s="357">
        <v>8.8000000000000007</v>
      </c>
      <c r="P33" s="357">
        <v>5</v>
      </c>
      <c r="Q33" s="357">
        <v>6</v>
      </c>
      <c r="R33" s="357">
        <v>4</v>
      </c>
      <c r="S33" s="357">
        <v>4</v>
      </c>
      <c r="T33" s="357">
        <v>20</v>
      </c>
      <c r="U33" s="357">
        <v>40</v>
      </c>
      <c r="V33" s="357">
        <v>40</v>
      </c>
      <c r="W33" s="357">
        <v>64</v>
      </c>
      <c r="X33" s="357">
        <v>64</v>
      </c>
      <c r="Y33" s="357">
        <v>64</v>
      </c>
      <c r="Z33" s="357">
        <v>64</v>
      </c>
      <c r="AA33" s="357">
        <v>179.45454545454541</v>
      </c>
      <c r="AB33" s="357">
        <v>210.87133926228043</v>
      </c>
      <c r="AC33" s="357">
        <v>0.85101439618278796</v>
      </c>
      <c r="AD33" s="357">
        <v>253.37454545454545</v>
      </c>
      <c r="AE33" s="357">
        <v>385.97889938567812</v>
      </c>
      <c r="AF33" s="357">
        <v>0.6564466240455501</v>
      </c>
      <c r="AG33" s="357">
        <v>400</v>
      </c>
      <c r="AH33" s="357">
        <v>400</v>
      </c>
      <c r="AI33" s="357">
        <v>50</v>
      </c>
      <c r="AJ33" s="357">
        <v>48.09658251892747</v>
      </c>
      <c r="AK33" s="357">
        <v>16</v>
      </c>
      <c r="AL33" s="357">
        <v>100</v>
      </c>
      <c r="AM33" s="357">
        <v>100</v>
      </c>
      <c r="AN33" s="357">
        <v>20</v>
      </c>
      <c r="AO33" s="357">
        <v>10</v>
      </c>
      <c r="AP33" s="357">
        <v>64.613732259301869</v>
      </c>
      <c r="AQ33" s="357">
        <v>143.56363636363633</v>
      </c>
      <c r="AR33" s="357">
        <v>226.32130552233332</v>
      </c>
      <c r="AS33" s="357">
        <v>318.18181818181813</v>
      </c>
      <c r="AT33" s="357">
        <v>0.28549557943817094</v>
      </c>
      <c r="AU33" s="357">
        <v>0.45119999999999999</v>
      </c>
      <c r="AV33" s="357">
        <v>6</v>
      </c>
      <c r="AW33" s="357">
        <v>5.4371613476930234</v>
      </c>
      <c r="AX33"/>
    </row>
    <row r="34" spans="1:63" hidden="1" x14ac:dyDescent="0.3">
      <c r="A34">
        <v>2</v>
      </c>
      <c r="B34" t="s">
        <v>591</v>
      </c>
      <c r="C34">
        <v>160</v>
      </c>
      <c r="D34">
        <v>250</v>
      </c>
      <c r="E34">
        <v>7.2</v>
      </c>
      <c r="F34">
        <v>14.1</v>
      </c>
      <c r="G34">
        <v>0.5</v>
      </c>
      <c r="H34">
        <v>350</v>
      </c>
      <c r="I34">
        <v>7705.9199999999983</v>
      </c>
      <c r="J34">
        <v>60.491471999999987</v>
      </c>
      <c r="K34">
        <v>3064.8545454545438</v>
      </c>
      <c r="L34" s="353">
        <v>690.53447681765056</v>
      </c>
      <c r="M34" s="353">
        <v>140.6074340363636</v>
      </c>
      <c r="N34">
        <v>24</v>
      </c>
      <c r="O34">
        <v>8.8000000000000007</v>
      </c>
      <c r="P34">
        <v>4</v>
      </c>
      <c r="Q34">
        <v>6</v>
      </c>
      <c r="R34">
        <v>2</v>
      </c>
      <c r="S34">
        <v>2</v>
      </c>
      <c r="T34">
        <v>16</v>
      </c>
      <c r="U34">
        <v>40</v>
      </c>
      <c r="V34">
        <v>40</v>
      </c>
      <c r="W34">
        <v>66</v>
      </c>
      <c r="X34">
        <v>80</v>
      </c>
      <c r="Y34">
        <v>66</v>
      </c>
      <c r="Z34">
        <v>80</v>
      </c>
      <c r="AA34">
        <v>191.55340909090899</v>
      </c>
      <c r="AB34">
        <v>210.87133926228043</v>
      </c>
      <c r="AC34">
        <v>0.90838996784032411</v>
      </c>
      <c r="AD34">
        <v>140.6074340363636</v>
      </c>
      <c r="AE34">
        <v>314.90119996500545</v>
      </c>
      <c r="AF34">
        <v>0.44651285562579346</v>
      </c>
      <c r="AG34">
        <v>320</v>
      </c>
      <c r="AH34">
        <v>410</v>
      </c>
      <c r="AI34">
        <v>40</v>
      </c>
      <c r="AJ34">
        <v>39.343440826752214</v>
      </c>
      <c r="AK34">
        <v>16</v>
      </c>
      <c r="AL34">
        <v>80</v>
      </c>
      <c r="AM34">
        <v>100</v>
      </c>
      <c r="AN34">
        <v>16</v>
      </c>
      <c r="AO34">
        <v>8</v>
      </c>
      <c r="AP34">
        <v>69.537255710823445</v>
      </c>
      <c r="AQ34">
        <v>186.88137472283802</v>
      </c>
      <c r="AR34">
        <v>226.32130552233332</v>
      </c>
      <c r="AS34">
        <v>318.18181818181813</v>
      </c>
      <c r="AT34">
        <v>0.30725015283177365</v>
      </c>
      <c r="AU34">
        <v>0.58734146341463389</v>
      </c>
      <c r="AV34">
        <v>6</v>
      </c>
      <c r="AW34">
        <v>5.3925537027617425</v>
      </c>
    </row>
    <row r="35" spans="1:63" hidden="1" x14ac:dyDescent="0.3">
      <c r="L35" s="353"/>
      <c r="M35" s="353"/>
    </row>
    <row r="36" spans="1:63" s="357" customFormat="1" hidden="1" x14ac:dyDescent="0.3">
      <c r="A36" s="357">
        <v>1</v>
      </c>
      <c r="B36" s="357" t="s">
        <v>590</v>
      </c>
      <c r="C36" s="357">
        <v>200</v>
      </c>
      <c r="D36" s="357">
        <v>200</v>
      </c>
      <c r="E36" s="357">
        <v>12</v>
      </c>
      <c r="F36" s="357">
        <v>12</v>
      </c>
      <c r="G36" s="357">
        <v>0.5</v>
      </c>
      <c r="H36" s="357">
        <v>350</v>
      </c>
      <c r="I36" s="357">
        <v>9024</v>
      </c>
      <c r="J36" s="357">
        <v>70.838399999999993</v>
      </c>
      <c r="K36" s="357">
        <v>3589.0909090909081</v>
      </c>
      <c r="L36" s="358">
        <v>1036.0813012548376</v>
      </c>
      <c r="M36" s="358">
        <v>253.37454545454545</v>
      </c>
      <c r="N36" s="357">
        <v>30</v>
      </c>
      <c r="O36" s="357">
        <v>8.8000000000000007</v>
      </c>
      <c r="P36" s="357">
        <v>4</v>
      </c>
      <c r="Q36" s="357">
        <v>4</v>
      </c>
      <c r="R36" s="357">
        <v>2</v>
      </c>
      <c r="S36" s="357">
        <v>2</v>
      </c>
      <c r="T36" s="357">
        <v>12</v>
      </c>
      <c r="U36" s="357">
        <v>50</v>
      </c>
      <c r="V36" s="357">
        <v>50</v>
      </c>
      <c r="W36" s="357">
        <v>90</v>
      </c>
      <c r="X36" s="357">
        <v>90</v>
      </c>
      <c r="Y36" s="357">
        <v>90</v>
      </c>
      <c r="Z36" s="357">
        <v>90</v>
      </c>
      <c r="AA36" s="357">
        <v>299.09090909090901</v>
      </c>
      <c r="AB36" s="357">
        <v>329.48646759731315</v>
      </c>
      <c r="AC36" s="357">
        <v>0.90774868926164054</v>
      </c>
      <c r="AD36" s="357">
        <v>253.37454545454545</v>
      </c>
      <c r="AE36" s="357">
        <v>375.614573060937</v>
      </c>
      <c r="AF36" s="357">
        <v>0.67455994422623156</v>
      </c>
      <c r="AG36" s="357">
        <v>370</v>
      </c>
      <c r="AH36" s="357">
        <v>370</v>
      </c>
      <c r="AI36" s="357">
        <v>40</v>
      </c>
      <c r="AJ36" s="357">
        <v>39.380728165458677</v>
      </c>
      <c r="AK36" s="357">
        <v>20</v>
      </c>
      <c r="AL36" s="357">
        <v>85</v>
      </c>
      <c r="AM36" s="357">
        <v>100</v>
      </c>
      <c r="AN36" s="357">
        <v>12</v>
      </c>
      <c r="AO36" s="357">
        <v>10</v>
      </c>
      <c r="AP36" s="357">
        <v>82.576823232279523</v>
      </c>
      <c r="AQ36" s="357">
        <v>200.55913407264754</v>
      </c>
      <c r="AR36" s="357">
        <v>226.32130552233332</v>
      </c>
      <c r="AS36" s="357">
        <v>318.18181818181813</v>
      </c>
      <c r="AT36" s="357">
        <v>0.36486544226005652</v>
      </c>
      <c r="AU36" s="357">
        <v>0.63032870708546385</v>
      </c>
      <c r="AV36" s="357">
        <v>6</v>
      </c>
      <c r="AW36" s="357">
        <v>7.3367964471773286</v>
      </c>
      <c r="AX36"/>
    </row>
    <row r="37" spans="1:63" hidden="1" x14ac:dyDescent="0.3">
      <c r="A37">
        <v>2</v>
      </c>
      <c r="B37" t="s">
        <v>591</v>
      </c>
      <c r="C37">
        <v>160</v>
      </c>
      <c r="D37">
        <v>250</v>
      </c>
      <c r="E37">
        <v>7.2</v>
      </c>
      <c r="F37">
        <v>14.1</v>
      </c>
      <c r="G37">
        <v>0.5</v>
      </c>
      <c r="H37">
        <v>350</v>
      </c>
      <c r="I37">
        <v>7705.9199999999983</v>
      </c>
      <c r="J37">
        <v>60.491471999999987</v>
      </c>
      <c r="K37">
        <v>3064.8545454545438</v>
      </c>
      <c r="L37" s="353">
        <v>690.53447681765056</v>
      </c>
      <c r="M37" s="353">
        <v>140.6074340363636</v>
      </c>
      <c r="N37">
        <v>30</v>
      </c>
      <c r="O37">
        <v>8.8000000000000007</v>
      </c>
      <c r="P37">
        <v>4</v>
      </c>
      <c r="Q37">
        <v>5</v>
      </c>
      <c r="R37">
        <v>2</v>
      </c>
      <c r="S37">
        <v>2</v>
      </c>
      <c r="T37">
        <v>14</v>
      </c>
      <c r="U37">
        <v>50</v>
      </c>
      <c r="V37">
        <v>50</v>
      </c>
      <c r="W37">
        <v>80</v>
      </c>
      <c r="X37">
        <v>80</v>
      </c>
      <c r="Y37">
        <v>80</v>
      </c>
      <c r="Z37">
        <v>80</v>
      </c>
      <c r="AA37">
        <v>218.91818181818169</v>
      </c>
      <c r="AB37">
        <v>329.48646759731315</v>
      </c>
      <c r="AC37">
        <v>0.66442237647749425</v>
      </c>
      <c r="AD37">
        <v>140.6074340363636</v>
      </c>
      <c r="AE37">
        <v>412.95637272196575</v>
      </c>
      <c r="AF37">
        <v>0.34048980309847748</v>
      </c>
      <c r="AG37">
        <v>340</v>
      </c>
      <c r="AH37">
        <v>420</v>
      </c>
      <c r="AI37">
        <v>40</v>
      </c>
      <c r="AJ37">
        <v>38.202808083366655</v>
      </c>
      <c r="AK37">
        <v>16</v>
      </c>
      <c r="AL37">
        <v>90</v>
      </c>
      <c r="AM37">
        <v>100</v>
      </c>
      <c r="AN37">
        <v>14</v>
      </c>
      <c r="AO37">
        <v>8</v>
      </c>
      <c r="AP37">
        <v>80.85897276458148</v>
      </c>
      <c r="AQ37">
        <v>193.16310160427798</v>
      </c>
      <c r="AR37">
        <v>226.32130552233332</v>
      </c>
      <c r="AS37">
        <v>318.18181818181813</v>
      </c>
      <c r="AT37">
        <v>0.35727512519408977</v>
      </c>
      <c r="AU37">
        <v>0.60708403361344521</v>
      </c>
      <c r="AV37">
        <v>6</v>
      </c>
      <c r="AW37">
        <v>5.7252784037313758</v>
      </c>
    </row>
    <row r="38" spans="1:63" hidden="1" x14ac:dyDescent="0.3"/>
    <row r="45" spans="1:63" hidden="1" x14ac:dyDescent="0.3">
      <c r="A45">
        <v>4</v>
      </c>
      <c r="B45" t="s">
        <v>705</v>
      </c>
      <c r="C45">
        <v>200</v>
      </c>
      <c r="D45">
        <v>400</v>
      </c>
      <c r="E45">
        <v>8.8000000000000007</v>
      </c>
      <c r="F45">
        <v>15.3</v>
      </c>
      <c r="G45">
        <v>1</v>
      </c>
      <c r="H45">
        <v>350</v>
      </c>
      <c r="I45">
        <v>12621.440000000002</v>
      </c>
      <c r="J45">
        <v>99.078304000000017</v>
      </c>
      <c r="K45">
        <v>5019.8909090909092</v>
      </c>
      <c r="L45">
        <v>966.07845588873056</v>
      </c>
      <c r="M45">
        <v>0</v>
      </c>
      <c r="N45">
        <v>36</v>
      </c>
      <c r="O45">
        <v>8.8000000000000007</v>
      </c>
      <c r="P45">
        <v>5</v>
      </c>
      <c r="Q45">
        <v>5</v>
      </c>
      <c r="R45">
        <v>1</v>
      </c>
      <c r="S45">
        <v>1</v>
      </c>
      <c r="T45">
        <v>12</v>
      </c>
      <c r="U45">
        <v>60</v>
      </c>
      <c r="V45">
        <v>60</v>
      </c>
      <c r="W45">
        <v>122.5</v>
      </c>
      <c r="X45">
        <v>145</v>
      </c>
      <c r="Y45">
        <v>122.5</v>
      </c>
      <c r="Z45">
        <v>145</v>
      </c>
      <c r="AA45">
        <v>418.32424242424241</v>
      </c>
      <c r="AB45">
        <v>474.460513340131</v>
      </c>
      <c r="AC45">
        <v>0.88168399827269572</v>
      </c>
      <c r="AD45">
        <v>0</v>
      </c>
      <c r="AE45">
        <v>687.96774434319002</v>
      </c>
      <c r="AF45">
        <v>0</v>
      </c>
      <c r="AG45">
        <v>410</v>
      </c>
      <c r="AH45">
        <v>610</v>
      </c>
      <c r="AI45">
        <v>50</v>
      </c>
      <c r="AJ45">
        <v>45.966991262364409</v>
      </c>
      <c r="AK45">
        <v>30</v>
      </c>
      <c r="AL45">
        <v>105</v>
      </c>
      <c r="AM45">
        <v>100</v>
      </c>
      <c r="AN45">
        <v>12</v>
      </c>
      <c r="AO45">
        <v>8</v>
      </c>
      <c r="AP45">
        <v>107.29843726578933</v>
      </c>
      <c r="AQ45">
        <v>381.98640089418785</v>
      </c>
      <c r="AR45">
        <v>226.32130552233332</v>
      </c>
      <c r="AS45">
        <v>318.18181818181813</v>
      </c>
      <c r="AT45">
        <v>0.47409781866604317</v>
      </c>
      <c r="AU45">
        <v>1.2005286885245905</v>
      </c>
      <c r="AV45">
        <v>6</v>
      </c>
      <c r="AW45">
        <v>11.684809041094901</v>
      </c>
      <c r="AZ45">
        <v>36</v>
      </c>
      <c r="BA45">
        <v>12</v>
      </c>
      <c r="BB45">
        <v>60</v>
      </c>
      <c r="BC45">
        <v>60</v>
      </c>
      <c r="BD45">
        <v>122.5</v>
      </c>
      <c r="BE45">
        <v>145</v>
      </c>
      <c r="BF45">
        <v>45</v>
      </c>
      <c r="BG45">
        <v>410</v>
      </c>
      <c r="BH45">
        <v>610</v>
      </c>
      <c r="BI45">
        <v>50</v>
      </c>
      <c r="BJ45">
        <v>4015.9127272727274</v>
      </c>
      <c r="BK45">
        <v>0</v>
      </c>
    </row>
    <row r="98" spans="11:14" x14ac:dyDescent="0.3">
      <c r="M98" t="s">
        <v>655</v>
      </c>
      <c r="N98" t="s">
        <v>656</v>
      </c>
    </row>
    <row r="99" spans="11:14" x14ac:dyDescent="0.3">
      <c r="M99" t="s">
        <v>657</v>
      </c>
    </row>
    <row r="101" spans="11:14" x14ac:dyDescent="0.3">
      <c r="K101" t="s">
        <v>652</v>
      </c>
    </row>
    <row r="102" spans="11:14" x14ac:dyDescent="0.3">
      <c r="K102" t="s">
        <v>653</v>
      </c>
    </row>
    <row r="104" spans="11:14" x14ac:dyDescent="0.3">
      <c r="K104" t="s">
        <v>654</v>
      </c>
    </row>
  </sheetData>
  <mergeCells count="6">
    <mergeCell ref="N6:AF6"/>
    <mergeCell ref="AG6:AK6"/>
    <mergeCell ref="AL6:AW6"/>
    <mergeCell ref="B6:M6"/>
    <mergeCell ref="AZ6:BK6"/>
    <mergeCell ref="AX6:AX8"/>
  </mergeCells>
  <conditionalFormatting sqref="AF9">
    <cfRule type="expression" dxfId="14" priority="28">
      <formula>AF9&gt;=1</formula>
    </cfRule>
  </conditionalFormatting>
  <conditionalFormatting sqref="AF10:AF12">
    <cfRule type="expression" dxfId="13" priority="27">
      <formula>AF10&gt;=1</formula>
    </cfRule>
  </conditionalFormatting>
  <conditionalFormatting sqref="AT9:AT12">
    <cfRule type="expression" dxfId="12" priority="26">
      <formula>AT9&gt;=1</formula>
    </cfRule>
  </conditionalFormatting>
  <conditionalFormatting sqref="AU9:AU12">
    <cfRule type="expression" dxfId="11" priority="25">
      <formula>AU9&gt;=1</formula>
    </cfRule>
  </conditionalFormatting>
  <conditionalFormatting sqref="AW9">
    <cfRule type="expression" dxfId="10" priority="24">
      <formula>$AV9&lt;$AW9</formula>
    </cfRule>
  </conditionalFormatting>
  <conditionalFormatting sqref="AW10:AW12">
    <cfRule type="expression" dxfId="9" priority="23">
      <formula>$AV10&lt;$AW10</formula>
    </cfRule>
  </conditionalFormatting>
  <conditionalFormatting sqref="AC9:AC12">
    <cfRule type="expression" dxfId="8" priority="22">
      <formula>AC9&gt;=1</formula>
    </cfRule>
  </conditionalFormatting>
  <conditionalFormatting sqref="AJ9">
    <cfRule type="expression" dxfId="7" priority="21">
      <formula>AJ9&gt;=AI9</formula>
    </cfRule>
  </conditionalFormatting>
  <conditionalFormatting sqref="AJ10:AJ12">
    <cfRule type="expression" dxfId="6" priority="20">
      <formula>AJ10&gt;=AI10</formula>
    </cfRule>
  </conditionalFormatting>
  <conditionalFormatting sqref="AF24">
    <cfRule type="expression" dxfId="5" priority="12">
      <formula>AF24&gt;=1</formula>
    </cfRule>
  </conditionalFormatting>
  <conditionalFormatting sqref="AT24">
    <cfRule type="expression" dxfId="4" priority="11">
      <formula>AT24&gt;=1</formula>
    </cfRule>
  </conditionalFormatting>
  <conditionalFormatting sqref="AU24">
    <cfRule type="expression" dxfId="3" priority="10">
      <formula>AU24&gt;=1</formula>
    </cfRule>
  </conditionalFormatting>
  <conditionalFormatting sqref="AW24">
    <cfRule type="expression" dxfId="2" priority="9">
      <formula>$AV24&lt;$AW24</formula>
    </cfRule>
  </conditionalFormatting>
  <conditionalFormatting sqref="AC24">
    <cfRule type="expression" dxfId="1" priority="8">
      <formula>AC24&gt;=1</formula>
    </cfRule>
  </conditionalFormatting>
  <conditionalFormatting sqref="AJ24">
    <cfRule type="expression" dxfId="0" priority="7">
      <formula>AJ24&gt;=AI24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E4AA-1CE1-4821-AFBB-EE9DE3428B62}">
  <dimension ref="A1:T11"/>
  <sheetViews>
    <sheetView workbookViewId="0">
      <selection activeCell="H10" sqref="H10"/>
    </sheetView>
  </sheetViews>
  <sheetFormatPr defaultRowHeight="14.4" x14ac:dyDescent="0.3"/>
  <cols>
    <col min="1" max="1" width="12.5546875" style="1" bestFit="1" customWidth="1"/>
    <col min="2" max="6" width="8.88671875" style="1"/>
    <col min="7" max="13" width="8.88671875" style="1" customWidth="1"/>
    <col min="14" max="15" width="8.88671875" style="1"/>
    <col min="16" max="16" width="15.88671875" style="1" bestFit="1" customWidth="1"/>
    <col min="17" max="17" width="7.5546875" style="1" bestFit="1" customWidth="1"/>
    <col min="18" max="18" width="8.88671875" style="1"/>
    <col min="19" max="19" width="7.5546875" style="1" bestFit="1" customWidth="1"/>
    <col min="20" max="16384" width="8.88671875" style="1"/>
  </cols>
  <sheetData>
    <row r="1" spans="1:20" ht="15" thickBot="1" x14ac:dyDescent="0.35">
      <c r="A1" s="322" t="s">
        <v>88</v>
      </c>
      <c r="B1" s="434" t="s">
        <v>75</v>
      </c>
      <c r="C1" s="435"/>
      <c r="D1" s="435"/>
      <c r="E1" s="436"/>
      <c r="F1" s="435" t="s">
        <v>634</v>
      </c>
      <c r="G1" s="435"/>
      <c r="H1" s="435"/>
      <c r="I1" s="435"/>
      <c r="J1" s="435"/>
      <c r="K1" s="436"/>
    </row>
    <row r="2" spans="1:20" x14ac:dyDescent="0.3">
      <c r="A2" s="321" t="s">
        <v>628</v>
      </c>
      <c r="B2" s="434" t="s">
        <v>102</v>
      </c>
      <c r="C2" s="436"/>
      <c r="D2" s="434" t="s">
        <v>103</v>
      </c>
      <c r="E2" s="436"/>
      <c r="F2" s="434" t="s">
        <v>590</v>
      </c>
      <c r="G2" s="435"/>
      <c r="H2" s="436"/>
      <c r="I2" s="434" t="s">
        <v>591</v>
      </c>
      <c r="J2" s="435"/>
      <c r="K2" s="436"/>
      <c r="P2" s="346" t="s">
        <v>637</v>
      </c>
      <c r="Q2" s="339" t="s">
        <v>638</v>
      </c>
      <c r="R2" s="339" t="s">
        <v>639</v>
      </c>
      <c r="S2" s="339" t="s">
        <v>640</v>
      </c>
    </row>
    <row r="3" spans="1:20" ht="15" thickBot="1" x14ac:dyDescent="0.35">
      <c r="A3" s="328" t="s">
        <v>633</v>
      </c>
      <c r="B3" s="328" t="s">
        <v>630</v>
      </c>
      <c r="C3" s="330" t="s">
        <v>631</v>
      </c>
      <c r="D3" s="328" t="s">
        <v>630</v>
      </c>
      <c r="E3" s="330" t="s">
        <v>631</v>
      </c>
      <c r="F3" s="328" t="s">
        <v>630</v>
      </c>
      <c r="G3" s="329" t="s">
        <v>631</v>
      </c>
      <c r="H3" s="330" t="s">
        <v>631</v>
      </c>
      <c r="I3" s="328" t="s">
        <v>630</v>
      </c>
      <c r="J3" s="329" t="s">
        <v>631</v>
      </c>
      <c r="K3" s="330" t="s">
        <v>631</v>
      </c>
      <c r="P3" s="347"/>
      <c r="Q3" s="90" t="s">
        <v>641</v>
      </c>
      <c r="R3" s="90" t="s">
        <v>642</v>
      </c>
      <c r="S3" s="90" t="s">
        <v>643</v>
      </c>
    </row>
    <row r="4" spans="1:20" ht="15" thickBot="1" x14ac:dyDescent="0.35">
      <c r="A4" s="332" t="s">
        <v>110</v>
      </c>
      <c r="B4" s="337"/>
      <c r="C4" s="331"/>
      <c r="D4" s="337"/>
      <c r="E4" s="331"/>
      <c r="F4" s="337"/>
      <c r="G4" s="30"/>
      <c r="H4" s="331"/>
      <c r="I4" s="337"/>
      <c r="J4" s="30"/>
      <c r="K4" s="331"/>
      <c r="P4" s="348" t="s">
        <v>38</v>
      </c>
      <c r="Q4" s="329" t="s">
        <v>131</v>
      </c>
      <c r="R4" s="329" t="s">
        <v>131</v>
      </c>
      <c r="S4" s="329" t="s">
        <v>131</v>
      </c>
    </row>
    <row r="5" spans="1:20" x14ac:dyDescent="0.3">
      <c r="A5" s="333" t="s">
        <v>76</v>
      </c>
      <c r="B5" s="337">
        <v>12</v>
      </c>
      <c r="C5" s="331">
        <v>12</v>
      </c>
      <c r="D5" s="337">
        <v>20</v>
      </c>
      <c r="E5" s="331">
        <v>20</v>
      </c>
      <c r="F5" s="337">
        <v>24</v>
      </c>
      <c r="G5" s="30">
        <v>24</v>
      </c>
      <c r="H5" s="335">
        <v>30</v>
      </c>
      <c r="I5" s="337">
        <v>24</v>
      </c>
      <c r="J5" s="30">
        <v>24</v>
      </c>
      <c r="K5" s="335">
        <v>30</v>
      </c>
      <c r="P5" s="349" t="s">
        <v>647</v>
      </c>
    </row>
    <row r="6" spans="1:20" x14ac:dyDescent="0.3">
      <c r="A6" s="333" t="s">
        <v>629</v>
      </c>
      <c r="B6" s="337">
        <v>6</v>
      </c>
      <c r="C6" s="335">
        <v>8</v>
      </c>
      <c r="D6" s="337">
        <v>6</v>
      </c>
      <c r="E6" s="335">
        <v>8</v>
      </c>
      <c r="F6" s="337">
        <v>16</v>
      </c>
      <c r="G6" s="336">
        <v>20</v>
      </c>
      <c r="H6" s="335">
        <v>12</v>
      </c>
      <c r="I6" s="337">
        <v>14</v>
      </c>
      <c r="J6" s="336">
        <v>16</v>
      </c>
      <c r="K6" s="335">
        <v>10</v>
      </c>
      <c r="P6" s="350" t="s">
        <v>644</v>
      </c>
      <c r="Q6" s="1">
        <v>1618</v>
      </c>
      <c r="R6" s="1">
        <v>808</v>
      </c>
      <c r="S6" s="1">
        <v>393</v>
      </c>
      <c r="T6" s="1" t="s">
        <v>650</v>
      </c>
    </row>
    <row r="7" spans="1:20" x14ac:dyDescent="0.3">
      <c r="A7" s="332" t="s">
        <v>538</v>
      </c>
      <c r="B7" s="337"/>
      <c r="C7" s="331"/>
      <c r="D7" s="337"/>
      <c r="E7" s="331"/>
      <c r="F7" s="337"/>
      <c r="G7" s="30"/>
      <c r="H7" s="331"/>
      <c r="I7" s="337"/>
      <c r="J7" s="30"/>
      <c r="K7" s="331"/>
      <c r="P7" s="350" t="s">
        <v>648</v>
      </c>
      <c r="Q7" s="1">
        <v>1679</v>
      </c>
      <c r="R7" s="1">
        <v>969</v>
      </c>
      <c r="S7" s="1">
        <v>834</v>
      </c>
      <c r="T7" s="1" t="s">
        <v>649</v>
      </c>
    </row>
    <row r="8" spans="1:20" x14ac:dyDescent="0.3">
      <c r="A8" s="333" t="s">
        <v>632</v>
      </c>
      <c r="B8" s="337">
        <v>150</v>
      </c>
      <c r="C8" s="331">
        <v>150</v>
      </c>
      <c r="D8" s="337">
        <v>260</v>
      </c>
      <c r="E8" s="331">
        <v>260</v>
      </c>
      <c r="F8" s="337">
        <v>360</v>
      </c>
      <c r="G8" s="336">
        <v>400</v>
      </c>
      <c r="H8" s="335">
        <v>400</v>
      </c>
      <c r="I8" s="337">
        <v>320</v>
      </c>
      <c r="J8" s="30">
        <v>320</v>
      </c>
      <c r="K8" s="335">
        <v>360</v>
      </c>
      <c r="P8" s="350" t="s">
        <v>645</v>
      </c>
      <c r="Q8" s="1">
        <v>73</v>
      </c>
      <c r="R8" s="1">
        <v>219</v>
      </c>
      <c r="S8" s="1">
        <v>511</v>
      </c>
    </row>
    <row r="9" spans="1:20" ht="15" thickBot="1" x14ac:dyDescent="0.35">
      <c r="A9" s="333" t="s">
        <v>1</v>
      </c>
      <c r="B9" s="337">
        <v>0</v>
      </c>
      <c r="C9" s="331">
        <v>0</v>
      </c>
      <c r="D9" s="337">
        <v>0</v>
      </c>
      <c r="E9" s="331">
        <v>0</v>
      </c>
      <c r="F9" s="337">
        <v>360</v>
      </c>
      <c r="G9" s="336">
        <v>400</v>
      </c>
      <c r="H9" s="335">
        <v>400</v>
      </c>
      <c r="I9" s="337">
        <v>410</v>
      </c>
      <c r="J9" s="30">
        <v>410</v>
      </c>
      <c r="K9" s="335">
        <v>450</v>
      </c>
      <c r="P9" s="351" t="s">
        <v>646</v>
      </c>
      <c r="Q9" s="352">
        <v>3370</v>
      </c>
      <c r="R9" s="352">
        <v>1996</v>
      </c>
      <c r="S9" s="352">
        <v>1738</v>
      </c>
    </row>
    <row r="10" spans="1:20" x14ac:dyDescent="0.3">
      <c r="A10" s="333" t="s">
        <v>182</v>
      </c>
      <c r="B10" s="337">
        <v>25</v>
      </c>
      <c r="C10" s="331">
        <v>25</v>
      </c>
      <c r="D10" s="337">
        <v>36</v>
      </c>
      <c r="E10" s="331">
        <v>36</v>
      </c>
      <c r="F10" s="337">
        <v>40</v>
      </c>
      <c r="G10" s="30">
        <v>40</v>
      </c>
      <c r="H10" s="335">
        <v>50</v>
      </c>
      <c r="I10" s="337">
        <v>40</v>
      </c>
      <c r="J10" s="30">
        <v>40</v>
      </c>
      <c r="K10" s="335">
        <v>50</v>
      </c>
    </row>
    <row r="11" spans="1:20" ht="15" thickBot="1" x14ac:dyDescent="0.35">
      <c r="A11" s="334" t="s">
        <v>636</v>
      </c>
      <c r="B11" s="341">
        <f>PI()*B8^2*B10*7850/(4*1000^3)</f>
        <v>3.468023765251858</v>
      </c>
      <c r="C11" s="342">
        <f>PI()*C8^2*C10*7850/(4*1000^3)</f>
        <v>3.468023765251858</v>
      </c>
      <c r="D11" s="341">
        <f>PI()*D8^2*D10*7850/(4*1000^3)</f>
        <v>15.004058017985635</v>
      </c>
      <c r="E11" s="342">
        <f>PI()*E8^2*E10*7850/(4*1000^3)</f>
        <v>15.004058017985635</v>
      </c>
      <c r="F11" s="341">
        <f>F8*F9*F10*7850/1000^3</f>
        <v>40.694400000000002</v>
      </c>
      <c r="G11" s="345">
        <f t="shared" ref="G11:K11" si="0">G8*G9*G10*7850/1000^3</f>
        <v>50.24</v>
      </c>
      <c r="H11" s="344">
        <f t="shared" si="0"/>
        <v>62.8</v>
      </c>
      <c r="I11" s="341">
        <f t="shared" si="0"/>
        <v>41.196800000000003</v>
      </c>
      <c r="J11" s="343">
        <f t="shared" si="0"/>
        <v>41.196800000000003</v>
      </c>
      <c r="K11" s="344">
        <f t="shared" si="0"/>
        <v>63.585000000000001</v>
      </c>
    </row>
  </sheetData>
  <mergeCells count="6">
    <mergeCell ref="B2:C2"/>
    <mergeCell ref="D2:E2"/>
    <mergeCell ref="B1:E1"/>
    <mergeCell ref="F1:K1"/>
    <mergeCell ref="F2:H2"/>
    <mergeCell ref="I2: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1A1E-3923-486F-AB8C-2E35564550D3}">
  <dimension ref="A1:Y36"/>
  <sheetViews>
    <sheetView topLeftCell="A13" zoomScaleNormal="100" workbookViewId="0">
      <selection activeCell="F26" sqref="F26"/>
    </sheetView>
  </sheetViews>
  <sheetFormatPr defaultRowHeight="14.4" x14ac:dyDescent="0.3"/>
  <cols>
    <col min="1" max="1" width="16" style="356" bestFit="1" customWidth="1"/>
    <col min="2" max="2" width="4.77734375" style="356" bestFit="1" customWidth="1"/>
    <col min="3" max="3" width="6.5546875" style="356" bestFit="1" customWidth="1"/>
    <col min="4" max="5" width="7.88671875" style="356" bestFit="1" customWidth="1"/>
    <col min="6" max="13" width="8.77734375" style="356" bestFit="1" customWidth="1"/>
    <col min="14" max="15" width="7.5546875" style="356" bestFit="1" customWidth="1"/>
    <col min="16" max="16" width="6.5546875" style="356" bestFit="1" customWidth="1"/>
    <col min="17" max="17" width="13.109375" style="356" customWidth="1"/>
    <col min="18" max="18" width="30.44140625" style="356" bestFit="1" customWidth="1"/>
    <col min="19" max="20" width="8.88671875" style="356"/>
    <col min="21" max="21" width="15.88671875" style="356" bestFit="1" customWidth="1"/>
    <col min="22" max="22" width="7.5546875" style="356" bestFit="1" customWidth="1"/>
    <col min="23" max="23" width="8.88671875" style="356"/>
    <col min="24" max="24" width="7.5546875" style="356" bestFit="1" customWidth="1"/>
    <col min="25" max="16384" width="8.88671875" style="356"/>
  </cols>
  <sheetData>
    <row r="1" spans="1:25" x14ac:dyDescent="0.3">
      <c r="A1" s="267" t="s">
        <v>701</v>
      </c>
    </row>
    <row r="2" spans="1:25" x14ac:dyDescent="0.3">
      <c r="A2" s="267" t="s">
        <v>700</v>
      </c>
    </row>
    <row r="4" spans="1:25" x14ac:dyDescent="0.3">
      <c r="A4" s="391" t="s">
        <v>699</v>
      </c>
      <c r="B4" s="468" t="s">
        <v>38</v>
      </c>
      <c r="C4" s="473" t="s">
        <v>698</v>
      </c>
      <c r="D4" s="468" t="s">
        <v>75</v>
      </c>
      <c r="E4" s="468"/>
      <c r="F4" s="468"/>
      <c r="G4" s="468"/>
      <c r="H4" s="468" t="s">
        <v>634</v>
      </c>
      <c r="I4" s="468"/>
      <c r="J4" s="468"/>
      <c r="K4" s="468"/>
      <c r="L4" s="468"/>
      <c r="M4" s="468"/>
      <c r="X4"/>
      <c r="Y4"/>
    </row>
    <row r="5" spans="1:25" x14ac:dyDescent="0.3">
      <c r="A5" s="391" t="s">
        <v>697</v>
      </c>
      <c r="B5" s="468"/>
      <c r="C5" s="474"/>
      <c r="D5" s="468" t="s">
        <v>102</v>
      </c>
      <c r="E5" s="468"/>
      <c r="F5" s="468" t="s">
        <v>103</v>
      </c>
      <c r="G5" s="468"/>
      <c r="H5" s="468" t="s">
        <v>590</v>
      </c>
      <c r="I5" s="468"/>
      <c r="J5" s="468"/>
      <c r="K5" s="468" t="s">
        <v>591</v>
      </c>
      <c r="L5" s="468"/>
      <c r="M5" s="468"/>
      <c r="X5"/>
      <c r="Y5"/>
    </row>
    <row r="6" spans="1:25" x14ac:dyDescent="0.3">
      <c r="A6" s="391" t="s">
        <v>696</v>
      </c>
      <c r="B6" s="468"/>
      <c r="C6" s="474"/>
      <c r="D6" s="384" t="s">
        <v>686</v>
      </c>
      <c r="E6" s="384" t="s">
        <v>685</v>
      </c>
      <c r="F6" s="384" t="s">
        <v>686</v>
      </c>
      <c r="G6" s="384" t="s">
        <v>685</v>
      </c>
      <c r="H6" s="384" t="s">
        <v>686</v>
      </c>
      <c r="I6" s="384" t="s">
        <v>685</v>
      </c>
      <c r="J6" s="384" t="s">
        <v>684</v>
      </c>
      <c r="K6" s="384" t="s">
        <v>686</v>
      </c>
      <c r="L6" s="384" t="s">
        <v>685</v>
      </c>
      <c r="M6" s="384" t="s">
        <v>684</v>
      </c>
      <c r="X6"/>
      <c r="Y6"/>
    </row>
    <row r="7" spans="1:25" x14ac:dyDescent="0.3">
      <c r="A7" s="391" t="s">
        <v>695</v>
      </c>
      <c r="B7" s="468"/>
      <c r="C7" s="475"/>
      <c r="D7" s="387">
        <v>1</v>
      </c>
      <c r="E7" s="387">
        <v>1.25</v>
      </c>
      <c r="F7" s="387">
        <v>1</v>
      </c>
      <c r="G7" s="387">
        <v>1.25</v>
      </c>
      <c r="H7" s="387">
        <v>1</v>
      </c>
      <c r="I7" s="387">
        <v>1.25</v>
      </c>
      <c r="J7" s="387">
        <v>1.25</v>
      </c>
      <c r="K7" s="387">
        <v>1</v>
      </c>
      <c r="L7" s="387">
        <v>1.25</v>
      </c>
      <c r="M7" s="387">
        <v>1.25</v>
      </c>
      <c r="X7"/>
      <c r="Y7"/>
    </row>
    <row r="8" spans="1:25" x14ac:dyDescent="0.3">
      <c r="A8" s="391" t="s">
        <v>694</v>
      </c>
      <c r="B8" s="384" t="s">
        <v>8</v>
      </c>
      <c r="C8" s="384"/>
      <c r="D8" s="393">
        <v>12</v>
      </c>
      <c r="E8" s="392">
        <v>12</v>
      </c>
      <c r="F8" s="393">
        <v>20</v>
      </c>
      <c r="G8" s="392">
        <v>20</v>
      </c>
      <c r="H8" s="393">
        <v>24</v>
      </c>
      <c r="I8" s="392">
        <v>24</v>
      </c>
      <c r="J8" s="392">
        <v>30</v>
      </c>
      <c r="K8" s="393">
        <v>24</v>
      </c>
      <c r="L8" s="392">
        <v>24</v>
      </c>
      <c r="M8" s="392">
        <v>30</v>
      </c>
      <c r="X8"/>
      <c r="Y8"/>
    </row>
    <row r="9" spans="1:25" x14ac:dyDescent="0.3">
      <c r="A9" s="391" t="s">
        <v>693</v>
      </c>
      <c r="B9" s="384" t="s">
        <v>687</v>
      </c>
      <c r="C9" s="384"/>
      <c r="D9" s="393">
        <v>6</v>
      </c>
      <c r="E9" s="395">
        <v>8</v>
      </c>
      <c r="F9" s="393">
        <v>6</v>
      </c>
      <c r="G9" s="395">
        <v>8</v>
      </c>
      <c r="H9" s="393">
        <v>16</v>
      </c>
      <c r="I9" s="395">
        <v>20</v>
      </c>
      <c r="J9" s="395">
        <v>12</v>
      </c>
      <c r="K9" s="393">
        <v>14</v>
      </c>
      <c r="L9" s="395">
        <v>16</v>
      </c>
      <c r="M9" s="395">
        <v>14</v>
      </c>
      <c r="X9"/>
      <c r="Y9"/>
    </row>
    <row r="10" spans="1:25" x14ac:dyDescent="0.3">
      <c r="A10" s="391" t="s">
        <v>702</v>
      </c>
      <c r="B10" s="385" t="s">
        <v>8</v>
      </c>
      <c r="C10" s="385"/>
      <c r="D10" s="393">
        <f t="shared" ref="D10:M10" si="0">CEILING(1.8*D8+2*D14+10,10)</f>
        <v>90</v>
      </c>
      <c r="E10" s="395">
        <f t="shared" si="0"/>
        <v>80</v>
      </c>
      <c r="F10" s="393">
        <f t="shared" si="0"/>
        <v>120</v>
      </c>
      <c r="G10" s="395">
        <f t="shared" si="0"/>
        <v>110</v>
      </c>
      <c r="H10" s="393">
        <f t="shared" si="0"/>
        <v>140</v>
      </c>
      <c r="I10" s="395">
        <f t="shared" si="0"/>
        <v>160</v>
      </c>
      <c r="J10" s="395">
        <f t="shared" si="0"/>
        <v>150</v>
      </c>
      <c r="K10" s="393">
        <f t="shared" si="0"/>
        <v>140</v>
      </c>
      <c r="L10" s="394">
        <f t="shared" si="0"/>
        <v>140</v>
      </c>
      <c r="M10" s="395">
        <f t="shared" si="0"/>
        <v>150</v>
      </c>
      <c r="X10"/>
      <c r="Y10"/>
    </row>
    <row r="11" spans="1:25" x14ac:dyDescent="0.3">
      <c r="A11" s="391" t="s">
        <v>703</v>
      </c>
      <c r="B11" s="385"/>
      <c r="C11" s="385"/>
      <c r="D11" s="393" t="str">
        <f>"M"&amp;D8&amp;"X"&amp;D10</f>
        <v>M12X90</v>
      </c>
      <c r="E11" s="395" t="str">
        <f t="shared" ref="E11:M11" si="1">"M"&amp;E8&amp;"X"&amp;E10</f>
        <v>M12X80</v>
      </c>
      <c r="F11" s="393" t="str">
        <f t="shared" si="1"/>
        <v>M20X120</v>
      </c>
      <c r="G11" s="395" t="str">
        <f t="shared" si="1"/>
        <v>M20X110</v>
      </c>
      <c r="H11" s="393" t="str">
        <f t="shared" si="1"/>
        <v>M24X140</v>
      </c>
      <c r="I11" s="395" t="str">
        <f t="shared" si="1"/>
        <v>M24X160</v>
      </c>
      <c r="J11" s="395" t="str">
        <f t="shared" si="1"/>
        <v>M30X150</v>
      </c>
      <c r="K11" s="393" t="str">
        <f t="shared" si="1"/>
        <v>M24X140</v>
      </c>
      <c r="L11" s="394" t="str">
        <f t="shared" si="1"/>
        <v>M24X140</v>
      </c>
      <c r="M11" s="395" t="str">
        <f t="shared" si="1"/>
        <v>M30X150</v>
      </c>
      <c r="X11"/>
      <c r="Y11"/>
    </row>
    <row r="12" spans="1:25" x14ac:dyDescent="0.3">
      <c r="A12" s="391" t="s">
        <v>692</v>
      </c>
      <c r="B12" s="384" t="s">
        <v>8</v>
      </c>
      <c r="C12" s="384"/>
      <c r="D12" s="393">
        <v>150</v>
      </c>
      <c r="E12" s="395">
        <v>145</v>
      </c>
      <c r="F12" s="393">
        <v>260</v>
      </c>
      <c r="G12" s="395">
        <v>250</v>
      </c>
      <c r="H12" s="393">
        <v>360</v>
      </c>
      <c r="I12" s="395">
        <v>400</v>
      </c>
      <c r="J12" s="395">
        <v>370</v>
      </c>
      <c r="K12" s="393">
        <v>320</v>
      </c>
      <c r="L12" s="392">
        <v>320</v>
      </c>
      <c r="M12" s="395">
        <v>340</v>
      </c>
      <c r="X12"/>
      <c r="Y12"/>
    </row>
    <row r="13" spans="1:25" x14ac:dyDescent="0.3">
      <c r="A13" s="391" t="s">
        <v>691</v>
      </c>
      <c r="B13" s="384" t="s">
        <v>8</v>
      </c>
      <c r="C13" s="384"/>
      <c r="D13" s="393">
        <v>0</v>
      </c>
      <c r="E13" s="392">
        <v>0</v>
      </c>
      <c r="F13" s="393">
        <v>0</v>
      </c>
      <c r="G13" s="392">
        <v>0</v>
      </c>
      <c r="H13" s="393">
        <v>360</v>
      </c>
      <c r="I13" s="395">
        <v>400</v>
      </c>
      <c r="J13" s="395">
        <v>370</v>
      </c>
      <c r="K13" s="393">
        <v>410</v>
      </c>
      <c r="L13" s="392">
        <v>410</v>
      </c>
      <c r="M13" s="395">
        <v>420</v>
      </c>
      <c r="X13"/>
      <c r="Y13"/>
    </row>
    <row r="14" spans="1:25" x14ac:dyDescent="0.3">
      <c r="A14" s="391" t="s">
        <v>690</v>
      </c>
      <c r="B14" s="384" t="s">
        <v>8</v>
      </c>
      <c r="C14" s="384"/>
      <c r="D14" s="393">
        <v>25</v>
      </c>
      <c r="E14" s="395">
        <v>20</v>
      </c>
      <c r="F14" s="393">
        <v>36</v>
      </c>
      <c r="G14" s="395">
        <v>32</v>
      </c>
      <c r="H14" s="393">
        <v>40</v>
      </c>
      <c r="I14" s="395">
        <v>50</v>
      </c>
      <c r="J14" s="394">
        <v>40</v>
      </c>
      <c r="K14" s="393">
        <v>40</v>
      </c>
      <c r="L14" s="392">
        <v>40</v>
      </c>
      <c r="M14" s="392">
        <v>40</v>
      </c>
    </row>
    <row r="15" spans="1:25" x14ac:dyDescent="0.3">
      <c r="A15" s="391" t="s">
        <v>689</v>
      </c>
      <c r="B15" s="384" t="s">
        <v>525</v>
      </c>
      <c r="C15" s="384"/>
      <c r="D15" s="390">
        <f>PI()*D12^2*D14*7850/(4*1000^3)</f>
        <v>3.468023765251858</v>
      </c>
      <c r="E15" s="389">
        <f>PI()*E12^2*E14*7850/(4*1000^3)</f>
        <v>2.5925404325127221</v>
      </c>
      <c r="F15" s="390">
        <f>PI()*F12^2*F14*7850/(4*1000^3)</f>
        <v>15.004058017985635</v>
      </c>
      <c r="G15" s="389">
        <f>PI()*G12^2*G14*7850/(4*1000^3)</f>
        <v>12.330751165339937</v>
      </c>
      <c r="H15" s="390">
        <f t="shared" ref="H15:M15" si="2">H12*H13*H14*7850/1000^3</f>
        <v>40.694400000000002</v>
      </c>
      <c r="I15" s="389">
        <f t="shared" si="2"/>
        <v>62.8</v>
      </c>
      <c r="J15" s="389">
        <f t="shared" si="2"/>
        <v>42.986600000000003</v>
      </c>
      <c r="K15" s="390">
        <f t="shared" si="2"/>
        <v>41.196800000000003</v>
      </c>
      <c r="L15" s="383">
        <f t="shared" si="2"/>
        <v>41.196800000000003</v>
      </c>
      <c r="M15" s="389">
        <f t="shared" si="2"/>
        <v>44.839199999999998</v>
      </c>
    </row>
    <row r="16" spans="1:25" x14ac:dyDescent="0.3">
      <c r="A16" s="469" t="s">
        <v>688</v>
      </c>
      <c r="B16" s="468" t="s">
        <v>687</v>
      </c>
      <c r="C16" s="384" t="s">
        <v>681</v>
      </c>
      <c r="D16" s="470">
        <v>2953</v>
      </c>
      <c r="E16" s="471"/>
      <c r="F16" s="470">
        <v>344</v>
      </c>
      <c r="G16" s="471"/>
      <c r="H16" s="470">
        <v>73</v>
      </c>
      <c r="I16" s="472"/>
      <c r="J16" s="471"/>
      <c r="K16" s="470">
        <v>4</v>
      </c>
      <c r="L16" s="472"/>
      <c r="M16" s="471"/>
    </row>
    <row r="17" spans="1:18" x14ac:dyDescent="0.3">
      <c r="A17" s="469"/>
      <c r="B17" s="468"/>
      <c r="C17" s="384" t="s">
        <v>680</v>
      </c>
      <c r="D17" s="470">
        <v>1534</v>
      </c>
      <c r="E17" s="471"/>
      <c r="F17" s="470">
        <v>243</v>
      </c>
      <c r="G17" s="471"/>
      <c r="H17" s="470">
        <v>219</v>
      </c>
      <c r="I17" s="472"/>
      <c r="J17" s="471"/>
      <c r="K17" s="470">
        <v>4</v>
      </c>
      <c r="L17" s="472"/>
      <c r="M17" s="471"/>
      <c r="N17" s="384" t="s">
        <v>686</v>
      </c>
      <c r="O17" s="384" t="s">
        <v>685</v>
      </c>
      <c r="P17" s="384" t="s">
        <v>684</v>
      </c>
    </row>
    <row r="18" spans="1:18" ht="15" thickBot="1" x14ac:dyDescent="0.35">
      <c r="A18" s="469"/>
      <c r="B18" s="468"/>
      <c r="C18" s="384" t="s">
        <v>679</v>
      </c>
      <c r="D18" s="470">
        <v>1014</v>
      </c>
      <c r="E18" s="471"/>
      <c r="F18" s="470">
        <v>213</v>
      </c>
      <c r="G18" s="471"/>
      <c r="H18" s="470">
        <v>511</v>
      </c>
      <c r="I18" s="472"/>
      <c r="J18" s="471"/>
      <c r="K18" s="470">
        <v>4</v>
      </c>
      <c r="L18" s="472"/>
      <c r="M18" s="471"/>
      <c r="N18" s="398">
        <v>1</v>
      </c>
      <c r="O18" s="398">
        <v>1.25</v>
      </c>
      <c r="P18" s="398">
        <v>1.25</v>
      </c>
    </row>
    <row r="19" spans="1:18" x14ac:dyDescent="0.3">
      <c r="A19" s="469" t="s">
        <v>683</v>
      </c>
      <c r="B19" s="468" t="s">
        <v>682</v>
      </c>
      <c r="C19" s="384" t="s">
        <v>681</v>
      </c>
      <c r="D19" s="383">
        <f>D16*D15*2/1000</f>
        <v>20.482148357577472</v>
      </c>
      <c r="E19" s="383">
        <f>D16*E15*2/1000</f>
        <v>15.311543794420137</v>
      </c>
      <c r="F19" s="383">
        <f>F16*F15*2/1000</f>
        <v>10.322791916374117</v>
      </c>
      <c r="G19" s="383">
        <f>F16*G15*2/1000</f>
        <v>8.4835568017538776</v>
      </c>
      <c r="H19" s="383">
        <f>H16*H15*2/1000</f>
        <v>5.9413824000000002</v>
      </c>
      <c r="I19" s="383">
        <f>H16*I15*2/1000</f>
        <v>9.1687999999999992</v>
      </c>
      <c r="J19" s="383">
        <f>H16*J15*2/1000</f>
        <v>6.2760436000000004</v>
      </c>
      <c r="K19" s="383">
        <f>K16*K15*2/1000</f>
        <v>0.32957440000000005</v>
      </c>
      <c r="L19" s="383">
        <f>K16*L15*2/1000</f>
        <v>0.32957440000000005</v>
      </c>
      <c r="M19" s="397">
        <f>K16*M15*2/1000</f>
        <v>0.35871359999999997</v>
      </c>
      <c r="N19" s="399">
        <f t="shared" ref="N19:O21" si="3">SUMIFS($D19:$M19,$D$7:$M$7,N$18,$D$6:$M$6,N$17)</f>
        <v>37.075897073951587</v>
      </c>
      <c r="O19" s="400">
        <f t="shared" si="3"/>
        <v>33.293474996174012</v>
      </c>
      <c r="P19" s="400">
        <f>SUMIFS($D19:$G19,$D$7:$G$7,P$18,$D$6:$G$6,O$17)+SUMIFS($H19:$M19,$H$7:$M$7,P$18,$H$6:$M$6,P$17)</f>
        <v>30.429857796174016</v>
      </c>
      <c r="Q19" s="479" t="s">
        <v>320</v>
      </c>
    </row>
    <row r="20" spans="1:18" x14ac:dyDescent="0.3">
      <c r="A20" s="469"/>
      <c r="B20" s="468"/>
      <c r="C20" s="384" t="s">
        <v>680</v>
      </c>
      <c r="D20" s="383">
        <f>D17*D15*2/1000</f>
        <v>10.6398969117927</v>
      </c>
      <c r="E20" s="383">
        <f>D17*E15*2/1000</f>
        <v>7.9539140469490315</v>
      </c>
      <c r="F20" s="383">
        <f>F17*F15*2/1000</f>
        <v>7.2919721967410185</v>
      </c>
      <c r="G20" s="383">
        <f>F17*G15*2/1000</f>
        <v>5.9927450663552086</v>
      </c>
      <c r="H20" s="383">
        <f>H17*H15*2/1000</f>
        <v>17.824147199999999</v>
      </c>
      <c r="I20" s="383">
        <f>H17*I15*2/1000</f>
        <v>27.506399999999999</v>
      </c>
      <c r="J20" s="383">
        <f>H17*J15*2/1000</f>
        <v>18.828130800000004</v>
      </c>
      <c r="K20" s="383">
        <f>K17*K15*2/1000</f>
        <v>0.32957440000000005</v>
      </c>
      <c r="L20" s="383">
        <f>K17*L15*2/1000</f>
        <v>0.32957440000000005</v>
      </c>
      <c r="M20" s="397">
        <f>K17*M15*2/1000</f>
        <v>0.35871359999999997</v>
      </c>
      <c r="N20" s="401">
        <f t="shared" si="3"/>
        <v>36.085590708533715</v>
      </c>
      <c r="O20" s="386">
        <f t="shared" si="3"/>
        <v>41.782633513304233</v>
      </c>
      <c r="P20" s="386">
        <f>SUMIFS($D20:$G20,$D$7:$G$7,P$18,$D$6:$G$6,O$17)+SUMIFS($H20:$M20,$H$7:$M$7,P$18,$H$6:$M$6,P$17)</f>
        <v>33.133503513304248</v>
      </c>
      <c r="Q20" s="480"/>
    </row>
    <row r="21" spans="1:18" ht="15" thickBot="1" x14ac:dyDescent="0.35">
      <c r="A21" s="469"/>
      <c r="B21" s="468"/>
      <c r="C21" s="384" t="s">
        <v>679</v>
      </c>
      <c r="D21" s="383">
        <f>D18*D15*2/1000</f>
        <v>7.0331521959307688</v>
      </c>
      <c r="E21" s="383">
        <f>D18*E15*2/1000</f>
        <v>5.2576719971358008</v>
      </c>
      <c r="F21" s="383">
        <f>F18*F15*2/1000</f>
        <v>6.3917287156618805</v>
      </c>
      <c r="G21" s="383">
        <f>F18*G15*2/1000</f>
        <v>5.2528999964348131</v>
      </c>
      <c r="H21" s="383">
        <f>H18*H15*2/1000</f>
        <v>41.589676799999999</v>
      </c>
      <c r="I21" s="383">
        <f>H18*I15*2/1000</f>
        <v>64.181600000000003</v>
      </c>
      <c r="J21" s="383">
        <f>H18*J15*2/1000</f>
        <v>43.932305200000002</v>
      </c>
      <c r="K21" s="383">
        <f>K18*K15*2/1000</f>
        <v>0.32957440000000005</v>
      </c>
      <c r="L21" s="383">
        <f>K18*L15*2/1000</f>
        <v>0.32957440000000005</v>
      </c>
      <c r="M21" s="397">
        <f>K18*M15*2/1000</f>
        <v>0.35871359999999997</v>
      </c>
      <c r="N21" s="402">
        <f t="shared" si="3"/>
        <v>55.344132111592643</v>
      </c>
      <c r="O21" s="403">
        <f t="shared" si="3"/>
        <v>75.021746393570609</v>
      </c>
      <c r="P21" s="403">
        <f>SUMIFS($D21:$G21,$D$7:$G$7,P$18,$D$6:$G$6,O$17)+SUMIFS($H21:$M21,$H$7:$M$7,P$18,$H$6:$M$6,P$17)</f>
        <v>54.801590793570618</v>
      </c>
      <c r="Q21" s="481"/>
    </row>
    <row r="22" spans="1:18" x14ac:dyDescent="0.3">
      <c r="A22" s="469" t="s">
        <v>237</v>
      </c>
      <c r="B22" s="468" t="s">
        <v>687</v>
      </c>
      <c r="C22" s="385" t="s">
        <v>681</v>
      </c>
      <c r="D22" s="392">
        <f>D$9*$D16</f>
        <v>17718</v>
      </c>
      <c r="E22" s="392">
        <f>E$9*$D16</f>
        <v>23624</v>
      </c>
      <c r="F22" s="392">
        <f>F$9*$F16</f>
        <v>2064</v>
      </c>
      <c r="G22" s="392">
        <f>G$9*$F16</f>
        <v>2752</v>
      </c>
      <c r="H22" s="392">
        <f>H$9*$H16</f>
        <v>1168</v>
      </c>
      <c r="I22" s="392">
        <f>I$9*$H16</f>
        <v>1460</v>
      </c>
      <c r="J22" s="392">
        <f>J$9*$H16</f>
        <v>876</v>
      </c>
      <c r="K22" s="392">
        <f>K$9*$K16</f>
        <v>56</v>
      </c>
      <c r="L22" s="392">
        <f>L$9*$K16</f>
        <v>64</v>
      </c>
      <c r="M22" s="388">
        <f>M$9*$K16</f>
        <v>56</v>
      </c>
      <c r="N22" s="404">
        <f>SUMIFS($D22:$M22,$D$8:$M$8,$Q$22,$D$7:$M$7,N$18,$D$6:$M$6,N$17)</f>
        <v>17718</v>
      </c>
      <c r="O22" s="405">
        <f t="shared" ref="O22:P24" si="4">SUMIFS($D22:$M22,$D$8:$M$8,$Q$22,$D$7:$M$7,O$18,$D$6:$M$6,O$17)</f>
        <v>23624</v>
      </c>
      <c r="P22" s="405">
        <f t="shared" si="4"/>
        <v>0</v>
      </c>
      <c r="Q22" s="476">
        <v>12</v>
      </c>
      <c r="R22" s="385" t="s">
        <v>681</v>
      </c>
    </row>
    <row r="23" spans="1:18" x14ac:dyDescent="0.3">
      <c r="A23" s="469"/>
      <c r="B23" s="468"/>
      <c r="C23" s="385" t="s">
        <v>680</v>
      </c>
      <c r="D23" s="392">
        <f t="shared" ref="D23:E23" si="5">D$9*$D17</f>
        <v>9204</v>
      </c>
      <c r="E23" s="392">
        <f t="shared" si="5"/>
        <v>12272</v>
      </c>
      <c r="F23" s="392">
        <f t="shared" ref="F23:G23" si="6">F$9*$F17</f>
        <v>1458</v>
      </c>
      <c r="G23" s="392">
        <f t="shared" si="6"/>
        <v>1944</v>
      </c>
      <c r="H23" s="392">
        <f t="shared" ref="H23:J23" si="7">H$9*$H17</f>
        <v>3504</v>
      </c>
      <c r="I23" s="392">
        <f t="shared" si="7"/>
        <v>4380</v>
      </c>
      <c r="J23" s="392">
        <f t="shared" si="7"/>
        <v>2628</v>
      </c>
      <c r="K23" s="392">
        <f t="shared" ref="K23:M23" si="8">K$9*$K17</f>
        <v>56</v>
      </c>
      <c r="L23" s="392">
        <f t="shared" si="8"/>
        <v>64</v>
      </c>
      <c r="M23" s="388">
        <f t="shared" si="8"/>
        <v>56</v>
      </c>
      <c r="N23" s="406">
        <f t="shared" ref="N23:N24" si="9">SUMIFS($D23:$M23,$D$8:$M$8,$Q$22,$D$7:$M$7,N$18,$D$6:$M$6,N$17)</f>
        <v>9204</v>
      </c>
      <c r="O23" s="89">
        <f t="shared" si="4"/>
        <v>12272</v>
      </c>
      <c r="P23" s="89">
        <f t="shared" si="4"/>
        <v>0</v>
      </c>
      <c r="Q23" s="477"/>
      <c r="R23" s="385" t="s">
        <v>680</v>
      </c>
    </row>
    <row r="24" spans="1:18" ht="15" thickBot="1" x14ac:dyDescent="0.35">
      <c r="A24" s="469"/>
      <c r="B24" s="468"/>
      <c r="C24" s="385" t="s">
        <v>679</v>
      </c>
      <c r="D24" s="392">
        <f t="shared" ref="D24:E24" si="10">D$9*$D18</f>
        <v>6084</v>
      </c>
      <c r="E24" s="392">
        <f t="shared" si="10"/>
        <v>8112</v>
      </c>
      <c r="F24" s="392">
        <f t="shared" ref="F24:G24" si="11">F$9*$F18</f>
        <v>1278</v>
      </c>
      <c r="G24" s="392">
        <f t="shared" si="11"/>
        <v>1704</v>
      </c>
      <c r="H24" s="392">
        <f t="shared" ref="H24:J24" si="12">H$9*$H18</f>
        <v>8176</v>
      </c>
      <c r="I24" s="392">
        <f t="shared" si="12"/>
        <v>10220</v>
      </c>
      <c r="J24" s="392">
        <f t="shared" si="12"/>
        <v>6132</v>
      </c>
      <c r="K24" s="392">
        <f t="shared" ref="K24:M24" si="13">K$9*$K18</f>
        <v>56</v>
      </c>
      <c r="L24" s="392">
        <f t="shared" si="13"/>
        <v>64</v>
      </c>
      <c r="M24" s="388">
        <f t="shared" si="13"/>
        <v>56</v>
      </c>
      <c r="N24" s="407">
        <f t="shared" si="9"/>
        <v>6084</v>
      </c>
      <c r="O24" s="408">
        <f t="shared" si="4"/>
        <v>8112</v>
      </c>
      <c r="P24" s="408">
        <f t="shared" si="4"/>
        <v>0</v>
      </c>
      <c r="Q24" s="478"/>
      <c r="R24" s="385" t="s">
        <v>679</v>
      </c>
    </row>
    <row r="25" spans="1:18" x14ac:dyDescent="0.3">
      <c r="I25" s="3"/>
      <c r="M25"/>
      <c r="N25" s="404">
        <f>SUMIFS($D22:$M22,$D$8:$M$8,$Q$25,$D$7:$M$7,N$18,$D$6:$M$6,N$17)</f>
        <v>2064</v>
      </c>
      <c r="O25" s="405">
        <f t="shared" ref="O25:P25" si="14">SUMIFS($D22:$M22,$D$8:$M$8,$Q$25,$D$7:$M$7,O$18,$D$6:$M$6,O$17)</f>
        <v>2752</v>
      </c>
      <c r="P25" s="405">
        <f t="shared" si="14"/>
        <v>0</v>
      </c>
      <c r="Q25" s="476">
        <v>20</v>
      </c>
      <c r="R25" s="385" t="s">
        <v>681</v>
      </c>
    </row>
    <row r="26" spans="1:18" x14ac:dyDescent="0.3">
      <c r="H26" s="372"/>
      <c r="M26"/>
      <c r="N26" s="406">
        <f t="shared" ref="N26:P26" si="15">SUMIFS($D23:$M23,$D$8:$M$8,$Q$25,$D$7:$M$7,N$18,$D$6:$M$6,N$17)</f>
        <v>1458</v>
      </c>
      <c r="O26" s="89">
        <f t="shared" si="15"/>
        <v>1944</v>
      </c>
      <c r="P26" s="89">
        <f t="shared" si="15"/>
        <v>0</v>
      </c>
      <c r="Q26" s="477"/>
      <c r="R26" s="385" t="s">
        <v>680</v>
      </c>
    </row>
    <row r="27" spans="1:18" ht="15" thickBot="1" x14ac:dyDescent="0.35">
      <c r="M27"/>
      <c r="N27" s="407">
        <f t="shared" ref="N27:P27" si="16">SUMIFS($D24:$M24,$D$8:$M$8,$Q$25,$D$7:$M$7,N$18,$D$6:$M$6,N$17)</f>
        <v>1278</v>
      </c>
      <c r="O27" s="408">
        <f t="shared" si="16"/>
        <v>1704</v>
      </c>
      <c r="P27" s="408">
        <f t="shared" si="16"/>
        <v>0</v>
      </c>
      <c r="Q27" s="478"/>
      <c r="R27" s="385" t="s">
        <v>679</v>
      </c>
    </row>
    <row r="28" spans="1:18" x14ac:dyDescent="0.3">
      <c r="M28"/>
      <c r="N28" s="404">
        <f>SUMIFS($D22:$M22,$D$8:$M$8,$Q$28,$D$7:$M$7,N$18,$D$6:$M$6,N$17)</f>
        <v>1224</v>
      </c>
      <c r="O28" s="405">
        <f t="shared" ref="O28:P28" si="17">SUMIFS($D22:$M22,$D$8:$M$8,$Q$28,$D$7:$M$7,O$18,$D$6:$M$6,O$17)</f>
        <v>1524</v>
      </c>
      <c r="P28" s="405">
        <f t="shared" si="17"/>
        <v>0</v>
      </c>
      <c r="Q28" s="476">
        <v>24</v>
      </c>
      <c r="R28" s="385" t="s">
        <v>681</v>
      </c>
    </row>
    <row r="29" spans="1:18" x14ac:dyDescent="0.3">
      <c r="M29"/>
      <c r="N29" s="406">
        <f t="shared" ref="N29:P29" si="18">SUMIFS($D23:$M23,$D$8:$M$8,$Q$28,$D$7:$M$7,N$18,$D$6:$M$6,N$17)</f>
        <v>3560</v>
      </c>
      <c r="O29" s="89">
        <f t="shared" si="18"/>
        <v>4444</v>
      </c>
      <c r="P29" s="89">
        <f t="shared" si="18"/>
        <v>0</v>
      </c>
      <c r="Q29" s="477"/>
      <c r="R29" s="385" t="s">
        <v>680</v>
      </c>
    </row>
    <row r="30" spans="1:18" ht="15" thickBot="1" x14ac:dyDescent="0.35">
      <c r="G30" s="3"/>
      <c r="H30" s="340"/>
      <c r="I30" s="340"/>
      <c r="J30" s="340"/>
      <c r="K30" s="340"/>
      <c r="L30"/>
      <c r="M30"/>
      <c r="N30" s="407">
        <f t="shared" ref="N30:P30" si="19">SUMIFS($D24:$M24,$D$8:$M$8,$Q$28,$D$7:$M$7,N$18,$D$6:$M$6,N$17)</f>
        <v>8232</v>
      </c>
      <c r="O30" s="408">
        <f t="shared" si="19"/>
        <v>10284</v>
      </c>
      <c r="P30" s="408">
        <f t="shared" si="19"/>
        <v>0</v>
      </c>
      <c r="Q30" s="478"/>
      <c r="R30" s="385" t="s">
        <v>679</v>
      </c>
    </row>
    <row r="31" spans="1:18" x14ac:dyDescent="0.3">
      <c r="G31" s="340"/>
      <c r="H31" s="340"/>
      <c r="I31" s="340"/>
      <c r="J31" s="340"/>
      <c r="K31" s="340"/>
      <c r="L31" s="340"/>
      <c r="M31"/>
      <c r="N31" s="404">
        <f>SUMIFS($D22:$M22,$D$8:$M$8,$Q$31,$D$7:$M$7,N$18,$D$6:$M$6,N$17)</f>
        <v>0</v>
      </c>
      <c r="O31" s="405">
        <f t="shared" ref="O31:P31" si="20">SUMIFS($D22:$M22,$D$8:$M$8,$Q$31,$D$7:$M$7,O$18,$D$6:$M$6,O$17)</f>
        <v>0</v>
      </c>
      <c r="P31" s="405">
        <f t="shared" si="20"/>
        <v>932</v>
      </c>
      <c r="Q31" s="476">
        <v>30</v>
      </c>
      <c r="R31" s="385" t="s">
        <v>681</v>
      </c>
    </row>
    <row r="32" spans="1:18" x14ac:dyDescent="0.3">
      <c r="G32" s="340"/>
      <c r="H32" s="340"/>
      <c r="I32" s="340"/>
      <c r="J32" s="340"/>
      <c r="K32" s="340"/>
      <c r="L32" s="340"/>
      <c r="M32"/>
      <c r="N32" s="406">
        <f t="shared" ref="N32:P33" si="21">SUMIFS($D23:$M23,$D$8:$M$8,$Q$31,$D$7:$M$7,N$18,$D$6:$M$6,N$17)</f>
        <v>0</v>
      </c>
      <c r="O32" s="89">
        <f t="shared" si="21"/>
        <v>0</v>
      </c>
      <c r="P32" s="89">
        <f t="shared" si="21"/>
        <v>2684</v>
      </c>
      <c r="Q32" s="477"/>
      <c r="R32" s="385" t="s">
        <v>680</v>
      </c>
    </row>
    <row r="33" spans="13:18" ht="15" thickBot="1" x14ac:dyDescent="0.35">
      <c r="M33"/>
      <c r="N33" s="407">
        <f t="shared" si="21"/>
        <v>0</v>
      </c>
      <c r="O33" s="408">
        <f t="shared" si="21"/>
        <v>0</v>
      </c>
      <c r="P33" s="408">
        <f t="shared" si="21"/>
        <v>6188</v>
      </c>
      <c r="Q33" s="478"/>
      <c r="R33" s="385" t="s">
        <v>679</v>
      </c>
    </row>
    <row r="34" spans="13:18" x14ac:dyDescent="0.3">
      <c r="M34"/>
      <c r="N34" s="396"/>
      <c r="O34" s="396"/>
      <c r="P34" s="396"/>
      <c r="Q34"/>
    </row>
    <row r="35" spans="13:18" x14ac:dyDescent="0.3">
      <c r="M35"/>
      <c r="N35" s="396"/>
      <c r="O35" s="396"/>
      <c r="P35" s="396"/>
      <c r="Q35"/>
    </row>
    <row r="36" spans="13:18" x14ac:dyDescent="0.3">
      <c r="N36" s="396"/>
      <c r="O36" s="396"/>
      <c r="P36" s="396"/>
      <c r="Q36"/>
    </row>
  </sheetData>
  <mergeCells count="31">
    <mergeCell ref="Q31:Q33"/>
    <mergeCell ref="Q19:Q21"/>
    <mergeCell ref="Q22:Q24"/>
    <mergeCell ref="Q25:Q27"/>
    <mergeCell ref="Q28:Q30"/>
    <mergeCell ref="A22:A24"/>
    <mergeCell ref="B22:B24"/>
    <mergeCell ref="K5:M5"/>
    <mergeCell ref="F16:G16"/>
    <mergeCell ref="C4:C7"/>
    <mergeCell ref="F17:G17"/>
    <mergeCell ref="F18:G18"/>
    <mergeCell ref="H16:J16"/>
    <mergeCell ref="H17:J17"/>
    <mergeCell ref="H18:J18"/>
    <mergeCell ref="K17:M17"/>
    <mergeCell ref="K18:M18"/>
    <mergeCell ref="A19:A21"/>
    <mergeCell ref="B19:B21"/>
    <mergeCell ref="B4:B7"/>
    <mergeCell ref="B16:B18"/>
    <mergeCell ref="A16:A18"/>
    <mergeCell ref="D16:E16"/>
    <mergeCell ref="D17:E17"/>
    <mergeCell ref="D18:E18"/>
    <mergeCell ref="K16:M16"/>
    <mergeCell ref="D4:G4"/>
    <mergeCell ref="H4:M4"/>
    <mergeCell ref="D5:E5"/>
    <mergeCell ref="F5:G5"/>
    <mergeCell ref="H5:J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93A6-BB8D-4327-AEBD-B8B9DBFB3A2B}">
  <dimension ref="A1:T31"/>
  <sheetViews>
    <sheetView workbookViewId="0">
      <selection activeCell="A22" sqref="A22:E24"/>
    </sheetView>
  </sheetViews>
  <sheetFormatPr defaultRowHeight="14.4" x14ac:dyDescent="0.3"/>
  <cols>
    <col min="1" max="1" width="14.33203125" style="1" bestFit="1" customWidth="1"/>
    <col min="2" max="2" width="10.109375" style="1" bestFit="1" customWidth="1"/>
    <col min="3" max="3" width="8.88671875" style="1"/>
    <col min="4" max="4" width="10.109375" style="1" bestFit="1" customWidth="1"/>
    <col min="5" max="5" width="13.109375" style="1" bestFit="1" customWidth="1"/>
    <col min="6" max="6" width="10.109375" style="1" bestFit="1" customWidth="1"/>
    <col min="7" max="7" width="8.88671875" style="1"/>
    <col min="8" max="10" width="8.88671875" style="1" customWidth="1"/>
    <col min="11" max="11" width="10.109375" style="1" bestFit="1" customWidth="1"/>
    <col min="12" max="12" width="13.109375" style="1" bestFit="1" customWidth="1"/>
    <col min="13" max="13" width="30.44140625" style="1" bestFit="1" customWidth="1"/>
    <col min="14" max="15" width="8.88671875" style="1"/>
    <col min="16" max="16" width="15.88671875" style="1" bestFit="1" customWidth="1"/>
    <col min="17" max="17" width="7.5546875" style="1" bestFit="1" customWidth="1"/>
    <col min="18" max="18" width="8.88671875" style="1"/>
    <col min="19" max="19" width="7.5546875" style="1" bestFit="1" customWidth="1"/>
    <col min="20" max="16384" width="8.88671875" style="1"/>
  </cols>
  <sheetData>
    <row r="1" spans="1:20" ht="15" thickBot="1" x14ac:dyDescent="0.35">
      <c r="A1" s="338" t="s">
        <v>673</v>
      </c>
      <c r="B1" s="434" t="s">
        <v>75</v>
      </c>
      <c r="C1" s="435"/>
      <c r="D1" s="435"/>
      <c r="E1" s="436"/>
      <c r="F1" s="434" t="s">
        <v>634</v>
      </c>
      <c r="G1" s="435"/>
      <c r="H1" s="435"/>
      <c r="I1" s="435"/>
      <c r="J1" s="435"/>
      <c r="K1" s="436"/>
      <c r="P1"/>
      <c r="Q1"/>
      <c r="R1"/>
      <c r="S1"/>
      <c r="T1"/>
    </row>
    <row r="2" spans="1:20" x14ac:dyDescent="0.3">
      <c r="A2" s="321" t="s">
        <v>674</v>
      </c>
      <c r="B2" s="434" t="s">
        <v>102</v>
      </c>
      <c r="C2" s="436"/>
      <c r="D2" s="434" t="s">
        <v>103</v>
      </c>
      <c r="E2" s="436"/>
      <c r="F2" s="434" t="s">
        <v>590</v>
      </c>
      <c r="G2" s="435"/>
      <c r="H2" s="435"/>
      <c r="I2" s="434" t="s">
        <v>591</v>
      </c>
      <c r="J2" s="435"/>
      <c r="K2" s="436"/>
      <c r="P2"/>
      <c r="Q2"/>
      <c r="R2"/>
      <c r="S2"/>
      <c r="T2"/>
    </row>
    <row r="3" spans="1:20" s="356" customFormat="1" x14ac:dyDescent="0.3">
      <c r="A3" s="321" t="s">
        <v>672</v>
      </c>
      <c r="B3" s="321" t="s">
        <v>664</v>
      </c>
      <c r="C3" s="140" t="s">
        <v>665</v>
      </c>
      <c r="D3" s="321" t="s">
        <v>664</v>
      </c>
      <c r="E3" s="140" t="s">
        <v>665</v>
      </c>
      <c r="F3" s="321" t="s">
        <v>664</v>
      </c>
      <c r="G3" s="85" t="s">
        <v>665</v>
      </c>
      <c r="H3" s="85" t="s">
        <v>666</v>
      </c>
      <c r="I3" s="321" t="s">
        <v>664</v>
      </c>
      <c r="J3" s="85" t="s">
        <v>665</v>
      </c>
      <c r="K3" s="140" t="s">
        <v>666</v>
      </c>
      <c r="P3"/>
      <c r="Q3"/>
      <c r="R3"/>
      <c r="S3"/>
      <c r="T3"/>
    </row>
    <row r="4" spans="1:20" ht="15" thickBot="1" x14ac:dyDescent="0.35">
      <c r="A4" s="328" t="s">
        <v>675</v>
      </c>
      <c r="B4" s="328" t="s">
        <v>630</v>
      </c>
      <c r="C4" s="330" t="s">
        <v>631</v>
      </c>
      <c r="D4" s="328" t="s">
        <v>630</v>
      </c>
      <c r="E4" s="330" t="s">
        <v>631</v>
      </c>
      <c r="F4" s="328" t="s">
        <v>630</v>
      </c>
      <c r="G4" s="329" t="s">
        <v>631</v>
      </c>
      <c r="H4" s="329" t="s">
        <v>631</v>
      </c>
      <c r="I4" s="328" t="s">
        <v>630</v>
      </c>
      <c r="J4" s="329" t="s">
        <v>631</v>
      </c>
      <c r="K4" s="330" t="s">
        <v>631</v>
      </c>
      <c r="P4"/>
      <c r="Q4"/>
      <c r="R4"/>
      <c r="S4"/>
      <c r="T4"/>
    </row>
    <row r="5" spans="1:20" x14ac:dyDescent="0.3">
      <c r="A5" s="332" t="s">
        <v>463</v>
      </c>
      <c r="B5" s="337"/>
      <c r="C5" s="331"/>
      <c r="D5" s="337"/>
      <c r="E5" s="331"/>
      <c r="F5" s="337"/>
      <c r="G5" s="30"/>
      <c r="H5" s="30"/>
      <c r="I5" s="337"/>
      <c r="J5" s="30"/>
      <c r="K5" s="331"/>
      <c r="P5"/>
      <c r="Q5"/>
      <c r="R5"/>
      <c r="S5"/>
      <c r="T5"/>
    </row>
    <row r="6" spans="1:20" x14ac:dyDescent="0.3">
      <c r="A6" s="333" t="s">
        <v>599</v>
      </c>
      <c r="B6" s="337">
        <v>12</v>
      </c>
      <c r="C6" s="331">
        <v>12</v>
      </c>
      <c r="D6" s="337">
        <v>20</v>
      </c>
      <c r="E6" s="331">
        <v>20</v>
      </c>
      <c r="F6" s="337">
        <v>24</v>
      </c>
      <c r="G6" s="30">
        <v>24</v>
      </c>
      <c r="H6" s="30">
        <v>30</v>
      </c>
      <c r="I6" s="337">
        <v>24</v>
      </c>
      <c r="J6" s="30">
        <v>24</v>
      </c>
      <c r="K6" s="331">
        <v>30</v>
      </c>
      <c r="P6"/>
      <c r="Q6"/>
      <c r="R6"/>
      <c r="S6"/>
      <c r="T6"/>
    </row>
    <row r="7" spans="1:20" x14ac:dyDescent="0.3">
      <c r="A7" s="333" t="s">
        <v>676</v>
      </c>
      <c r="B7" s="337">
        <v>6</v>
      </c>
      <c r="C7" s="335">
        <v>8</v>
      </c>
      <c r="D7" s="337">
        <v>6</v>
      </c>
      <c r="E7" s="335">
        <v>8</v>
      </c>
      <c r="F7" s="337">
        <v>16</v>
      </c>
      <c r="G7" s="336">
        <v>20</v>
      </c>
      <c r="H7" s="336">
        <v>12</v>
      </c>
      <c r="I7" s="337">
        <v>14</v>
      </c>
      <c r="J7" s="336">
        <v>16</v>
      </c>
      <c r="K7" s="335">
        <v>14</v>
      </c>
      <c r="P7"/>
      <c r="Q7"/>
      <c r="R7"/>
      <c r="S7"/>
      <c r="T7"/>
    </row>
    <row r="8" spans="1:20" x14ac:dyDescent="0.3">
      <c r="A8" s="332" t="s">
        <v>342</v>
      </c>
      <c r="B8" s="337"/>
      <c r="C8" s="331"/>
      <c r="D8" s="337"/>
      <c r="E8" s="331"/>
      <c r="F8" s="337"/>
      <c r="G8" s="30"/>
      <c r="H8" s="30"/>
      <c r="I8" s="337"/>
      <c r="J8" s="30"/>
      <c r="K8" s="331"/>
      <c r="P8"/>
      <c r="Q8"/>
      <c r="R8"/>
      <c r="S8"/>
      <c r="T8"/>
    </row>
    <row r="9" spans="1:20" x14ac:dyDescent="0.3">
      <c r="A9" s="333" t="s">
        <v>677</v>
      </c>
      <c r="B9" s="337">
        <v>150</v>
      </c>
      <c r="C9" s="335">
        <v>145</v>
      </c>
      <c r="D9" s="337">
        <v>260</v>
      </c>
      <c r="E9" s="335">
        <v>250</v>
      </c>
      <c r="F9" s="337">
        <v>360</v>
      </c>
      <c r="G9" s="336">
        <v>400</v>
      </c>
      <c r="H9" s="336">
        <v>370</v>
      </c>
      <c r="I9" s="337">
        <v>320</v>
      </c>
      <c r="J9" s="30">
        <v>320</v>
      </c>
      <c r="K9" s="335">
        <v>340</v>
      </c>
      <c r="P9"/>
      <c r="Q9"/>
      <c r="R9"/>
      <c r="S9"/>
      <c r="T9"/>
    </row>
    <row r="10" spans="1:20" x14ac:dyDescent="0.3">
      <c r="A10" s="333" t="s">
        <v>564</v>
      </c>
      <c r="B10" s="354">
        <v>0</v>
      </c>
      <c r="C10" s="355">
        <v>0</v>
      </c>
      <c r="D10" s="354">
        <v>0</v>
      </c>
      <c r="E10" s="355">
        <v>0</v>
      </c>
      <c r="F10" s="337">
        <v>360</v>
      </c>
      <c r="G10" s="336">
        <v>400</v>
      </c>
      <c r="H10" s="336">
        <v>370</v>
      </c>
      <c r="I10" s="337">
        <v>410</v>
      </c>
      <c r="J10" s="30">
        <v>410</v>
      </c>
      <c r="K10" s="335">
        <v>420</v>
      </c>
      <c r="P10"/>
      <c r="Q10"/>
      <c r="R10"/>
      <c r="S10"/>
      <c r="T10"/>
    </row>
    <row r="11" spans="1:20" x14ac:dyDescent="0.3">
      <c r="A11" s="333" t="s">
        <v>358</v>
      </c>
      <c r="B11" s="337">
        <v>25</v>
      </c>
      <c r="C11" s="335">
        <v>20</v>
      </c>
      <c r="D11" s="337">
        <v>36</v>
      </c>
      <c r="E11" s="335">
        <v>32</v>
      </c>
      <c r="F11" s="337">
        <v>40</v>
      </c>
      <c r="G11" s="336">
        <v>50</v>
      </c>
      <c r="H11" s="359">
        <v>40</v>
      </c>
      <c r="I11" s="337">
        <v>40</v>
      </c>
      <c r="J11" s="30">
        <v>40</v>
      </c>
      <c r="K11" s="331">
        <v>40</v>
      </c>
    </row>
    <row r="12" spans="1:20" ht="15" thickBot="1" x14ac:dyDescent="0.35">
      <c r="A12" s="334" t="s">
        <v>678</v>
      </c>
      <c r="B12" s="341">
        <f>PI()*B9^2*B11*7850/(4*1000^3)</f>
        <v>3.468023765251858</v>
      </c>
      <c r="C12" s="345">
        <f>PI()*C9^2*C11*7850/(4*1000^3)</f>
        <v>2.5925404325127221</v>
      </c>
      <c r="D12" s="341">
        <f>PI()*D9^2*D11*7850/(4*1000^3)</f>
        <v>15.004058017985635</v>
      </c>
      <c r="E12" s="345">
        <f>PI()*E9^2*E11*7850/(4*1000^3)</f>
        <v>12.330751165339937</v>
      </c>
      <c r="F12" s="341">
        <f>F9*F10*F11*7850/1000^3</f>
        <v>40.694400000000002</v>
      </c>
      <c r="G12" s="345">
        <f t="shared" ref="G12:K12" si="0">G9*G10*G11*7850/1000^3</f>
        <v>62.8</v>
      </c>
      <c r="H12" s="345">
        <f t="shared" si="0"/>
        <v>42.986600000000003</v>
      </c>
      <c r="I12" s="341">
        <f t="shared" si="0"/>
        <v>41.196800000000003</v>
      </c>
      <c r="J12" s="343">
        <f t="shared" si="0"/>
        <v>41.196800000000003</v>
      </c>
      <c r="K12" s="344">
        <f t="shared" si="0"/>
        <v>44.839199999999998</v>
      </c>
    </row>
    <row r="15" spans="1:20" ht="15" thickBot="1" x14ac:dyDescent="0.35"/>
    <row r="16" spans="1:20" hidden="1" x14ac:dyDescent="0.3">
      <c r="A16" s="1" t="s">
        <v>644</v>
      </c>
    </row>
    <row r="17" spans="1:13" hidden="1" x14ac:dyDescent="0.3">
      <c r="A17" s="1" t="s">
        <v>102</v>
      </c>
    </row>
    <row r="18" spans="1:13" hidden="1" x14ac:dyDescent="0.3">
      <c r="A18" s="1" t="s">
        <v>103</v>
      </c>
    </row>
    <row r="19" spans="1:13" hidden="1" x14ac:dyDescent="0.3">
      <c r="A19" s="1" t="s">
        <v>101</v>
      </c>
    </row>
    <row r="20" spans="1:13" hidden="1" x14ac:dyDescent="0.3">
      <c r="A20" s="1" t="s">
        <v>591</v>
      </c>
    </row>
    <row r="21" spans="1:13" x14ac:dyDescent="0.3">
      <c r="A21" s="434" t="s">
        <v>668</v>
      </c>
      <c r="B21" s="435"/>
      <c r="C21" s="435"/>
      <c r="D21" s="435"/>
      <c r="E21" s="436"/>
      <c r="H21" s="434" t="s">
        <v>667</v>
      </c>
      <c r="I21" s="435"/>
      <c r="J21" s="435"/>
      <c r="K21" s="435"/>
      <c r="L21" s="435"/>
      <c r="M21" s="436"/>
    </row>
    <row r="22" spans="1:13" ht="15" thickBot="1" x14ac:dyDescent="0.35">
      <c r="A22" s="374"/>
      <c r="B22" s="367" t="s">
        <v>102</v>
      </c>
      <c r="C22" s="367" t="s">
        <v>103</v>
      </c>
      <c r="D22" s="368" t="s">
        <v>101</v>
      </c>
      <c r="E22" s="370" t="s">
        <v>591</v>
      </c>
      <c r="G22" s="3"/>
      <c r="H22" s="364"/>
      <c r="I22" s="371" t="s">
        <v>102</v>
      </c>
      <c r="J22" s="371" t="s">
        <v>103</v>
      </c>
      <c r="K22" s="329" t="s">
        <v>101</v>
      </c>
      <c r="L22" s="329" t="s">
        <v>591</v>
      </c>
      <c r="M22" s="330" t="s">
        <v>448</v>
      </c>
    </row>
    <row r="23" spans="1:13" x14ac:dyDescent="0.3">
      <c r="A23" s="373" t="s">
        <v>638</v>
      </c>
      <c r="B23" s="123">
        <v>2953</v>
      </c>
      <c r="C23" s="123">
        <v>344</v>
      </c>
      <c r="D23" s="30">
        <v>73</v>
      </c>
      <c r="E23" s="331">
        <v>4</v>
      </c>
      <c r="F23" s="372"/>
      <c r="H23" s="362" t="s">
        <v>664</v>
      </c>
      <c r="I23" s="99">
        <f>B12</f>
        <v>3.468023765251858</v>
      </c>
      <c r="J23" s="99">
        <f>D12</f>
        <v>15.004058017985635</v>
      </c>
      <c r="K23" s="99">
        <f>F12</f>
        <v>40.694400000000002</v>
      </c>
      <c r="L23" s="99">
        <f>I12</f>
        <v>41.196800000000003</v>
      </c>
      <c r="M23" s="331" t="s">
        <v>630</v>
      </c>
    </row>
    <row r="24" spans="1:13" x14ac:dyDescent="0.3">
      <c r="A24" s="373" t="s">
        <v>639</v>
      </c>
      <c r="B24" s="123">
        <v>1534</v>
      </c>
      <c r="C24" s="123">
        <v>243</v>
      </c>
      <c r="D24" s="30">
        <v>219</v>
      </c>
      <c r="E24" s="331">
        <v>4</v>
      </c>
      <c r="H24" s="362" t="s">
        <v>665</v>
      </c>
      <c r="I24" s="363">
        <f>C12</f>
        <v>2.5925404325127221</v>
      </c>
      <c r="J24" s="363">
        <f>E12</f>
        <v>12.330751165339937</v>
      </c>
      <c r="K24" s="363">
        <f>G12</f>
        <v>62.8</v>
      </c>
      <c r="L24" s="363">
        <f>J12</f>
        <v>41.196800000000003</v>
      </c>
      <c r="M24" s="260" t="s">
        <v>669</v>
      </c>
    </row>
    <row r="25" spans="1:13" ht="15" thickBot="1" x14ac:dyDescent="0.35">
      <c r="A25" s="374" t="s">
        <v>640</v>
      </c>
      <c r="B25" s="381">
        <v>1014</v>
      </c>
      <c r="C25" s="381">
        <v>213</v>
      </c>
      <c r="D25" s="382">
        <v>511</v>
      </c>
      <c r="E25" s="369">
        <v>4</v>
      </c>
      <c r="H25" s="364" t="s">
        <v>666</v>
      </c>
      <c r="I25" s="365">
        <f>I24</f>
        <v>2.5925404325127221</v>
      </c>
      <c r="J25" s="365">
        <f>J24</f>
        <v>12.330751165339937</v>
      </c>
      <c r="K25" s="365">
        <f>H12</f>
        <v>42.986600000000003</v>
      </c>
      <c r="L25" s="365">
        <f>K12</f>
        <v>44.839199999999998</v>
      </c>
      <c r="M25" s="366" t="s">
        <v>670</v>
      </c>
    </row>
    <row r="26" spans="1:13" ht="15" thickBot="1" x14ac:dyDescent="0.35"/>
    <row r="27" spans="1:13" x14ac:dyDescent="0.3">
      <c r="A27" s="482" t="s">
        <v>671</v>
      </c>
      <c r="B27" s="483"/>
      <c r="C27" s="483"/>
      <c r="D27" s="484"/>
      <c r="E27" s="3"/>
      <c r="F27" s="340"/>
      <c r="G27" s="340"/>
      <c r="H27" s="340"/>
      <c r="I27" s="340"/>
      <c r="J27"/>
      <c r="K27" s="340"/>
    </row>
    <row r="28" spans="1:13" ht="15" thickBot="1" x14ac:dyDescent="0.35">
      <c r="A28" s="189"/>
      <c r="B28" s="329" t="s">
        <v>664</v>
      </c>
      <c r="C28" s="376" t="s">
        <v>665</v>
      </c>
      <c r="D28" s="377" t="s">
        <v>666</v>
      </c>
      <c r="E28" s="340"/>
      <c r="F28" s="340"/>
      <c r="G28" s="340"/>
      <c r="H28" s="340"/>
      <c r="I28" s="340"/>
      <c r="J28" s="340"/>
      <c r="K28" s="340"/>
    </row>
    <row r="29" spans="1:13" x14ac:dyDescent="0.3">
      <c r="A29" s="378" t="s">
        <v>638</v>
      </c>
      <c r="B29" s="363">
        <f>SUMPRODUCT($B23:$E23,$I$23:$L$23)/1000</f>
        <v>18.537948536975794</v>
      </c>
      <c r="C29" s="363">
        <f>SUMPRODUCT($B23:$E23,$I$24:$L$24)/1000</f>
        <v>16.64673749808701</v>
      </c>
      <c r="D29" s="355">
        <f>SUMPRODUCT($B23:$E23,$I$25:$L$25)/1000</f>
        <v>15.214928898087008</v>
      </c>
      <c r="E29" s="340"/>
      <c r="F29" s="340"/>
      <c r="G29" s="340"/>
      <c r="H29" s="340"/>
      <c r="I29" s="340"/>
      <c r="J29" s="340"/>
      <c r="K29" s="340"/>
    </row>
    <row r="30" spans="1:13" x14ac:dyDescent="0.3">
      <c r="A30" s="378" t="s">
        <v>639</v>
      </c>
      <c r="B30" s="363">
        <f t="shared" ref="B30:B31" si="1">SUMPRODUCT($B24:$E24,$I$23:$L$23)/1000</f>
        <v>18.042795354266858</v>
      </c>
      <c r="C30" s="363">
        <f t="shared" ref="C30:C31" si="2">SUMPRODUCT($B24:$E24,$I$24:$L$24)/1000</f>
        <v>20.89131675665212</v>
      </c>
      <c r="D30" s="380">
        <f t="shared" ref="D30:D31" si="3">SUMPRODUCT($B24:$E24,$I$25:$L$25)/1000</f>
        <v>16.566751756652124</v>
      </c>
    </row>
    <row r="31" spans="1:13" ht="15" thickBot="1" x14ac:dyDescent="0.35">
      <c r="A31" s="379" t="s">
        <v>640</v>
      </c>
      <c r="B31" s="365">
        <f t="shared" si="1"/>
        <v>27.672066055796325</v>
      </c>
      <c r="C31" s="365">
        <f t="shared" si="2"/>
        <v>37.510873196785305</v>
      </c>
      <c r="D31" s="375">
        <f t="shared" si="3"/>
        <v>27.400795396785309</v>
      </c>
    </row>
  </sheetData>
  <mergeCells count="9">
    <mergeCell ref="H21:M21"/>
    <mergeCell ref="A27:D27"/>
    <mergeCell ref="B1:E1"/>
    <mergeCell ref="F1:K1"/>
    <mergeCell ref="B2:C2"/>
    <mergeCell ref="D2:E2"/>
    <mergeCell ref="F2:H2"/>
    <mergeCell ref="I2:K2"/>
    <mergeCell ref="A21:E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772-2BF1-410C-8DBB-80B81CC8AD88}">
  <dimension ref="A1:F11"/>
  <sheetViews>
    <sheetView workbookViewId="0">
      <selection activeCell="C14" sqref="C14"/>
    </sheetView>
  </sheetViews>
  <sheetFormatPr defaultRowHeight="14.4" x14ac:dyDescent="0.3"/>
  <cols>
    <col min="1" max="1" width="30.44140625" bestFit="1" customWidth="1"/>
    <col min="2" max="2" width="10" bestFit="1" customWidth="1"/>
  </cols>
  <sheetData>
    <row r="1" spans="1:6" ht="28.8" x14ac:dyDescent="0.3">
      <c r="A1" s="23" t="s">
        <v>445</v>
      </c>
      <c r="B1" s="23" t="s">
        <v>465</v>
      </c>
      <c r="C1" s="23" t="s">
        <v>38</v>
      </c>
      <c r="D1" s="245" t="s">
        <v>518</v>
      </c>
      <c r="E1" s="23" t="s">
        <v>516</v>
      </c>
      <c r="F1" s="23" t="s">
        <v>517</v>
      </c>
    </row>
    <row r="2" spans="1:6" x14ac:dyDescent="0.3">
      <c r="A2" s="244" t="s">
        <v>519</v>
      </c>
    </row>
    <row r="3" spans="1:6" x14ac:dyDescent="0.3">
      <c r="A3" s="243" t="s">
        <v>520</v>
      </c>
      <c r="B3">
        <v>36</v>
      </c>
      <c r="C3" t="s">
        <v>525</v>
      </c>
      <c r="D3">
        <v>16.79</v>
      </c>
      <c r="E3">
        <v>50</v>
      </c>
      <c r="F3" s="246">
        <f>D3*E3</f>
        <v>839.5</v>
      </c>
    </row>
    <row r="4" spans="1:6" x14ac:dyDescent="0.3">
      <c r="A4" s="243" t="s">
        <v>521</v>
      </c>
      <c r="B4">
        <v>36</v>
      </c>
      <c r="C4" t="s">
        <v>22</v>
      </c>
      <c r="D4">
        <v>0.82</v>
      </c>
      <c r="E4">
        <v>108</v>
      </c>
      <c r="F4" s="246">
        <f>D4*E4</f>
        <v>88.559999999999988</v>
      </c>
    </row>
    <row r="5" spans="1:6" x14ac:dyDescent="0.3">
      <c r="A5" s="243" t="s">
        <v>522</v>
      </c>
      <c r="C5" t="s">
        <v>525</v>
      </c>
      <c r="D5">
        <v>15</v>
      </c>
      <c r="E5">
        <v>61.8</v>
      </c>
      <c r="F5" s="247">
        <f>SUM(F3:F4)</f>
        <v>928.06</v>
      </c>
    </row>
    <row r="6" spans="1:6" x14ac:dyDescent="0.3">
      <c r="A6" s="244" t="s">
        <v>523</v>
      </c>
    </row>
    <row r="7" spans="1:6" x14ac:dyDescent="0.3">
      <c r="A7" s="243" t="s">
        <v>520</v>
      </c>
      <c r="B7" t="s">
        <v>524</v>
      </c>
      <c r="C7" t="s">
        <v>525</v>
      </c>
      <c r="D7">
        <v>9.4499999999999993</v>
      </c>
      <c r="E7">
        <v>50</v>
      </c>
      <c r="F7" s="246">
        <f>D7*E7</f>
        <v>472.49999999999994</v>
      </c>
    </row>
    <row r="8" spans="1:6" x14ac:dyDescent="0.3">
      <c r="A8" s="243" t="s">
        <v>521</v>
      </c>
      <c r="B8">
        <v>16</v>
      </c>
      <c r="C8" t="s">
        <v>22</v>
      </c>
      <c r="D8">
        <v>0.82</v>
      </c>
      <c r="E8">
        <v>48</v>
      </c>
      <c r="F8" s="246">
        <f t="shared" ref="F8:F10" si="0">D8*E8</f>
        <v>39.36</v>
      </c>
    </row>
    <row r="9" spans="1:6" x14ac:dyDescent="0.3">
      <c r="A9" s="243" t="s">
        <v>521</v>
      </c>
      <c r="B9">
        <v>6</v>
      </c>
      <c r="C9" t="s">
        <v>22</v>
      </c>
      <c r="D9">
        <v>1.25</v>
      </c>
      <c r="E9">
        <v>18</v>
      </c>
      <c r="F9" s="246">
        <f t="shared" si="0"/>
        <v>22.5</v>
      </c>
    </row>
    <row r="10" spans="1:6" x14ac:dyDescent="0.3">
      <c r="A10" s="243" t="s">
        <v>526</v>
      </c>
      <c r="B10" t="s">
        <v>524</v>
      </c>
      <c r="C10" t="s">
        <v>22</v>
      </c>
      <c r="D10">
        <v>0.96</v>
      </c>
      <c r="E10">
        <v>163</v>
      </c>
      <c r="F10" s="246">
        <f t="shared" si="0"/>
        <v>156.47999999999999</v>
      </c>
    </row>
    <row r="11" spans="1:6" x14ac:dyDescent="0.3">
      <c r="A11" s="243" t="s">
        <v>522</v>
      </c>
      <c r="C11" t="s">
        <v>525</v>
      </c>
      <c r="D11">
        <v>8.42</v>
      </c>
      <c r="E11">
        <v>82</v>
      </c>
      <c r="F11" s="247">
        <f>SUM(F7:F10)</f>
        <v>690.83999999999992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B2C-6CF3-48A9-9769-28259B752A07}">
  <dimension ref="A1:O40"/>
  <sheetViews>
    <sheetView workbookViewId="0">
      <selection activeCell="D3" sqref="D3"/>
    </sheetView>
  </sheetViews>
  <sheetFormatPr defaultRowHeight="14.4" x14ac:dyDescent="0.3"/>
  <cols>
    <col min="2" max="2" width="17.5546875" bestFit="1" customWidth="1"/>
    <col min="3" max="3" width="23.33203125" bestFit="1" customWidth="1"/>
    <col min="13" max="13" width="17.5546875" bestFit="1" customWidth="1"/>
    <col min="14" max="14" width="9.88671875" bestFit="1" customWidth="1"/>
    <col min="17" max="17" width="22" bestFit="1" customWidth="1"/>
  </cols>
  <sheetData>
    <row r="1" spans="1:15" ht="15" thickBot="1" x14ac:dyDescent="0.35">
      <c r="A1" s="3">
        <v>1</v>
      </c>
      <c r="B1" s="53" t="s">
        <v>235</v>
      </c>
      <c r="C1" s="54" t="s">
        <v>480</v>
      </c>
      <c r="D1">
        <f>VLOOKUP($O$1,CHS_SUMMARY!$A$11:$AI$12,E1,FALSE)</f>
        <v>145</v>
      </c>
      <c r="E1">
        <v>19</v>
      </c>
      <c r="I1" t="s">
        <v>246</v>
      </c>
      <c r="M1" s="6" t="s">
        <v>109</v>
      </c>
      <c r="N1" s="213" t="s">
        <v>103</v>
      </c>
      <c r="O1" s="214">
        <v>2</v>
      </c>
    </row>
    <row r="2" spans="1:15" x14ac:dyDescent="0.3">
      <c r="A2" s="3">
        <v>2</v>
      </c>
      <c r="B2" s="57"/>
      <c r="C2" s="7"/>
      <c r="M2" s="15" t="s">
        <v>2</v>
      </c>
      <c r="N2">
        <f>VLOOKUP($O$1,CHS_SUMMARY!$A$11:$AI$12,O2,FALSE)</f>
        <v>139.69999999999999</v>
      </c>
      <c r="O2">
        <v>3</v>
      </c>
    </row>
    <row r="3" spans="1:15" x14ac:dyDescent="0.3">
      <c r="A3" s="3">
        <v>3</v>
      </c>
      <c r="B3" s="57"/>
      <c r="C3" s="7" t="s">
        <v>182</v>
      </c>
      <c r="D3">
        <f>VLOOKUP($O$1,CHS_SUMMARY!$A$11:$AI$12,E3,FALSE)</f>
        <v>32</v>
      </c>
      <c r="E3">
        <v>20</v>
      </c>
      <c r="I3" t="s">
        <v>247</v>
      </c>
      <c r="M3" s="15" t="s">
        <v>1</v>
      </c>
      <c r="N3">
        <f>N2-N4-N5</f>
        <v>128.89999999999998</v>
      </c>
    </row>
    <row r="4" spans="1:15" ht="15" thickBot="1" x14ac:dyDescent="0.35">
      <c r="A4" s="3">
        <v>4</v>
      </c>
      <c r="B4" s="59"/>
      <c r="C4" s="60" t="s">
        <v>0</v>
      </c>
      <c r="D4" t="s">
        <v>107</v>
      </c>
      <c r="I4" t="str">
        <f>"0,0"</f>
        <v>0,0</v>
      </c>
      <c r="M4" s="15" t="s">
        <v>46</v>
      </c>
      <c r="N4">
        <f>VLOOKUP($O$1,CHS_SUMMARY!$A$11:$AI$12,O4,FALSE)</f>
        <v>5.4</v>
      </c>
      <c r="O4">
        <v>4</v>
      </c>
    </row>
    <row r="5" spans="1:15" x14ac:dyDescent="0.3">
      <c r="A5" s="3">
        <v>5</v>
      </c>
      <c r="B5" s="53" t="s">
        <v>110</v>
      </c>
      <c r="C5" s="54" t="s">
        <v>111</v>
      </c>
      <c r="D5">
        <f>VLOOKUP($O$1,CHS_SUMMARY!$A$11:$AI$12,E5,FALSE)</f>
        <v>20</v>
      </c>
      <c r="E5">
        <v>10</v>
      </c>
      <c r="I5">
        <f>D1/2</f>
        <v>72.5</v>
      </c>
      <c r="M5" s="15" t="s">
        <v>47</v>
      </c>
      <c r="N5">
        <f>VLOOKUP($O$1,CHS_SUMMARY!$A$11:$AI$12,O5,FALSE)</f>
        <v>5.4</v>
      </c>
      <c r="O5">
        <v>4</v>
      </c>
    </row>
    <row r="6" spans="1:15" x14ac:dyDescent="0.3">
      <c r="A6" s="3">
        <v>6</v>
      </c>
      <c r="B6" s="57"/>
      <c r="C6" s="7" t="s">
        <v>481</v>
      </c>
      <c r="D6" s="32">
        <f>IF(D5&lt;15,1,IF(D5&lt;=24,2,3))+D5</f>
        <v>22</v>
      </c>
      <c r="I6" t="s">
        <v>247</v>
      </c>
    </row>
    <row r="7" spans="1:15" x14ac:dyDescent="0.3">
      <c r="A7" s="3">
        <v>7</v>
      </c>
      <c r="B7" s="57"/>
      <c r="C7" s="7" t="s">
        <v>0</v>
      </c>
      <c r="D7">
        <f>VLOOKUP($O$1,CHS_SUMMARY!$A$11:$AI$12,E7,FALSE)</f>
        <v>8.8000000000000007</v>
      </c>
      <c r="E7">
        <v>11</v>
      </c>
      <c r="I7" t="str">
        <f>"0,0"</f>
        <v>0,0</v>
      </c>
      <c r="M7" t="s">
        <v>292</v>
      </c>
      <c r="N7">
        <v>1</v>
      </c>
    </row>
    <row r="8" spans="1:15" x14ac:dyDescent="0.3">
      <c r="A8" s="3">
        <v>8</v>
      </c>
      <c r="B8" s="57"/>
      <c r="C8" s="7" t="s">
        <v>237</v>
      </c>
      <c r="D8">
        <f>VLOOKUP($O$1,CHS_SUMMARY!$A$11:$AI$12,E8,FALSE)</f>
        <v>8</v>
      </c>
      <c r="E8">
        <v>12</v>
      </c>
      <c r="I8">
        <f>N2/2</f>
        <v>69.849999999999994</v>
      </c>
      <c r="M8" t="s">
        <v>344</v>
      </c>
      <c r="N8">
        <v>2</v>
      </c>
    </row>
    <row r="9" spans="1:15" x14ac:dyDescent="0.3">
      <c r="A9" s="3">
        <v>9</v>
      </c>
      <c r="B9" s="57"/>
      <c r="C9" s="15" t="s">
        <v>115</v>
      </c>
      <c r="D9">
        <f>CEILING(1.5*D6,5)</f>
        <v>35</v>
      </c>
      <c r="I9" t="str">
        <f>""</f>
        <v/>
      </c>
      <c r="M9" t="s">
        <v>345</v>
      </c>
      <c r="N9">
        <v>3</v>
      </c>
    </row>
    <row r="10" spans="1:15" x14ac:dyDescent="0.3">
      <c r="A10" s="3">
        <v>10</v>
      </c>
      <c r="B10" s="57"/>
      <c r="C10" s="15" t="s">
        <v>116</v>
      </c>
      <c r="D10">
        <f>CEILING(1.5*D6,5)</f>
        <v>35</v>
      </c>
      <c r="I10" t="s">
        <v>282</v>
      </c>
      <c r="M10" t="s">
        <v>358</v>
      </c>
      <c r="N10">
        <v>4</v>
      </c>
    </row>
    <row r="11" spans="1:15" x14ac:dyDescent="0.3">
      <c r="A11" s="3">
        <v>11</v>
      </c>
      <c r="B11" s="57"/>
      <c r="C11" s="15"/>
      <c r="I11">
        <f>N3/2</f>
        <v>64.449999999999989</v>
      </c>
      <c r="M11" t="s">
        <v>351</v>
      </c>
      <c r="N11">
        <v>10</v>
      </c>
    </row>
    <row r="12" spans="1:15" x14ac:dyDescent="0.3">
      <c r="A12" s="3">
        <v>12</v>
      </c>
      <c r="B12" s="57"/>
      <c r="C12" s="15"/>
      <c r="I12" t="s">
        <v>247</v>
      </c>
      <c r="M12" t="s">
        <v>352</v>
      </c>
      <c r="N12">
        <v>11</v>
      </c>
    </row>
    <row r="13" spans="1:15" x14ac:dyDescent="0.3">
      <c r="A13" s="3">
        <v>13</v>
      </c>
      <c r="B13" s="57"/>
      <c r="C13" s="7" t="s">
        <v>482</v>
      </c>
      <c r="D13">
        <f>VLOOKUP($O$1,CHS_SUMMARY!$A$11:$AI$12,E13,FALSE)</f>
        <v>6</v>
      </c>
      <c r="E13">
        <v>27</v>
      </c>
      <c r="I13" t="str">
        <f>-D1/2+D9&amp;","&amp;0</f>
        <v>-37.5,0</v>
      </c>
      <c r="M13" t="s">
        <v>353</v>
      </c>
      <c r="N13">
        <v>12</v>
      </c>
    </row>
    <row r="14" spans="1:15" x14ac:dyDescent="0.3">
      <c r="A14" s="3">
        <v>14</v>
      </c>
      <c r="B14" s="57"/>
      <c r="C14" s="7" t="s">
        <v>483</v>
      </c>
      <c r="D14">
        <f>VLOOKUP($O$1,CHS_SUMMARY!$A$11:$AI$12,E14,FALSE)</f>
        <v>34</v>
      </c>
      <c r="E14">
        <v>26</v>
      </c>
      <c r="I14">
        <f>D6/2</f>
        <v>11</v>
      </c>
      <c r="M14" t="s">
        <v>464</v>
      </c>
      <c r="N14">
        <v>19</v>
      </c>
    </row>
    <row r="15" spans="1:15" x14ac:dyDescent="0.3">
      <c r="A15" s="3">
        <v>15</v>
      </c>
      <c r="B15" s="57"/>
      <c r="C15" s="7" t="s">
        <v>484</v>
      </c>
      <c r="D15">
        <f>VLOOKUP($O$1,CHS_SUMMARY!$A$11:$AI$12,E15,FALSE)</f>
        <v>43.728603932137993</v>
      </c>
      <c r="E15">
        <v>28</v>
      </c>
      <c r="I15" t="s">
        <v>248</v>
      </c>
      <c r="M15" t="s">
        <v>465</v>
      </c>
      <c r="N15">
        <v>20</v>
      </c>
    </row>
    <row r="16" spans="1:15" x14ac:dyDescent="0.3">
      <c r="A16" s="3">
        <v>16</v>
      </c>
      <c r="B16" s="57"/>
      <c r="C16" s="7" t="s">
        <v>339</v>
      </c>
      <c r="D16">
        <f>VLOOKUP($O$1,CHS_SUMMARY!$A$11:$AI$12,E16,FALSE)</f>
        <v>100</v>
      </c>
      <c r="E16">
        <v>25</v>
      </c>
      <c r="I16" t="str">
        <f>-D1/2+D9+D6&amp;","&amp;-D10</f>
        <v>-15.5,-35</v>
      </c>
      <c r="M16" t="s">
        <v>362</v>
      </c>
      <c r="N16">
        <v>25</v>
      </c>
    </row>
    <row r="17" spans="1:14" ht="15" thickBot="1" x14ac:dyDescent="0.35">
      <c r="A17" s="3">
        <v>17</v>
      </c>
      <c r="B17" s="59"/>
      <c r="C17" s="60"/>
      <c r="I17" t="str">
        <f>-D1/2+D9/2&amp;","&amp;D10</f>
        <v>-55,35</v>
      </c>
      <c r="M17" t="s">
        <v>467</v>
      </c>
      <c r="N17">
        <v>26</v>
      </c>
    </row>
    <row r="18" spans="1:14" x14ac:dyDescent="0.3">
      <c r="I18" t="str">
        <f>""</f>
        <v/>
      </c>
      <c r="M18" t="s">
        <v>468</v>
      </c>
      <c r="N18">
        <v>27</v>
      </c>
    </row>
    <row r="19" spans="1:14" x14ac:dyDescent="0.3">
      <c r="C19" s="67"/>
      <c r="I19" t="str">
        <f>"-ARRAY"</f>
        <v>-ARRAY</v>
      </c>
      <c r="M19" t="s">
        <v>469</v>
      </c>
      <c r="N19">
        <v>28</v>
      </c>
    </row>
    <row r="20" spans="1:14" x14ac:dyDescent="0.3">
      <c r="C20" s="67"/>
      <c r="I20" t="s">
        <v>250</v>
      </c>
      <c r="M20" t="s">
        <v>437</v>
      </c>
      <c r="N20">
        <v>36</v>
      </c>
    </row>
    <row r="21" spans="1:14" x14ac:dyDescent="0.3">
      <c r="I21" t="str">
        <f>"0,0"</f>
        <v>0,0</v>
      </c>
    </row>
    <row r="22" spans="1:14" x14ac:dyDescent="0.3">
      <c r="I22">
        <f>D8</f>
        <v>8</v>
      </c>
    </row>
    <row r="23" spans="1:14" x14ac:dyDescent="0.3">
      <c r="I23">
        <v>360</v>
      </c>
    </row>
    <row r="24" spans="1:14" x14ac:dyDescent="0.3">
      <c r="I24" t="s">
        <v>249</v>
      </c>
    </row>
    <row r="25" spans="1:14" x14ac:dyDescent="0.3">
      <c r="I25" t="str">
        <f>"PL"</f>
        <v>PL</v>
      </c>
    </row>
    <row r="26" spans="1:14" x14ac:dyDescent="0.3">
      <c r="I26" t="str">
        <f>-D15/2&amp;","&amp;N2/2</f>
        <v>-21.864301966069,69.85</v>
      </c>
    </row>
    <row r="27" spans="1:14" x14ac:dyDescent="0.3">
      <c r="I27" t="str">
        <f>-D15/2&amp;","&amp;D1/2</f>
        <v>-21.864301966069,72.5</v>
      </c>
    </row>
    <row r="28" spans="1:14" x14ac:dyDescent="0.3">
      <c r="I28" t="str">
        <f>D15/2&amp;","&amp;D1/2</f>
        <v>21.864301966069,72.5</v>
      </c>
    </row>
    <row r="29" spans="1:14" x14ac:dyDescent="0.3">
      <c r="I29" t="str">
        <f>D15/2&amp;","&amp;N2/2</f>
        <v>21.864301966069,69.85</v>
      </c>
    </row>
    <row r="30" spans="1:14" x14ac:dyDescent="0.3">
      <c r="I30" t="s">
        <v>485</v>
      </c>
    </row>
    <row r="31" spans="1:14" x14ac:dyDescent="0.3">
      <c r="I31" t="s">
        <v>248</v>
      </c>
    </row>
    <row r="32" spans="1:14" x14ac:dyDescent="0.3">
      <c r="I32" t="str">
        <f>D15&amp;","&amp;AVERAGE(D1,N2)/2-D15*2</f>
        <v>43.728603932138,-16.282207864276</v>
      </c>
    </row>
    <row r="33" spans="9:9" x14ac:dyDescent="0.3">
      <c r="I33" t="str">
        <f>-D15&amp;","&amp;AVERAGE(D1,N2)/2+D15*2</f>
        <v>-43.728603932138,158.632207864276</v>
      </c>
    </row>
    <row r="34" spans="9:9" x14ac:dyDescent="0.3">
      <c r="I34" t="str">
        <f>""</f>
        <v/>
      </c>
    </row>
    <row r="35" spans="9:9" x14ac:dyDescent="0.3">
      <c r="I35" t="str">
        <f>"-ARRAY"</f>
        <v>-ARRAY</v>
      </c>
    </row>
    <row r="36" spans="9:9" x14ac:dyDescent="0.3">
      <c r="I36" t="s">
        <v>250</v>
      </c>
    </row>
    <row r="37" spans="9:9" x14ac:dyDescent="0.3">
      <c r="I37" t="str">
        <f>"0,0"</f>
        <v>0,0</v>
      </c>
    </row>
    <row r="38" spans="9:9" x14ac:dyDescent="0.3">
      <c r="I38">
        <f>D16</f>
        <v>100</v>
      </c>
    </row>
    <row r="39" spans="9:9" x14ac:dyDescent="0.3">
      <c r="I39">
        <v>360</v>
      </c>
    </row>
    <row r="40" spans="9:9" x14ac:dyDescent="0.3">
      <c r="I40" t="s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1274-9300-42A4-AD4E-69A9690E1DB2}">
  <dimension ref="A1:U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defaultRowHeight="14.4" x14ac:dyDescent="0.3"/>
  <cols>
    <col min="1" max="1" width="8.88671875" style="1"/>
    <col min="2" max="2" width="18.33203125" style="1" customWidth="1"/>
    <col min="3" max="16384" width="8.88671875" style="1"/>
  </cols>
  <sheetData>
    <row r="1" spans="1:21" x14ac:dyDescent="0.3">
      <c r="A1" s="21"/>
      <c r="B1" s="20"/>
      <c r="C1" s="450" t="s">
        <v>235</v>
      </c>
      <c r="D1" s="450"/>
      <c r="E1" s="450"/>
      <c r="F1" s="450"/>
      <c r="G1" s="450" t="s">
        <v>110</v>
      </c>
      <c r="H1" s="450"/>
      <c r="I1" s="450"/>
      <c r="J1" s="450"/>
      <c r="K1" s="450"/>
      <c r="L1" s="450"/>
      <c r="M1" s="450"/>
      <c r="N1" s="450"/>
      <c r="O1" s="450"/>
      <c r="P1" s="450"/>
      <c r="Q1" s="450"/>
      <c r="R1" s="450"/>
      <c r="S1" s="450"/>
      <c r="T1" s="21"/>
    </row>
    <row r="2" spans="1:21" s="46" customFormat="1" ht="57.6" x14ac:dyDescent="0.3">
      <c r="A2" s="16" t="s">
        <v>73</v>
      </c>
      <c r="B2" s="50"/>
      <c r="C2" s="50" t="s">
        <v>2</v>
      </c>
      <c r="D2" s="50" t="s">
        <v>1</v>
      </c>
      <c r="E2" s="50" t="s">
        <v>182</v>
      </c>
      <c r="F2" s="50" t="s">
        <v>0</v>
      </c>
      <c r="G2" s="50" t="s">
        <v>111</v>
      </c>
      <c r="H2" s="50" t="s">
        <v>236</v>
      </c>
      <c r="I2" s="50" t="s">
        <v>0</v>
      </c>
      <c r="J2" s="50" t="s">
        <v>237</v>
      </c>
      <c r="K2" s="50" t="s">
        <v>115</v>
      </c>
      <c r="L2" s="50" t="s">
        <v>116</v>
      </c>
      <c r="M2" s="50" t="s">
        <v>112</v>
      </c>
      <c r="N2" s="50" t="s">
        <v>113</v>
      </c>
      <c r="O2" s="50" t="s">
        <v>239</v>
      </c>
      <c r="P2" s="50" t="s">
        <v>243</v>
      </c>
      <c r="Q2" s="50" t="s">
        <v>224</v>
      </c>
      <c r="R2" s="50" t="s">
        <v>225</v>
      </c>
      <c r="S2" s="50" t="s">
        <v>226</v>
      </c>
      <c r="T2" s="50" t="s">
        <v>39</v>
      </c>
    </row>
    <row r="3" spans="1:21" x14ac:dyDescent="0.3">
      <c r="A3" s="21">
        <v>1</v>
      </c>
      <c r="B3" s="21" t="s">
        <v>101</v>
      </c>
      <c r="C3" s="21">
        <v>360</v>
      </c>
      <c r="D3" s="21">
        <v>360</v>
      </c>
      <c r="E3" s="69">
        <v>20</v>
      </c>
      <c r="F3" s="21" t="s">
        <v>107</v>
      </c>
      <c r="G3" s="69">
        <v>24</v>
      </c>
      <c r="H3" s="21">
        <v>80</v>
      </c>
      <c r="I3" s="21">
        <v>8.8000000000000007</v>
      </c>
      <c r="J3" s="69">
        <v>16</v>
      </c>
      <c r="K3" s="21">
        <v>40</v>
      </c>
      <c r="L3" s="21">
        <v>40</v>
      </c>
      <c r="M3" s="21">
        <v>70</v>
      </c>
      <c r="N3" s="21">
        <v>70</v>
      </c>
      <c r="O3" s="21">
        <v>5</v>
      </c>
      <c r="P3" s="21">
        <v>1</v>
      </c>
      <c r="Q3" s="21">
        <v>3</v>
      </c>
      <c r="R3" s="21">
        <v>1</v>
      </c>
      <c r="S3" s="21">
        <v>16</v>
      </c>
      <c r="T3" s="21" t="s">
        <v>244</v>
      </c>
      <c r="U3" s="36" t="str">
        <f>J3&amp;" nos "&amp;G3&amp;" dia "&amp;E3&amp;" thk "</f>
        <v xml:space="preserve">16 nos 24 dia 20 thk </v>
      </c>
    </row>
    <row r="4" spans="1:21" x14ac:dyDescent="0.3">
      <c r="A4" s="21">
        <v>2</v>
      </c>
      <c r="B4" s="21" t="s">
        <v>106</v>
      </c>
      <c r="C4" s="21">
        <v>330</v>
      </c>
      <c r="D4" s="21">
        <v>330</v>
      </c>
      <c r="E4" s="69">
        <v>20</v>
      </c>
      <c r="F4" s="21" t="s">
        <v>107</v>
      </c>
      <c r="G4" s="69">
        <v>24</v>
      </c>
      <c r="H4" s="21">
        <v>80</v>
      </c>
      <c r="I4" s="21">
        <v>8.8000000000000007</v>
      </c>
      <c r="J4" s="69">
        <v>8</v>
      </c>
      <c r="K4" s="21">
        <v>45</v>
      </c>
      <c r="L4" s="21">
        <v>45</v>
      </c>
      <c r="M4" s="21">
        <v>120</v>
      </c>
      <c r="N4" s="21">
        <v>120</v>
      </c>
      <c r="O4" s="21">
        <v>3</v>
      </c>
      <c r="P4" s="21">
        <v>1</v>
      </c>
      <c r="Q4" s="21">
        <v>1</v>
      </c>
      <c r="R4" s="21">
        <v>1</v>
      </c>
      <c r="S4" s="21">
        <v>8</v>
      </c>
      <c r="T4" s="21" t="s">
        <v>244</v>
      </c>
      <c r="U4" s="36" t="str">
        <f t="shared" ref="U4:U8" si="0">J4&amp;" nos "&amp;G4&amp;" dia "&amp;E4&amp;" thk "</f>
        <v xml:space="preserve">8 nos 24 dia 20 thk </v>
      </c>
    </row>
    <row r="5" spans="1:21" x14ac:dyDescent="0.3">
      <c r="A5" s="21">
        <v>3</v>
      </c>
      <c r="B5" s="21" t="s">
        <v>104</v>
      </c>
      <c r="C5" s="21">
        <v>380</v>
      </c>
      <c r="D5" s="21">
        <v>470</v>
      </c>
      <c r="E5" s="69">
        <v>25</v>
      </c>
      <c r="F5" s="21" t="s">
        <v>107</v>
      </c>
      <c r="G5" s="69">
        <v>30</v>
      </c>
      <c r="H5" s="21">
        <v>100</v>
      </c>
      <c r="I5" s="21">
        <v>8.8000000000000007</v>
      </c>
      <c r="J5" s="69">
        <v>10</v>
      </c>
      <c r="K5" s="21">
        <v>55</v>
      </c>
      <c r="L5" s="21">
        <v>55</v>
      </c>
      <c r="M5" s="21">
        <v>120</v>
      </c>
      <c r="N5" s="21">
        <v>135</v>
      </c>
      <c r="O5" s="21">
        <v>4</v>
      </c>
      <c r="P5" s="21">
        <v>1</v>
      </c>
      <c r="Q5" s="21">
        <v>1</v>
      </c>
      <c r="R5" s="21">
        <v>1</v>
      </c>
      <c r="S5" s="21">
        <v>10</v>
      </c>
      <c r="T5" s="21" t="s">
        <v>244</v>
      </c>
      <c r="U5" s="36" t="str">
        <f t="shared" si="0"/>
        <v xml:space="preserve">10 nos 30 dia 25 thk </v>
      </c>
    </row>
    <row r="6" spans="1:21" x14ac:dyDescent="0.3">
      <c r="A6" s="21">
        <v>4</v>
      </c>
      <c r="B6" s="21" t="s">
        <v>105</v>
      </c>
      <c r="C6" s="21">
        <v>365</v>
      </c>
      <c r="D6" s="21">
        <v>680</v>
      </c>
      <c r="E6" s="69">
        <v>25</v>
      </c>
      <c r="F6" s="21" t="s">
        <v>107</v>
      </c>
      <c r="G6" s="69">
        <v>24</v>
      </c>
      <c r="H6" s="21">
        <v>90</v>
      </c>
      <c r="I6" s="21">
        <v>10.9</v>
      </c>
      <c r="J6" s="69">
        <v>30</v>
      </c>
      <c r="K6" s="21">
        <v>40</v>
      </c>
      <c r="L6" s="21">
        <v>40</v>
      </c>
      <c r="M6" s="21">
        <v>60</v>
      </c>
      <c r="N6" s="21">
        <v>95</v>
      </c>
      <c r="O6" s="21">
        <v>11</v>
      </c>
      <c r="P6" s="21">
        <v>1</v>
      </c>
      <c r="Q6" s="21">
        <v>2</v>
      </c>
      <c r="R6" s="21">
        <v>2</v>
      </c>
      <c r="S6" s="21">
        <v>30</v>
      </c>
      <c r="T6" s="68" t="s">
        <v>244</v>
      </c>
      <c r="U6" s="36" t="str">
        <f t="shared" si="0"/>
        <v xml:space="preserve">30 nos 24 dia 25 thk </v>
      </c>
    </row>
    <row r="7" spans="1:21" x14ac:dyDescent="0.3">
      <c r="A7" s="21">
        <v>5</v>
      </c>
      <c r="B7" s="21" t="s">
        <v>102</v>
      </c>
      <c r="C7" s="21">
        <v>240</v>
      </c>
      <c r="D7" s="21">
        <v>68.900000000000006</v>
      </c>
      <c r="E7" s="69">
        <v>12</v>
      </c>
      <c r="F7" s="21" t="s">
        <v>107</v>
      </c>
      <c r="G7" s="69">
        <v>20</v>
      </c>
      <c r="H7" s="21">
        <v>60</v>
      </c>
      <c r="I7" s="21">
        <v>8.8000000000000007</v>
      </c>
      <c r="J7" s="69">
        <v>6</v>
      </c>
      <c r="K7" s="21">
        <v>40</v>
      </c>
      <c r="L7" s="21">
        <v>40</v>
      </c>
      <c r="M7" s="21">
        <v>50</v>
      </c>
      <c r="N7" s="21">
        <v>50</v>
      </c>
      <c r="O7" s="21" t="s">
        <v>281</v>
      </c>
      <c r="P7" s="21" t="s">
        <v>281</v>
      </c>
      <c r="Q7" s="21" t="s">
        <v>281</v>
      </c>
      <c r="R7" s="21" t="s">
        <v>281</v>
      </c>
      <c r="S7" s="21">
        <v>6</v>
      </c>
      <c r="T7" s="21" t="s">
        <v>244</v>
      </c>
      <c r="U7" s="36" t="str">
        <f t="shared" si="0"/>
        <v xml:space="preserve">6 nos 20 dia 12 thk </v>
      </c>
    </row>
    <row r="8" spans="1:21" x14ac:dyDescent="0.3">
      <c r="A8" s="21">
        <v>6</v>
      </c>
      <c r="B8" s="21" t="s">
        <v>103</v>
      </c>
      <c r="C8" s="21">
        <v>300</v>
      </c>
      <c r="D8" s="21">
        <v>128.89999999999998</v>
      </c>
      <c r="E8" s="69">
        <v>16</v>
      </c>
      <c r="F8" s="21" t="s">
        <v>107</v>
      </c>
      <c r="G8" s="69">
        <v>20</v>
      </c>
      <c r="H8" s="21">
        <v>70</v>
      </c>
      <c r="I8" s="21">
        <v>8.8000000000000007</v>
      </c>
      <c r="J8" s="69">
        <v>8</v>
      </c>
      <c r="K8" s="21">
        <v>40</v>
      </c>
      <c r="L8" s="21">
        <v>40</v>
      </c>
      <c r="M8" s="21">
        <v>60</v>
      </c>
      <c r="N8" s="21">
        <v>60</v>
      </c>
      <c r="O8" s="21" t="s">
        <v>281</v>
      </c>
      <c r="P8" s="21" t="s">
        <v>281</v>
      </c>
      <c r="Q8" s="21" t="s">
        <v>281</v>
      </c>
      <c r="R8" s="21" t="s">
        <v>281</v>
      </c>
      <c r="S8" s="21">
        <v>8</v>
      </c>
      <c r="T8" s="21" t="s">
        <v>244</v>
      </c>
      <c r="U8" s="36" t="str">
        <f t="shared" si="0"/>
        <v xml:space="preserve">8 nos 20 dia 16 thk </v>
      </c>
    </row>
    <row r="13" spans="1:2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</sheetData>
  <mergeCells count="2">
    <mergeCell ref="C1:F1"/>
    <mergeCell ref="G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Section_prop</vt:lpstr>
      <vt:lpstr>CHS</vt:lpstr>
      <vt:lpstr>RHS_Section_prop</vt:lpstr>
      <vt:lpstr>CHS_SUMMARY</vt:lpstr>
      <vt:lpstr>RHS</vt:lpstr>
      <vt:lpstr>RHS_SUMMARY</vt:lpstr>
      <vt:lpstr>R0</vt:lpstr>
      <vt:lpstr>R1</vt:lpstr>
      <vt:lpstr>R1_Old</vt:lpstr>
      <vt:lpstr>Cost comp NB125</vt:lpstr>
      <vt:lpstr>Script_CHS</vt:lpstr>
      <vt:lpstr>Design_summary</vt:lpstr>
      <vt:lpstr>CHS!INPUT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 PLATE CONNECTION</dc:title>
  <dc:creator>admin</dc:creator>
  <cp:lastModifiedBy>admin</cp:lastModifiedBy>
  <dcterms:created xsi:type="dcterms:W3CDTF">2021-01-28T09:09:46Z</dcterms:created>
  <dcterms:modified xsi:type="dcterms:W3CDTF">2021-07-07T05:45:05Z</dcterms:modified>
</cp:coreProperties>
</file>