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405" windowWidth="23655" windowHeight="14025"/>
  </bookViews>
  <sheets>
    <sheet name="IS 801 cold formed design check" sheetId="1" r:id="rId1"/>
    <sheet name="Sheet1" sheetId="2" r:id="rId2"/>
  </sheets>
  <externalReferences>
    <externalReference r:id="rId3"/>
    <externalReference r:id="rId4"/>
    <externalReference r:id="rId5"/>
    <externalReference r:id="rId6"/>
    <externalReference r:id="rId7"/>
  </externalReferences>
  <definedNames>
    <definedName name="_AC1">#REF!</definedName>
    <definedName name="_ACP1">#REF!</definedName>
    <definedName name="_AS1">#REF!</definedName>
    <definedName name="_ASP1">#REF!</definedName>
    <definedName name="_ca1">[1]STATIC!$V$31</definedName>
    <definedName name="_cv1">[1]STATIC!$V$33</definedName>
    <definedName name="_D1">#REF!</definedName>
    <definedName name="_DO1">#REF!</definedName>
    <definedName name="_F1">#REF!</definedName>
    <definedName name="_FCU1">#REF!</definedName>
    <definedName name="_FS1">#REF!</definedName>
    <definedName name="_FY1">#REF!</definedName>
    <definedName name="_I1">#REF!</definedName>
    <definedName name="_K1">#REF!</definedName>
    <definedName name="_M1">#REF!</definedName>
    <definedName name="_t1">[1]STATIC!$V$44</definedName>
    <definedName name="_V1">#REF!</definedName>
    <definedName name="_VC1">#REF!</definedName>
    <definedName name="_VU1">#REF!</definedName>
    <definedName name="_Z1">#REF!</definedName>
    <definedName name="A">#REF!</definedName>
    <definedName name="AA">#REF!</definedName>
    <definedName name="Ac">[2]STATIC!#REF!</definedName>
    <definedName name="Acp">[2]STATIC!#REF!</definedName>
    <definedName name="alpha" hidden="1">[3]Factors!$B$22:$B$53</definedName>
    <definedName name="alpha2" hidden="1">[3]Factors!$O$22:$O$53</definedName>
    <definedName name="As">[2]STATIC!#REF!</definedName>
    <definedName name="Asp">[2]STATIC!#REF!</definedName>
    <definedName name="b">[2]STATIC!#REF!</definedName>
    <definedName name="beta">[2]STATIC!#REF!</definedName>
    <definedName name="BETA1">#REF!</definedName>
    <definedName name="beta2" hidden="1">[3]Factors!$P$21:$Z$21</definedName>
    <definedName name="ca">[4]STATIC!$V$31</definedName>
    <definedName name="CC">#REF!</definedName>
    <definedName name="cv">[4]STATIC!$V$33</definedName>
    <definedName name="d">[2]STATIC!#REF!</definedName>
    <definedName name="dead.factor" hidden="1">'[3]NOT FULL RESTRAINT'!$D$12</definedName>
    <definedName name="do">[2]STATIC!#REF!</definedName>
    <definedName name="E" hidden="1">'[3]NOT FULL RESTRAINT'!$G$12</definedName>
    <definedName name="f">[2]STATIC!#REF!</definedName>
    <definedName name="fcu">[2]STATIC!#REF!</definedName>
    <definedName name="fs">[2]STATIC!#REF!</definedName>
    <definedName name="fy">[2]STATIC!#REF!</definedName>
    <definedName name="hn">[5]STATIC!$V$35</definedName>
    <definedName name="i">[5]STATIC!$V$26</definedName>
    <definedName name="k">[2]STATIC!#REF!</definedName>
    <definedName name="l">[2]STATIC!#REF!</definedName>
    <definedName name="live.deflection" hidden="1">'[3]NOT FULL RESTRAINT'!$AD$33:$CL$33</definedName>
    <definedName name="live.factor" hidden="1">'[3]NOT FULL RESTRAINT'!$D$13</definedName>
    <definedName name="m">[2]STATIC!#REF!</definedName>
    <definedName name="moments" hidden="1">'[3]NOT FULL RESTRAINT'!$AD$14:$CL$14</definedName>
    <definedName name="pc" hidden="1">'[3]BEARING &amp; BUCKLING'!$M$40</definedName>
    <definedName name="pfc.table" hidden="1">[3]PFC!$A$7:$Z$22</definedName>
    <definedName name="_xlnm.Print_Area" localSheetId="0">'IS 801 cold formed design check'!$A$1:$K$423</definedName>
    <definedName name="Pv" hidden="1">'[3]NOT FULL RESTRAINT'!$H$36</definedName>
    <definedName name="py" hidden="1">'[3]NOT FULL RESTRAINT'!$D$33</definedName>
    <definedName name="pyw" hidden="1">'[3]BEARING &amp; BUCKLING'!$E$18</definedName>
    <definedName name="range1" localSheetId="0" hidden="1">#REF!</definedName>
    <definedName name="range1" hidden="1">#REF!</definedName>
    <definedName name="range2" hidden="1">[3]UC!$B$7:$B$37</definedName>
    <definedName name="range3" hidden="1">[3]RSJ!$B$8:$B$16</definedName>
    <definedName name="range4" hidden="1">[3]PFC!$B$7:$B$22</definedName>
    <definedName name="rsj.table" hidden="1">[3]RSJ!$A$8:$Y$16</definedName>
    <definedName name="shear" hidden="1">'[3]NOT FULL RESTRAINT'!$AD$24:$CL$24</definedName>
    <definedName name="Sv" hidden="1">'[3]NOT FULL RESTRAINT'!$P$40</definedName>
    <definedName name="Sx" hidden="1">'[3]NOT FULL RESTRAINT'!$S$17</definedName>
    <definedName name="t">[4]STATIC!$V$44</definedName>
    <definedName name="table15" hidden="1">[3]Factors!$C$22:$M$53</definedName>
    <definedName name="table16" hidden="1">[3]Factors!$P$22:$Z$53</definedName>
    <definedName name="total.deflection" hidden="1">'[3]NOT FULL RESTRAINT'!$AD$43:$CL$43</definedName>
    <definedName name="v">[2]STATIC!#REF!</definedName>
    <definedName name="vc">[2]STATIC!#REF!</definedName>
    <definedName name="vu">[2]STATIC!#REF!</definedName>
    <definedName name="z">[2]STATIC!#REF!</definedName>
    <definedName name="Zx" hidden="1">'[3]NOT FULL RESTRAINT'!$S$16</definedName>
  </definedNames>
  <calcPr calcId="124519"/>
</workbook>
</file>

<file path=xl/calcChain.xml><?xml version="1.0" encoding="utf-8"?>
<calcChain xmlns="http://schemas.openxmlformats.org/spreadsheetml/2006/main">
  <c r="F321" i="1"/>
  <c r="F320"/>
  <c r="F317"/>
  <c r="F227"/>
  <c r="O209"/>
  <c r="V196"/>
  <c r="T195"/>
  <c r="T192"/>
  <c r="T193" s="1"/>
  <c r="L188"/>
  <c r="P169"/>
  <c r="T164"/>
  <c r="T165" s="1"/>
  <c r="T166" s="1"/>
  <c r="T167" s="1"/>
  <c r="T168" s="1"/>
  <c r="T169" s="1"/>
  <c r="T170" s="1"/>
  <c r="T171" s="1"/>
  <c r="T172" s="1"/>
  <c r="T173" s="1"/>
  <c r="T174" s="1"/>
  <c r="T175" s="1"/>
  <c r="T176" s="1"/>
  <c r="T177" s="1"/>
  <c r="T178" s="1"/>
  <c r="T179" s="1"/>
  <c r="T180" s="1"/>
  <c r="T181" s="1"/>
  <c r="T182" s="1"/>
  <c r="T183" s="1"/>
  <c r="T184" s="1"/>
  <c r="T185" s="1"/>
  <c r="T186" s="1"/>
  <c r="T187" s="1"/>
  <c r="F153"/>
  <c r="F149"/>
  <c r="J137"/>
  <c r="T123"/>
  <c r="F120"/>
  <c r="T119"/>
  <c r="F370" s="1"/>
  <c r="F115"/>
  <c r="F254" s="1"/>
  <c r="F256" s="1"/>
  <c r="V114"/>
  <c r="F114"/>
  <c r="F228" s="1"/>
  <c r="V113"/>
  <c r="F112"/>
  <c r="F108"/>
  <c r="F104"/>
  <c r="F96"/>
  <c r="AA86"/>
  <c r="AA85"/>
  <c r="AA84"/>
  <c r="AA83"/>
  <c r="AA82"/>
  <c r="AA81"/>
  <c r="AA80"/>
  <c r="AA79"/>
  <c r="AA78"/>
  <c r="AA77"/>
  <c r="AA76"/>
  <c r="AA75"/>
  <c r="F68"/>
  <c r="F82" s="1"/>
  <c r="F64"/>
  <c r="F65" s="1"/>
  <c r="V54"/>
  <c r="F54"/>
  <c r="V53"/>
  <c r="V52"/>
  <c r="F52"/>
  <c r="V51"/>
  <c r="O51"/>
  <c r="V50"/>
  <c r="O50"/>
  <c r="F50"/>
  <c r="F148" s="1"/>
  <c r="V49"/>
  <c r="O49"/>
  <c r="V48"/>
  <c r="O48"/>
  <c r="F45"/>
  <c r="F38"/>
  <c r="F32"/>
  <c r="F37" s="1"/>
  <c r="F150" s="1"/>
  <c r="F31"/>
  <c r="F278" s="1"/>
  <c r="F30"/>
  <c r="F229" s="1"/>
  <c r="F25"/>
  <c r="F21"/>
  <c r="F373" s="1"/>
  <c r="F20"/>
  <c r="F375" s="1"/>
  <c r="F19"/>
  <c r="F18"/>
  <c r="F17"/>
  <c r="F259" s="1"/>
  <c r="F16"/>
  <c r="F273" s="1"/>
  <c r="F14"/>
  <c r="J13"/>
  <c r="F12"/>
  <c r="F382" l="1"/>
  <c r="F179"/>
  <c r="F162"/>
  <c r="F136"/>
  <c r="F137" s="1"/>
  <c r="F131"/>
  <c r="F109"/>
  <c r="F102"/>
  <c r="F105" s="1"/>
  <c r="F139"/>
  <c r="F134"/>
  <c r="F95"/>
  <c r="F97" s="1"/>
  <c r="F159"/>
  <c r="F36"/>
  <c r="U114" s="1"/>
  <c r="F71"/>
  <c r="F78" s="1"/>
  <c r="F86"/>
  <c r="F87" s="1"/>
  <c r="F89" s="1"/>
  <c r="F129"/>
  <c r="F155"/>
  <c r="F164"/>
  <c r="F176"/>
  <c r="F180"/>
  <c r="F181"/>
  <c r="F201"/>
  <c r="F211"/>
  <c r="F239"/>
  <c r="F242" s="1"/>
  <c r="F243" s="1"/>
  <c r="F245" s="1"/>
  <c r="F258" s="1"/>
  <c r="F260" s="1"/>
  <c r="F250"/>
  <c r="F272"/>
  <c r="F294"/>
  <c r="F371"/>
  <c r="F35"/>
  <c r="F381" s="1"/>
  <c r="F41"/>
  <c r="F75"/>
  <c r="F76" s="1"/>
  <c r="F116"/>
  <c r="F122"/>
  <c r="F127"/>
  <c r="F163"/>
  <c r="F172"/>
  <c r="F186"/>
  <c r="F230"/>
  <c r="F233" s="1"/>
  <c r="F234" s="1"/>
  <c r="F384" l="1"/>
  <c r="F376"/>
  <c r="F383"/>
  <c r="F379"/>
  <c r="F166"/>
  <c r="F377" s="1"/>
  <c r="F368"/>
  <c r="U113"/>
  <c r="F324"/>
  <c r="F274"/>
  <c r="F279" s="1"/>
  <c r="F208"/>
  <c r="B198"/>
  <c r="F196"/>
  <c r="F117"/>
  <c r="O144" s="1"/>
  <c r="F212"/>
  <c r="F311"/>
  <c r="F193"/>
  <c r="F198" s="1"/>
  <c r="F183"/>
  <c r="F187" s="1"/>
  <c r="F202" l="1"/>
  <c r="F218"/>
  <c r="F219" s="1"/>
  <c r="F355"/>
  <c r="F287"/>
  <c r="F281"/>
  <c r="F290" s="1"/>
  <c r="F415"/>
  <c r="F416" s="1"/>
  <c r="F394"/>
  <c r="F395" s="1"/>
  <c r="F326"/>
  <c r="F325"/>
  <c r="F369" l="1"/>
  <c r="F295"/>
  <c r="F328"/>
  <c r="F348" l="1"/>
  <c r="F337"/>
  <c r="F351"/>
  <c r="F352" s="1"/>
  <c r="F340"/>
  <c r="F341" s="1"/>
  <c r="F345"/>
  <c r="F333"/>
  <c r="F421"/>
  <c r="F422" s="1"/>
  <c r="F410"/>
  <c r="F411" s="1"/>
  <c r="F401"/>
  <c r="F402" s="1"/>
  <c r="F389"/>
  <c r="F390" s="1"/>
  <c r="F405" s="1"/>
</calcChain>
</file>

<file path=xl/sharedStrings.xml><?xml version="1.0" encoding="utf-8"?>
<sst xmlns="http://schemas.openxmlformats.org/spreadsheetml/2006/main" count="956" uniqueCount="479">
  <si>
    <t>Manual Calculation Sheet</t>
  </si>
  <si>
    <t>Prepared By:</t>
  </si>
  <si>
    <t>SSA</t>
  </si>
  <si>
    <t>TC</t>
  </si>
  <si>
    <t>Designed By:</t>
  </si>
  <si>
    <t>CA</t>
  </si>
  <si>
    <t>Typical cold formed section member design as per IS 801 : 1975</t>
  </si>
  <si>
    <t>Approved By:</t>
  </si>
  <si>
    <t>MP</t>
  </si>
  <si>
    <t>L clip-4</t>
  </si>
  <si>
    <t>Date:</t>
  </si>
  <si>
    <t>delete</t>
  </si>
  <si>
    <t xml:space="preserve">Project Name: </t>
  </si>
  <si>
    <t>3.3 MW SOLAR PROJECT, POCHARAM, HYDERABAD</t>
  </si>
  <si>
    <t xml:space="preserve">STAAD Ref No: : </t>
  </si>
  <si>
    <t>G-xxxx-STD-xxx-Rx</t>
  </si>
  <si>
    <t>COLOR CODE</t>
  </si>
  <si>
    <t xml:space="preserve">Doc. Number :         </t>
  </si>
  <si>
    <t>G-xxxx-DOC-xx</t>
  </si>
  <si>
    <t>Rev. No.</t>
  </si>
  <si>
    <t>x</t>
  </si>
  <si>
    <t>Sl. No.</t>
  </si>
  <si>
    <t>Description with detailed calculations</t>
  </si>
  <si>
    <t>References IS 801 : 1975/ Remarks</t>
  </si>
  <si>
    <t>Beam</t>
  </si>
  <si>
    <t>L/C</t>
  </si>
  <si>
    <t>Node</t>
  </si>
  <si>
    <t>Axial Force kN</t>
  </si>
  <si>
    <t>Shear-Y kN</t>
  </si>
  <si>
    <t>Shear-Z kN</t>
  </si>
  <si>
    <t>Torsion kNm</t>
  </si>
  <si>
    <t>Moment-Y kNm</t>
  </si>
  <si>
    <t>Moment-Z kNm</t>
  </si>
  <si>
    <t>LC</t>
  </si>
  <si>
    <t>Section</t>
  </si>
  <si>
    <t>Max Fx -ve</t>
  </si>
  <si>
    <t>A)</t>
  </si>
  <si>
    <t>Design Forces from STAAD</t>
  </si>
  <si>
    <t>Max Fx +ve</t>
  </si>
  <si>
    <t>Member no.</t>
  </si>
  <si>
    <t>=</t>
  </si>
  <si>
    <t xml:space="preserve">STAAD Anaysis results </t>
  </si>
  <si>
    <t>Max Fy -ve</t>
  </si>
  <si>
    <t>Member ID:</t>
  </si>
  <si>
    <t>Top Chord</t>
  </si>
  <si>
    <t>Max Fy +ve</t>
  </si>
  <si>
    <t>Load combination no.</t>
  </si>
  <si>
    <t>Max Fz -ve</t>
  </si>
  <si>
    <t>Load combination title</t>
  </si>
  <si>
    <t>212: (DL+WL +X)*1.5</t>
  </si>
  <si>
    <t>Max Fz +ve</t>
  </si>
  <si>
    <t>Axial force</t>
  </si>
  <si>
    <r>
      <t>F</t>
    </r>
    <r>
      <rPr>
        <vertAlign val="subscript"/>
        <sz val="10"/>
        <rFont val="Times New Roman"/>
        <family val="1"/>
      </rPr>
      <t>fx</t>
    </r>
  </si>
  <si>
    <t>kN</t>
  </si>
  <si>
    <t>Max Mx -ve</t>
  </si>
  <si>
    <t>Shear Major Axis</t>
  </si>
  <si>
    <r>
      <t>F</t>
    </r>
    <r>
      <rPr>
        <vertAlign val="subscript"/>
        <sz val="10"/>
        <rFont val="Times New Roman"/>
        <family val="1"/>
      </rPr>
      <t>fy</t>
    </r>
  </si>
  <si>
    <t>Max Mx +ve</t>
  </si>
  <si>
    <t>Shear Minor Axis</t>
  </si>
  <si>
    <r>
      <t>F</t>
    </r>
    <r>
      <rPr>
        <vertAlign val="subscript"/>
        <sz val="10"/>
        <rFont val="Times New Roman"/>
        <family val="1"/>
      </rPr>
      <t>fz</t>
    </r>
  </si>
  <si>
    <t>Max My -ve</t>
  </si>
  <si>
    <t>Moment torsional</t>
  </si>
  <si>
    <r>
      <t>M</t>
    </r>
    <r>
      <rPr>
        <vertAlign val="subscript"/>
        <sz val="10"/>
        <rFont val="Times New Roman"/>
        <family val="1"/>
      </rPr>
      <t>mx</t>
    </r>
  </si>
  <si>
    <t>kN-m</t>
  </si>
  <si>
    <t>Max My +ve</t>
  </si>
  <si>
    <t>Moment Major axis</t>
  </si>
  <si>
    <r>
      <t>M</t>
    </r>
    <r>
      <rPr>
        <vertAlign val="subscript"/>
        <sz val="10"/>
        <rFont val="Times New Roman"/>
        <family val="1"/>
      </rPr>
      <t>my</t>
    </r>
  </si>
  <si>
    <t>Max Mz -ve</t>
  </si>
  <si>
    <t>Moment Minor axis</t>
  </si>
  <si>
    <r>
      <t>M</t>
    </r>
    <r>
      <rPr>
        <vertAlign val="subscript"/>
        <sz val="10"/>
        <rFont val="Times New Roman"/>
        <family val="1"/>
      </rPr>
      <t>mz</t>
    </r>
  </si>
  <si>
    <t>Max Mz +ve</t>
  </si>
  <si>
    <t>Section profiles</t>
  </si>
  <si>
    <t>B)</t>
  </si>
  <si>
    <t>Sectional properties</t>
  </si>
  <si>
    <t>Angles</t>
  </si>
  <si>
    <t>Section profile shape</t>
  </si>
  <si>
    <t>Lipped Channel</t>
  </si>
  <si>
    <t>Non-Lipped Channel</t>
  </si>
  <si>
    <t>Member section</t>
  </si>
  <si>
    <t>Depth of section</t>
  </si>
  <si>
    <t>D</t>
  </si>
  <si>
    <t>mm</t>
  </si>
  <si>
    <t>Non-Lipped ZED</t>
  </si>
  <si>
    <t>Width of section</t>
  </si>
  <si>
    <t>B</t>
  </si>
  <si>
    <t>Lipped ZED</t>
  </si>
  <si>
    <t>Depth of stiffened lip</t>
  </si>
  <si>
    <t>c</t>
  </si>
  <si>
    <t>HAT</t>
  </si>
  <si>
    <t>Thickness of section</t>
  </si>
  <si>
    <t>t</t>
  </si>
  <si>
    <t>I - shaped</t>
  </si>
  <si>
    <t>Corner radii</t>
  </si>
  <si>
    <r>
      <t>r</t>
    </r>
    <r>
      <rPr>
        <vertAlign val="subscript"/>
        <sz val="10"/>
        <rFont val="Times New Roman"/>
        <family val="1"/>
      </rPr>
      <t>i</t>
    </r>
  </si>
  <si>
    <t>C/S area of section</t>
  </si>
  <si>
    <t>A</t>
  </si>
  <si>
    <r>
      <t>cm</t>
    </r>
    <r>
      <rPr>
        <vertAlign val="superscript"/>
        <sz val="10"/>
        <rFont val="Times New Roman"/>
        <family val="1"/>
      </rPr>
      <t>2</t>
    </r>
  </si>
  <si>
    <t>Moment of inertia about z-z axis</t>
  </si>
  <si>
    <r>
      <t>I</t>
    </r>
    <r>
      <rPr>
        <vertAlign val="subscript"/>
        <sz val="10"/>
        <rFont val="Times New Roman"/>
        <family val="1"/>
      </rPr>
      <t>z</t>
    </r>
  </si>
  <si>
    <r>
      <t>cm</t>
    </r>
    <r>
      <rPr>
        <vertAlign val="superscript"/>
        <sz val="10"/>
        <rFont val="Times New Roman"/>
        <family val="1"/>
      </rPr>
      <t>4</t>
    </r>
  </si>
  <si>
    <t>Moment of inertia about y-y axis</t>
  </si>
  <si>
    <r>
      <t>I</t>
    </r>
    <r>
      <rPr>
        <vertAlign val="subscript"/>
        <sz val="10"/>
        <rFont val="Times New Roman"/>
        <family val="1"/>
      </rPr>
      <t>y</t>
    </r>
  </si>
  <si>
    <t>Centre of gravity from y-y axis</t>
  </si>
  <si>
    <r>
      <t>C</t>
    </r>
    <r>
      <rPr>
        <vertAlign val="subscript"/>
        <sz val="10"/>
        <rFont val="Times New Roman"/>
        <family val="1"/>
      </rPr>
      <t>y</t>
    </r>
  </si>
  <si>
    <t>cm</t>
  </si>
  <si>
    <t>Radius of gyration about z-z axis</t>
  </si>
  <si>
    <r>
      <t>r</t>
    </r>
    <r>
      <rPr>
        <vertAlign val="subscript"/>
        <sz val="10"/>
        <rFont val="Times New Roman"/>
        <family val="1"/>
      </rPr>
      <t>z</t>
    </r>
  </si>
  <si>
    <t>Radius of gyration about y-y axis</t>
  </si>
  <si>
    <r>
      <t>r</t>
    </r>
    <r>
      <rPr>
        <vertAlign val="subscript"/>
        <sz val="10"/>
        <rFont val="Times New Roman"/>
        <family val="1"/>
      </rPr>
      <t>y</t>
    </r>
  </si>
  <si>
    <t>Elastic sectional modulus abt z-z axis</t>
  </si>
  <si>
    <r>
      <t>Z</t>
    </r>
    <r>
      <rPr>
        <vertAlign val="subscript"/>
        <sz val="10"/>
        <rFont val="Times New Roman"/>
        <family val="1"/>
      </rPr>
      <t>ez</t>
    </r>
  </si>
  <si>
    <r>
      <t>cm</t>
    </r>
    <r>
      <rPr>
        <vertAlign val="superscript"/>
        <sz val="10"/>
        <rFont val="Times New Roman"/>
        <family val="1"/>
      </rPr>
      <t>3</t>
    </r>
  </si>
  <si>
    <t>Elastic sectional modulus abt y-y axis</t>
  </si>
  <si>
    <r>
      <t>Z</t>
    </r>
    <r>
      <rPr>
        <vertAlign val="subscript"/>
        <sz val="10"/>
        <rFont val="Times New Roman"/>
        <family val="1"/>
      </rPr>
      <t>ey</t>
    </r>
  </si>
  <si>
    <t>Plastic sectional modulus abt z-z axis</t>
  </si>
  <si>
    <r>
      <t>Z</t>
    </r>
    <r>
      <rPr>
        <vertAlign val="subscript"/>
        <sz val="10"/>
        <rFont val="Times New Roman"/>
        <family val="1"/>
      </rPr>
      <t>pz</t>
    </r>
  </si>
  <si>
    <r>
      <t>Z</t>
    </r>
    <r>
      <rPr>
        <vertAlign val="subscript"/>
        <sz val="10"/>
        <rFont val="Times New Roman"/>
        <family val="1"/>
      </rPr>
      <t>py</t>
    </r>
  </si>
  <si>
    <t>Mass per unit length</t>
  </si>
  <si>
    <t>M</t>
  </si>
  <si>
    <t>kg/m</t>
  </si>
  <si>
    <t>Torsional constant</t>
  </si>
  <si>
    <r>
      <t>I</t>
    </r>
    <r>
      <rPr>
        <vertAlign val="subscript"/>
        <sz val="10"/>
        <rFont val="Times New Roman"/>
        <family val="1"/>
      </rPr>
      <t>x</t>
    </r>
  </si>
  <si>
    <t>Warping constant</t>
  </si>
  <si>
    <r>
      <t>C</t>
    </r>
    <r>
      <rPr>
        <vertAlign val="subscript"/>
        <sz val="10"/>
        <rFont val="Times New Roman"/>
        <family val="1"/>
      </rPr>
      <t>w</t>
    </r>
  </si>
  <si>
    <t>Yield strength</t>
  </si>
  <si>
    <r>
      <t>f</t>
    </r>
    <r>
      <rPr>
        <vertAlign val="subscript"/>
        <sz val="10"/>
        <rFont val="Times New Roman"/>
        <family val="1"/>
      </rPr>
      <t>y</t>
    </r>
  </si>
  <si>
    <r>
      <t>N/mm</t>
    </r>
    <r>
      <rPr>
        <vertAlign val="superscript"/>
        <sz val="10"/>
        <rFont val="Times New Roman"/>
        <family val="1"/>
      </rPr>
      <t>2</t>
    </r>
  </si>
  <si>
    <t>Ultimate strength</t>
  </si>
  <si>
    <r>
      <t>f</t>
    </r>
    <r>
      <rPr>
        <vertAlign val="subscript"/>
        <sz val="10"/>
        <rFont val="Times New Roman"/>
        <family val="1"/>
      </rPr>
      <t>u</t>
    </r>
  </si>
  <si>
    <t>C)</t>
  </si>
  <si>
    <t>Design parameters</t>
  </si>
  <si>
    <t>Rebar</t>
  </si>
  <si>
    <t>Grade</t>
  </si>
  <si>
    <t>fy</t>
  </si>
  <si>
    <t>ft</t>
  </si>
  <si>
    <t>e  %</t>
  </si>
  <si>
    <t>Actual length of the member</t>
  </si>
  <si>
    <t>L</t>
  </si>
  <si>
    <t>Fe415</t>
  </si>
  <si>
    <t>dia</t>
  </si>
  <si>
    <t>Effective length factor for torsional buckling</t>
  </si>
  <si>
    <t>Kx</t>
  </si>
  <si>
    <t>Fe415D</t>
  </si>
  <si>
    <t>Effective length for torsional buckling</t>
  </si>
  <si>
    <t>Lx</t>
  </si>
  <si>
    <t>Fe500</t>
  </si>
  <si>
    <t>Effective length factor for major axis bending</t>
  </si>
  <si>
    <t>Kz</t>
  </si>
  <si>
    <t>Fe500D</t>
  </si>
  <si>
    <t>Effective length for major axis bending</t>
  </si>
  <si>
    <t>Lz</t>
  </si>
  <si>
    <t>Fe550</t>
  </si>
  <si>
    <t>Effective length factor for minor axis bending</t>
  </si>
  <si>
    <t>Ky</t>
  </si>
  <si>
    <t>Fe550D</t>
  </si>
  <si>
    <t>Effective length for minor axis bending</t>
  </si>
  <si>
    <t>Ly</t>
  </si>
  <si>
    <t>Fe600</t>
  </si>
  <si>
    <t>Stiffeners inclusion</t>
  </si>
  <si>
    <t>Laterally Unbraced Beams</t>
  </si>
  <si>
    <t>Support condition</t>
  </si>
  <si>
    <t>Interior Support</t>
  </si>
  <si>
    <t>Axis of Symmetry</t>
  </si>
  <si>
    <t>Singly symmetry</t>
  </si>
  <si>
    <t>Member end restraint condition</t>
  </si>
  <si>
    <t>Ends restrained</t>
  </si>
  <si>
    <t>Bolt 8.8</t>
  </si>
  <si>
    <t>Bolt data</t>
  </si>
  <si>
    <t>Stress area</t>
  </si>
  <si>
    <t>ALL tension</t>
  </si>
  <si>
    <t>All shear</t>
  </si>
  <si>
    <t>Loading condition</t>
  </si>
  <si>
    <t>WL/EQ only</t>
  </si>
  <si>
    <t>M6</t>
  </si>
  <si>
    <t>M8</t>
  </si>
  <si>
    <t>D)</t>
  </si>
  <si>
    <t>Design calculations</t>
  </si>
  <si>
    <t>M10</t>
  </si>
  <si>
    <t>M12</t>
  </si>
  <si>
    <t>Flat-width</t>
  </si>
  <si>
    <t>w</t>
  </si>
  <si>
    <t>M16</t>
  </si>
  <si>
    <t>Flat-width ratio</t>
  </si>
  <si>
    <t>w/t</t>
  </si>
  <si>
    <t>Cl. 3.4</t>
  </si>
  <si>
    <t>M20</t>
  </si>
  <si>
    <t>M24</t>
  </si>
  <si>
    <t>Basic design stress</t>
  </si>
  <si>
    <t>f</t>
  </si>
  <si>
    <t>0.6 * fy</t>
  </si>
  <si>
    <t>Cl. 6.1</t>
  </si>
  <si>
    <t>M30</t>
  </si>
  <si>
    <r>
      <t>kgf/cm</t>
    </r>
    <r>
      <rPr>
        <vertAlign val="superscript"/>
        <sz val="10"/>
        <rFont val="Times New Roman"/>
        <family val="1"/>
      </rPr>
      <t>2</t>
    </r>
  </si>
  <si>
    <t>M36</t>
  </si>
  <si>
    <t>For load determination:</t>
  </si>
  <si>
    <t>Cl.5.2.1.1</t>
  </si>
  <si>
    <t>M39</t>
  </si>
  <si>
    <t xml:space="preserve">Flange are fully effective (b=w) upto </t>
  </si>
  <si>
    <r>
      <t>(w/t)</t>
    </r>
    <r>
      <rPr>
        <vertAlign val="subscript"/>
        <sz val="10"/>
        <rFont val="Times New Roman"/>
        <family val="1"/>
      </rPr>
      <t xml:space="preserve">lim </t>
    </r>
  </si>
  <si>
    <t>1435 / √f</t>
  </si>
  <si>
    <t>For flanges with w/t larger than (w/t)lim</t>
  </si>
  <si>
    <t>b/t</t>
  </si>
  <si>
    <t>Steel grades</t>
  </si>
  <si>
    <t>Tens</t>
  </si>
  <si>
    <t>Yst</t>
  </si>
  <si>
    <t>&lt;20</t>
  </si>
  <si>
    <t>20-40</t>
  </si>
  <si>
    <t>&gt;40</t>
  </si>
  <si>
    <t>E250</t>
  </si>
  <si>
    <t>b</t>
  </si>
  <si>
    <t>E275</t>
  </si>
  <si>
    <t>E300</t>
  </si>
  <si>
    <t>Effective design width</t>
  </si>
  <si>
    <t>Cl. 3.5</t>
  </si>
  <si>
    <t>E350</t>
  </si>
  <si>
    <t>E410</t>
  </si>
  <si>
    <t>For deflection determination:</t>
  </si>
  <si>
    <t>E450</t>
  </si>
  <si>
    <t>1850 / √f</t>
  </si>
  <si>
    <t>E550</t>
  </si>
  <si>
    <t>E600</t>
  </si>
  <si>
    <t>E650</t>
  </si>
  <si>
    <t>Yst210</t>
  </si>
  <si>
    <t>Yst240</t>
  </si>
  <si>
    <t>Yst310</t>
  </si>
  <si>
    <t>Stiffeners for compression elements</t>
  </si>
  <si>
    <t>Minimum allowable MOI of stiffener(lip)</t>
  </si>
  <si>
    <r>
      <t>I</t>
    </r>
    <r>
      <rPr>
        <vertAlign val="subscript"/>
        <sz val="10"/>
        <rFont val="Times New Roman"/>
        <family val="1"/>
      </rPr>
      <t>Min</t>
    </r>
  </si>
  <si>
    <t>Cl. 5.2.2.1</t>
  </si>
  <si>
    <t>Simple lip</t>
  </si>
  <si>
    <t>OR</t>
  </si>
  <si>
    <t>Any other kind of stiffener</t>
  </si>
  <si>
    <r>
      <t>&gt; 9.2 t</t>
    </r>
    <r>
      <rPr>
        <vertAlign val="superscript"/>
        <sz val="10"/>
        <rFont val="Times New Roman"/>
        <family val="1"/>
      </rPr>
      <t>4</t>
    </r>
  </si>
  <si>
    <t>Stiffened compression element with both longitudinal edges connected to other stiffened elements</t>
  </si>
  <si>
    <t>Unstiffened compression element</t>
  </si>
  <si>
    <t>Actual MOI of stiffner(lip)</t>
  </si>
  <si>
    <r>
      <t>I</t>
    </r>
    <r>
      <rPr>
        <vertAlign val="subscript"/>
        <sz val="10"/>
        <rFont val="Times New Roman"/>
        <family val="1"/>
      </rPr>
      <t>c</t>
    </r>
  </si>
  <si>
    <t>Unstiffened webs</t>
  </si>
  <si>
    <t>Stiffened webs</t>
  </si>
  <si>
    <t>Required overall depth of lip</t>
  </si>
  <si>
    <r>
      <t>d</t>
    </r>
    <r>
      <rPr>
        <vertAlign val="subscript"/>
        <sz val="10"/>
        <rFont val="Times New Roman"/>
        <family val="1"/>
      </rPr>
      <t>Min</t>
    </r>
  </si>
  <si>
    <t>Unstiffened Elements</t>
  </si>
  <si>
    <t>&gt; 4.8 t</t>
  </si>
  <si>
    <t>Actual depth of stiffner(lip)</t>
  </si>
  <si>
    <r>
      <t>d</t>
    </r>
    <r>
      <rPr>
        <vertAlign val="subscript"/>
        <sz val="10"/>
        <rFont val="Times New Roman"/>
        <family val="1"/>
      </rPr>
      <t>c</t>
    </r>
  </si>
  <si>
    <t>Exterior Support/Cantilevers</t>
  </si>
  <si>
    <t>Maximum allowable overall flat-width ratio</t>
  </si>
  <si>
    <t>Cl. 5.2.3</t>
  </si>
  <si>
    <t>Doubly symmetry</t>
  </si>
  <si>
    <t>Non Symmetric</t>
  </si>
  <si>
    <t>Maximum allowable web depth</t>
  </si>
  <si>
    <t>Cl. 5.2.4</t>
  </si>
  <si>
    <r>
      <t>(h/t)</t>
    </r>
    <r>
      <rPr>
        <vertAlign val="subscript"/>
        <sz val="10"/>
        <color theme="1"/>
        <rFont val="Times New Roman"/>
        <family val="1"/>
      </rPr>
      <t>max</t>
    </r>
  </si>
  <si>
    <t>r</t>
  </si>
  <si>
    <t>K</t>
  </si>
  <si>
    <t>Abt z-z</t>
  </si>
  <si>
    <t>Clear distance between the flanges measured along the plane of web</t>
  </si>
  <si>
    <t>h</t>
  </si>
  <si>
    <t>Abt y-y</t>
  </si>
  <si>
    <t>Web thickness</t>
  </si>
  <si>
    <t>Actual web height to thk ratio</t>
  </si>
  <si>
    <t>h/t</t>
  </si>
  <si>
    <t>ID</t>
  </si>
  <si>
    <t>Ends unrestrained</t>
  </si>
  <si>
    <t>Utilization of strength increase from cold work of forming:</t>
  </si>
  <si>
    <t>Maximum yield point of full section</t>
  </si>
  <si>
    <r>
      <t>F</t>
    </r>
    <r>
      <rPr>
        <vertAlign val="subscript"/>
        <sz val="10"/>
        <color theme="1"/>
        <rFont val="Times New Roman"/>
        <family val="1"/>
      </rPr>
      <t>y</t>
    </r>
  </si>
  <si>
    <t>Cl. 6.1.1</t>
  </si>
  <si>
    <t>multiplying factor</t>
  </si>
  <si>
    <t>F</t>
  </si>
  <si>
    <r>
      <t>0.6 * F</t>
    </r>
    <r>
      <rPr>
        <vertAlign val="subscript"/>
        <sz val="10"/>
        <color theme="1"/>
        <rFont val="Times New Roman"/>
        <family val="1"/>
      </rPr>
      <t>y</t>
    </r>
  </si>
  <si>
    <t>LL</t>
  </si>
  <si>
    <t>Compression on unstiffened elements</t>
  </si>
  <si>
    <t>Cl. 6.2</t>
  </si>
  <si>
    <r>
      <t>Compression F</t>
    </r>
    <r>
      <rPr>
        <vertAlign val="subscript"/>
        <sz val="10"/>
        <rFont val="Times New Roman"/>
        <family val="1"/>
      </rPr>
      <t>c</t>
    </r>
    <r>
      <rPr>
        <sz val="10"/>
        <rFont val="Times New Roman"/>
        <family val="1"/>
      </rPr>
      <t xml:space="preserve"> on flat unstiffened elements as follows:</t>
    </r>
  </si>
  <si>
    <r>
      <t>a) For w/t not greater than 530/√F</t>
    </r>
    <r>
      <rPr>
        <vertAlign val="subscript"/>
        <sz val="10"/>
        <rFont val="Times New Roman"/>
        <family val="1"/>
      </rPr>
      <t>y</t>
    </r>
  </si>
  <si>
    <r>
      <t>F</t>
    </r>
    <r>
      <rPr>
        <vertAlign val="subscript"/>
        <sz val="10"/>
        <color theme="1"/>
        <rFont val="Times New Roman"/>
        <family val="1"/>
      </rPr>
      <t>c</t>
    </r>
  </si>
  <si>
    <r>
      <t>b) For w/t ratio &gt; 530/√F</t>
    </r>
    <r>
      <rPr>
        <vertAlign val="subscript"/>
        <sz val="10"/>
        <rFont val="Times New Roman"/>
        <family val="1"/>
      </rPr>
      <t>y</t>
    </r>
    <r>
      <rPr>
        <sz val="10"/>
        <rFont val="Times New Roman"/>
        <family val="1"/>
      </rPr>
      <t xml:space="preserve"> but &lt;= 1210/√F</t>
    </r>
    <r>
      <rPr>
        <vertAlign val="subscript"/>
        <sz val="10"/>
        <rFont val="Times New Roman"/>
        <family val="1"/>
      </rPr>
      <t>y</t>
    </r>
  </si>
  <si>
    <r>
      <t>c) For w/t ratio &gt; 1210/√F</t>
    </r>
    <r>
      <rPr>
        <vertAlign val="subscript"/>
        <sz val="10"/>
        <rFont val="Times New Roman"/>
        <family val="1"/>
      </rPr>
      <t>y</t>
    </r>
    <r>
      <rPr>
        <sz val="10"/>
        <rFont val="Times New Roman"/>
        <family val="1"/>
      </rPr>
      <t xml:space="preserve"> but &lt;= 25</t>
    </r>
  </si>
  <si>
    <r>
      <t>562000 / (w/t)</t>
    </r>
    <r>
      <rPr>
        <vertAlign val="superscript"/>
        <sz val="10"/>
        <color theme="1"/>
        <rFont val="Times New Roman"/>
        <family val="1"/>
      </rPr>
      <t>2</t>
    </r>
  </si>
  <si>
    <t>d) For w/t ratio from 25 to 60</t>
  </si>
  <si>
    <t>for angle struts</t>
  </si>
  <si>
    <t>for all other sections</t>
  </si>
  <si>
    <t>1390 - 20 * (w/t)</t>
  </si>
  <si>
    <r>
      <t>Compression F</t>
    </r>
    <r>
      <rPr>
        <vertAlign val="subscript"/>
        <sz val="10"/>
        <rFont val="Times New Roman"/>
        <family val="1"/>
      </rPr>
      <t>c</t>
    </r>
    <r>
      <rPr>
        <sz val="10"/>
        <rFont val="Times New Roman"/>
        <family val="1"/>
      </rPr>
      <t xml:space="preserve"> on flat unstiffened elements</t>
    </r>
  </si>
  <si>
    <r>
      <t>Max. compression stress F</t>
    </r>
    <r>
      <rPr>
        <vertAlign val="subscript"/>
        <sz val="10"/>
        <rFont val="Times New Roman"/>
        <family val="1"/>
      </rPr>
      <t>b</t>
    </r>
    <r>
      <rPr>
        <sz val="10"/>
        <rFont val="Times New Roman"/>
        <family val="1"/>
      </rPr>
      <t xml:space="preserve"> on extreme of laterally unsupported flexural members as follows:</t>
    </r>
  </si>
  <si>
    <t>Cl. 6.3</t>
  </si>
  <si>
    <r>
      <rPr>
        <b/>
        <sz val="10"/>
        <rFont val="Times New Roman"/>
        <family val="1"/>
      </rPr>
      <t xml:space="preserve">a) </t>
    </r>
    <r>
      <rPr>
        <sz val="10"/>
        <rFont val="Times New Roman"/>
        <family val="1"/>
      </rPr>
      <t>When bending is about the centrodal axis perpendiclar to the web for either I-shaped sections symmetrical about an axis in the plane of the web or symmetrical channel-shaped section:</t>
    </r>
  </si>
  <si>
    <t>Cl. 6.3.(a)</t>
  </si>
  <si>
    <r>
      <t>when (L</t>
    </r>
    <r>
      <rPr>
        <vertAlign val="superscript"/>
        <sz val="10"/>
        <rFont val="Times New Roman"/>
        <family val="1"/>
      </rPr>
      <t>2</t>
    </r>
    <r>
      <rPr>
        <sz val="10"/>
        <rFont val="Times New Roman"/>
        <family val="1"/>
      </rPr>
      <t>*S</t>
    </r>
    <r>
      <rPr>
        <vertAlign val="subscript"/>
        <sz val="10"/>
        <rFont val="Times New Roman"/>
        <family val="1"/>
      </rPr>
      <t>xc</t>
    </r>
    <r>
      <rPr>
        <sz val="10"/>
        <rFont val="Times New Roman"/>
        <family val="1"/>
      </rPr>
      <t>)/(d*I</t>
    </r>
    <r>
      <rPr>
        <vertAlign val="subscript"/>
        <sz val="10"/>
        <rFont val="Times New Roman"/>
        <family val="1"/>
      </rPr>
      <t>yc</t>
    </r>
    <r>
      <rPr>
        <sz val="10"/>
        <rFont val="Times New Roman"/>
        <family val="1"/>
      </rPr>
      <t>) &gt; (0.36*π</t>
    </r>
    <r>
      <rPr>
        <vertAlign val="superscript"/>
        <sz val="10"/>
        <rFont val="Times New Roman"/>
        <family val="1"/>
      </rPr>
      <t>2</t>
    </r>
    <r>
      <rPr>
        <sz val="10"/>
        <rFont val="Times New Roman"/>
        <family val="1"/>
      </rPr>
      <t>*E*C</t>
    </r>
    <r>
      <rPr>
        <vertAlign val="subscript"/>
        <sz val="10"/>
        <rFont val="Times New Roman"/>
        <family val="1"/>
      </rPr>
      <t>b</t>
    </r>
    <r>
      <rPr>
        <sz val="10"/>
        <rFont val="Times New Roman"/>
        <family val="1"/>
      </rPr>
      <t>)/F</t>
    </r>
    <r>
      <rPr>
        <vertAlign val="subscript"/>
        <sz val="10"/>
        <rFont val="Times New Roman"/>
        <family val="1"/>
      </rPr>
      <t>y</t>
    </r>
    <r>
      <rPr>
        <sz val="10"/>
        <rFont val="Times New Roman"/>
        <family val="1"/>
      </rPr>
      <t xml:space="preserve"> but &lt; (1.8*π</t>
    </r>
    <r>
      <rPr>
        <vertAlign val="superscript"/>
        <sz val="10"/>
        <rFont val="Times New Roman"/>
        <family val="1"/>
      </rPr>
      <t>2</t>
    </r>
    <r>
      <rPr>
        <sz val="10"/>
        <rFont val="Times New Roman"/>
        <family val="1"/>
      </rPr>
      <t>*E*C</t>
    </r>
    <r>
      <rPr>
        <vertAlign val="subscript"/>
        <sz val="10"/>
        <rFont val="Times New Roman"/>
        <family val="1"/>
      </rPr>
      <t>b</t>
    </r>
    <r>
      <rPr>
        <sz val="10"/>
        <rFont val="Times New Roman"/>
        <family val="1"/>
      </rPr>
      <t>)/F</t>
    </r>
    <r>
      <rPr>
        <vertAlign val="subscript"/>
        <sz val="10"/>
        <rFont val="Times New Roman"/>
        <family val="1"/>
      </rPr>
      <t>y</t>
    </r>
  </si>
  <si>
    <r>
      <t>F</t>
    </r>
    <r>
      <rPr>
        <vertAlign val="subscript"/>
        <sz val="10"/>
        <rFont val="Times New Roman"/>
        <family val="1"/>
      </rPr>
      <t>b</t>
    </r>
  </si>
  <si>
    <t>where,</t>
  </si>
  <si>
    <t>sin</t>
  </si>
  <si>
    <t>Unbraced length of the member</t>
  </si>
  <si>
    <t>cos</t>
  </si>
  <si>
    <t>The MOI of the compression portion of a section about gravity axis of the entire section parallel to the web</t>
  </si>
  <si>
    <r>
      <t>I</t>
    </r>
    <r>
      <rPr>
        <vertAlign val="subscript"/>
        <sz val="10"/>
        <rFont val="Times New Roman"/>
        <family val="1"/>
      </rPr>
      <t>yc</t>
    </r>
  </si>
  <si>
    <t>Compression section modulus of entire section about major axis z-z</t>
  </si>
  <si>
    <r>
      <t>S</t>
    </r>
    <r>
      <rPr>
        <vertAlign val="subscript"/>
        <sz val="10"/>
        <rFont val="Times New Roman"/>
        <family val="1"/>
      </rPr>
      <t>xc</t>
    </r>
  </si>
  <si>
    <t>fx sin</t>
  </si>
  <si>
    <t>Bending co-efficient which can conservatively be taken as unity</t>
  </si>
  <si>
    <r>
      <t>C</t>
    </r>
    <r>
      <rPr>
        <vertAlign val="subscript"/>
        <sz val="10"/>
        <rFont val="Times New Roman"/>
        <family val="1"/>
      </rPr>
      <t>b</t>
    </r>
  </si>
  <si>
    <t>fx cos</t>
  </si>
  <si>
    <t>Modulus of elasticity</t>
  </si>
  <si>
    <t>E</t>
  </si>
  <si>
    <t>d</t>
  </si>
  <si>
    <r>
      <t>when (L</t>
    </r>
    <r>
      <rPr>
        <vertAlign val="superscript"/>
        <sz val="10"/>
        <rFont val="Times New Roman"/>
        <family val="1"/>
      </rPr>
      <t>2</t>
    </r>
    <r>
      <rPr>
        <sz val="10"/>
        <rFont val="Times New Roman"/>
        <family val="1"/>
      </rPr>
      <t>*S</t>
    </r>
    <r>
      <rPr>
        <vertAlign val="subscript"/>
        <sz val="10"/>
        <rFont val="Times New Roman"/>
        <family val="1"/>
      </rPr>
      <t>xc</t>
    </r>
    <r>
      <rPr>
        <sz val="10"/>
        <rFont val="Times New Roman"/>
        <family val="1"/>
      </rPr>
      <t>)/(d*I</t>
    </r>
    <r>
      <rPr>
        <vertAlign val="subscript"/>
        <sz val="10"/>
        <rFont val="Times New Roman"/>
        <family val="1"/>
      </rPr>
      <t>yc</t>
    </r>
    <r>
      <rPr>
        <sz val="10"/>
        <rFont val="Times New Roman"/>
        <family val="1"/>
      </rPr>
      <t>) &gt;= (1.8*π</t>
    </r>
    <r>
      <rPr>
        <vertAlign val="superscript"/>
        <sz val="10"/>
        <rFont val="Times New Roman"/>
        <family val="1"/>
      </rPr>
      <t>2</t>
    </r>
    <r>
      <rPr>
        <sz val="10"/>
        <rFont val="Times New Roman"/>
        <family val="1"/>
      </rPr>
      <t>*E*C</t>
    </r>
    <r>
      <rPr>
        <vertAlign val="subscript"/>
        <sz val="10"/>
        <rFont val="Times New Roman"/>
        <family val="1"/>
      </rPr>
      <t>b</t>
    </r>
    <r>
      <rPr>
        <sz val="10"/>
        <rFont val="Times New Roman"/>
        <family val="1"/>
      </rPr>
      <t>)/F</t>
    </r>
    <r>
      <rPr>
        <vertAlign val="subscript"/>
        <sz val="10"/>
        <rFont val="Times New Roman"/>
        <family val="1"/>
      </rPr>
      <t>y</t>
    </r>
  </si>
  <si>
    <t>Ratio</t>
  </si>
  <si>
    <r>
      <t>(L</t>
    </r>
    <r>
      <rPr>
        <vertAlign val="superscript"/>
        <sz val="10"/>
        <rFont val="Times New Roman"/>
        <family val="1"/>
      </rPr>
      <t>2</t>
    </r>
    <r>
      <rPr>
        <sz val="10"/>
        <rFont val="Times New Roman"/>
        <family val="1"/>
      </rPr>
      <t>*S</t>
    </r>
    <r>
      <rPr>
        <vertAlign val="subscript"/>
        <sz val="10"/>
        <rFont val="Times New Roman"/>
        <family val="1"/>
      </rPr>
      <t>xc</t>
    </r>
    <r>
      <rPr>
        <sz val="10"/>
        <rFont val="Times New Roman"/>
        <family val="1"/>
      </rPr>
      <t>)/(d*I</t>
    </r>
    <r>
      <rPr>
        <vertAlign val="subscript"/>
        <sz val="10"/>
        <rFont val="Times New Roman"/>
        <family val="1"/>
      </rPr>
      <t>yc</t>
    </r>
    <r>
      <rPr>
        <sz val="10"/>
        <rFont val="Times New Roman"/>
        <family val="1"/>
      </rPr>
      <t>)</t>
    </r>
  </si>
  <si>
    <t>KL/r</t>
  </si>
  <si>
    <t>fcd for fy=350</t>
  </si>
  <si>
    <r>
      <t>(0.36*π</t>
    </r>
    <r>
      <rPr>
        <vertAlign val="superscript"/>
        <sz val="10"/>
        <rFont val="Times New Roman"/>
        <family val="1"/>
      </rPr>
      <t>2</t>
    </r>
    <r>
      <rPr>
        <sz val="10"/>
        <rFont val="Times New Roman"/>
        <family val="1"/>
      </rPr>
      <t>*E*C</t>
    </r>
    <r>
      <rPr>
        <vertAlign val="subscript"/>
        <sz val="10"/>
        <rFont val="Times New Roman"/>
        <family val="1"/>
      </rPr>
      <t>b</t>
    </r>
    <r>
      <rPr>
        <sz val="10"/>
        <rFont val="Times New Roman"/>
        <family val="1"/>
      </rPr>
      <t>)/F</t>
    </r>
    <r>
      <rPr>
        <vertAlign val="subscript"/>
        <sz val="10"/>
        <rFont val="Times New Roman"/>
        <family val="1"/>
      </rPr>
      <t>y</t>
    </r>
  </si>
  <si>
    <r>
      <t>(1.8*π</t>
    </r>
    <r>
      <rPr>
        <vertAlign val="superscript"/>
        <sz val="10"/>
        <rFont val="Times New Roman"/>
        <family val="1"/>
      </rPr>
      <t>2</t>
    </r>
    <r>
      <rPr>
        <sz val="10"/>
        <rFont val="Times New Roman"/>
        <family val="1"/>
      </rPr>
      <t>*E*C</t>
    </r>
    <r>
      <rPr>
        <vertAlign val="subscript"/>
        <sz val="10"/>
        <rFont val="Times New Roman"/>
        <family val="1"/>
      </rPr>
      <t>b</t>
    </r>
    <r>
      <rPr>
        <sz val="10"/>
        <rFont val="Times New Roman"/>
        <family val="1"/>
      </rPr>
      <t>)/F</t>
    </r>
    <r>
      <rPr>
        <vertAlign val="subscript"/>
        <sz val="10"/>
        <rFont val="Times New Roman"/>
        <family val="1"/>
      </rPr>
      <t>y</t>
    </r>
  </si>
  <si>
    <r>
      <t>F</t>
    </r>
    <r>
      <rPr>
        <vertAlign val="subscript"/>
        <sz val="10"/>
        <color theme="1"/>
        <rFont val="Times New Roman"/>
        <family val="1"/>
      </rPr>
      <t>b</t>
    </r>
  </si>
  <si>
    <t>fcd for 350MPa</t>
  </si>
  <si>
    <t>x0</t>
  </si>
  <si>
    <r>
      <rPr>
        <b/>
        <sz val="10"/>
        <rFont val="Times New Roman"/>
        <family val="1"/>
      </rPr>
      <t xml:space="preserve">b) </t>
    </r>
    <r>
      <rPr>
        <sz val="10"/>
        <rFont val="Times New Roman"/>
        <family val="1"/>
      </rPr>
      <t>For point-symmetrical Z-shaped sections bent about the centroidal axis perpendicular to the web:</t>
    </r>
  </si>
  <si>
    <t>Cl. 6.3.(b)</t>
  </si>
  <si>
    <t>x1</t>
  </si>
  <si>
    <t>y0</t>
  </si>
  <si>
    <r>
      <t>when (L</t>
    </r>
    <r>
      <rPr>
        <vertAlign val="superscript"/>
        <sz val="10"/>
        <rFont val="Times New Roman"/>
        <family val="1"/>
      </rPr>
      <t>2</t>
    </r>
    <r>
      <rPr>
        <sz val="10"/>
        <rFont val="Times New Roman"/>
        <family val="1"/>
      </rPr>
      <t>*S</t>
    </r>
    <r>
      <rPr>
        <vertAlign val="subscript"/>
        <sz val="10"/>
        <rFont val="Times New Roman"/>
        <family val="1"/>
      </rPr>
      <t>xc</t>
    </r>
    <r>
      <rPr>
        <sz val="10"/>
        <rFont val="Times New Roman"/>
        <family val="1"/>
      </rPr>
      <t>)/(d*I</t>
    </r>
    <r>
      <rPr>
        <vertAlign val="subscript"/>
        <sz val="10"/>
        <rFont val="Times New Roman"/>
        <family val="1"/>
      </rPr>
      <t>yc</t>
    </r>
    <r>
      <rPr>
        <sz val="10"/>
        <rFont val="Times New Roman"/>
        <family val="1"/>
      </rPr>
      <t>) &gt; (0.18*π</t>
    </r>
    <r>
      <rPr>
        <vertAlign val="superscript"/>
        <sz val="10"/>
        <rFont val="Times New Roman"/>
        <family val="1"/>
      </rPr>
      <t>2</t>
    </r>
    <r>
      <rPr>
        <sz val="10"/>
        <rFont val="Times New Roman"/>
        <family val="1"/>
      </rPr>
      <t>*E*C</t>
    </r>
    <r>
      <rPr>
        <vertAlign val="subscript"/>
        <sz val="10"/>
        <rFont val="Times New Roman"/>
        <family val="1"/>
      </rPr>
      <t>b</t>
    </r>
    <r>
      <rPr>
        <sz val="10"/>
        <rFont val="Times New Roman"/>
        <family val="1"/>
      </rPr>
      <t>)/F</t>
    </r>
    <r>
      <rPr>
        <vertAlign val="subscript"/>
        <sz val="10"/>
        <rFont val="Times New Roman"/>
        <family val="1"/>
      </rPr>
      <t>y</t>
    </r>
    <r>
      <rPr>
        <sz val="10"/>
        <rFont val="Times New Roman"/>
        <family val="1"/>
      </rPr>
      <t xml:space="preserve"> but &lt; (0.9*π</t>
    </r>
    <r>
      <rPr>
        <vertAlign val="superscript"/>
        <sz val="10"/>
        <rFont val="Times New Roman"/>
        <family val="1"/>
      </rPr>
      <t>2</t>
    </r>
    <r>
      <rPr>
        <sz val="10"/>
        <rFont val="Times New Roman"/>
        <family val="1"/>
      </rPr>
      <t>*E*C</t>
    </r>
    <r>
      <rPr>
        <vertAlign val="subscript"/>
        <sz val="10"/>
        <rFont val="Times New Roman"/>
        <family val="1"/>
      </rPr>
      <t>b</t>
    </r>
    <r>
      <rPr>
        <sz val="10"/>
        <rFont val="Times New Roman"/>
        <family val="1"/>
      </rPr>
      <t>)/F</t>
    </r>
    <r>
      <rPr>
        <vertAlign val="subscript"/>
        <sz val="10"/>
        <rFont val="Times New Roman"/>
        <family val="1"/>
      </rPr>
      <t>y</t>
    </r>
  </si>
  <si>
    <t>y1</t>
  </si>
  <si>
    <t>y</t>
  </si>
  <si>
    <r>
      <t>when (L</t>
    </r>
    <r>
      <rPr>
        <vertAlign val="superscript"/>
        <sz val="10"/>
        <rFont val="Times New Roman"/>
        <family val="1"/>
      </rPr>
      <t>2</t>
    </r>
    <r>
      <rPr>
        <sz val="10"/>
        <rFont val="Times New Roman"/>
        <family val="1"/>
      </rPr>
      <t>*S</t>
    </r>
    <r>
      <rPr>
        <vertAlign val="subscript"/>
        <sz val="10"/>
        <rFont val="Times New Roman"/>
        <family val="1"/>
      </rPr>
      <t>xc</t>
    </r>
    <r>
      <rPr>
        <sz val="10"/>
        <rFont val="Times New Roman"/>
        <family val="1"/>
      </rPr>
      <t>)/(d*I</t>
    </r>
    <r>
      <rPr>
        <vertAlign val="subscript"/>
        <sz val="10"/>
        <rFont val="Times New Roman"/>
        <family val="1"/>
      </rPr>
      <t>yc</t>
    </r>
    <r>
      <rPr>
        <sz val="10"/>
        <rFont val="Times New Roman"/>
        <family val="1"/>
      </rPr>
      <t>) &gt;= (0.9*π</t>
    </r>
    <r>
      <rPr>
        <vertAlign val="superscript"/>
        <sz val="10"/>
        <rFont val="Times New Roman"/>
        <family val="1"/>
      </rPr>
      <t>2</t>
    </r>
    <r>
      <rPr>
        <sz val="10"/>
        <rFont val="Times New Roman"/>
        <family val="1"/>
      </rPr>
      <t>*E*C</t>
    </r>
    <r>
      <rPr>
        <vertAlign val="subscript"/>
        <sz val="10"/>
        <rFont val="Times New Roman"/>
        <family val="1"/>
      </rPr>
      <t>b</t>
    </r>
    <r>
      <rPr>
        <sz val="10"/>
        <rFont val="Times New Roman"/>
        <family val="1"/>
      </rPr>
      <t>)/F</t>
    </r>
    <r>
      <rPr>
        <vertAlign val="subscript"/>
        <sz val="10"/>
        <rFont val="Times New Roman"/>
        <family val="1"/>
      </rPr>
      <t>y</t>
    </r>
  </si>
  <si>
    <r>
      <t>(0.18*π</t>
    </r>
    <r>
      <rPr>
        <vertAlign val="superscript"/>
        <sz val="10"/>
        <rFont val="Times New Roman"/>
        <family val="1"/>
      </rPr>
      <t>2</t>
    </r>
    <r>
      <rPr>
        <sz val="10"/>
        <rFont val="Times New Roman"/>
        <family val="1"/>
      </rPr>
      <t>*E*C</t>
    </r>
    <r>
      <rPr>
        <vertAlign val="subscript"/>
        <sz val="10"/>
        <rFont val="Times New Roman"/>
        <family val="1"/>
      </rPr>
      <t>b</t>
    </r>
    <r>
      <rPr>
        <sz val="10"/>
        <rFont val="Times New Roman"/>
        <family val="1"/>
      </rPr>
      <t>)/F</t>
    </r>
    <r>
      <rPr>
        <vertAlign val="subscript"/>
        <sz val="10"/>
        <rFont val="Times New Roman"/>
        <family val="1"/>
      </rPr>
      <t>y</t>
    </r>
  </si>
  <si>
    <r>
      <t>(0.9*π</t>
    </r>
    <r>
      <rPr>
        <vertAlign val="superscript"/>
        <sz val="10"/>
        <rFont val="Times New Roman"/>
        <family val="1"/>
      </rPr>
      <t>2</t>
    </r>
    <r>
      <rPr>
        <sz val="10"/>
        <rFont val="Times New Roman"/>
        <family val="1"/>
      </rPr>
      <t>*E*C</t>
    </r>
    <r>
      <rPr>
        <vertAlign val="subscript"/>
        <sz val="10"/>
        <rFont val="Times New Roman"/>
        <family val="1"/>
      </rPr>
      <t>b</t>
    </r>
    <r>
      <rPr>
        <sz val="10"/>
        <rFont val="Times New Roman"/>
        <family val="1"/>
      </rPr>
      <t>)/F</t>
    </r>
    <r>
      <rPr>
        <vertAlign val="subscript"/>
        <sz val="10"/>
        <rFont val="Times New Roman"/>
        <family val="1"/>
      </rPr>
      <t>y</t>
    </r>
  </si>
  <si>
    <t>Actual compressive stress</t>
  </si>
  <si>
    <r>
      <t>F</t>
    </r>
    <r>
      <rPr>
        <vertAlign val="subscript"/>
        <sz val="10"/>
        <rFont val="Times New Roman"/>
        <family val="1"/>
      </rPr>
      <t>b,act</t>
    </r>
  </si>
  <si>
    <r>
      <t>F</t>
    </r>
    <r>
      <rPr>
        <vertAlign val="subscript"/>
        <sz val="10"/>
        <rFont val="Times New Roman"/>
        <family val="1"/>
      </rPr>
      <t>fx</t>
    </r>
    <r>
      <rPr>
        <sz val="10"/>
        <rFont val="Times New Roman"/>
        <family val="1"/>
      </rPr>
      <t xml:space="preserve"> / A</t>
    </r>
  </si>
  <si>
    <t>Shear Stresses in Webs</t>
  </si>
  <si>
    <t>Cl. 6.4.1</t>
  </si>
  <si>
    <t>The maximum avg. shear stress Fv on the gross area of a flat web is as follows:</t>
  </si>
  <si>
    <r>
      <rPr>
        <b/>
        <sz val="10"/>
        <rFont val="Times New Roman"/>
        <family val="1"/>
      </rPr>
      <t>a)</t>
    </r>
    <r>
      <rPr>
        <sz val="10"/>
        <rFont val="Times New Roman"/>
        <family val="1"/>
      </rPr>
      <t xml:space="preserve"> Fot h/t &lt;= 4590/</t>
    </r>
    <r>
      <rPr>
        <sz val="10"/>
        <rFont val="Calibri"/>
        <family val="2"/>
      </rPr>
      <t>√</t>
    </r>
    <r>
      <rPr>
        <sz val="10"/>
        <rFont val="Times New Roman"/>
        <family val="1"/>
      </rPr>
      <t>F</t>
    </r>
    <r>
      <rPr>
        <vertAlign val="subscript"/>
        <sz val="10"/>
        <rFont val="Times New Roman"/>
        <family val="1"/>
      </rPr>
      <t>y</t>
    </r>
  </si>
  <si>
    <r>
      <t>F</t>
    </r>
    <r>
      <rPr>
        <vertAlign val="subscript"/>
        <sz val="10"/>
        <rFont val="Times New Roman"/>
        <family val="1"/>
      </rPr>
      <t>v</t>
    </r>
  </si>
  <si>
    <r>
      <t>1275*√F</t>
    </r>
    <r>
      <rPr>
        <vertAlign val="subscript"/>
        <sz val="10"/>
        <rFont val="Times New Roman"/>
        <family val="1"/>
      </rPr>
      <t>y</t>
    </r>
    <r>
      <rPr>
        <sz val="10"/>
        <rFont val="Times New Roman"/>
        <family val="1"/>
      </rPr>
      <t xml:space="preserve"> / (h/t)</t>
    </r>
  </si>
  <si>
    <t>Cl. 6.4.1.(a)</t>
  </si>
  <si>
    <t>with max. of 0.40*Fy</t>
  </si>
  <si>
    <r>
      <rPr>
        <b/>
        <sz val="10"/>
        <rFont val="Times New Roman"/>
        <family val="1"/>
      </rPr>
      <t>b)</t>
    </r>
    <r>
      <rPr>
        <sz val="10"/>
        <rFont val="Times New Roman"/>
        <family val="1"/>
      </rPr>
      <t xml:space="preserve"> Fot h/t &gt; 4590/</t>
    </r>
    <r>
      <rPr>
        <sz val="10"/>
        <rFont val="Calibri"/>
        <family val="2"/>
      </rPr>
      <t>√</t>
    </r>
    <r>
      <rPr>
        <sz val="10"/>
        <rFont val="Times New Roman"/>
        <family val="1"/>
      </rPr>
      <t>F</t>
    </r>
    <r>
      <rPr>
        <vertAlign val="subscript"/>
        <sz val="10"/>
        <rFont val="Times New Roman"/>
        <family val="1"/>
      </rPr>
      <t>y</t>
    </r>
  </si>
  <si>
    <r>
      <t>5,850,000 / (h/t)</t>
    </r>
    <r>
      <rPr>
        <vertAlign val="superscript"/>
        <sz val="10"/>
        <rFont val="Times New Roman"/>
        <family val="1"/>
      </rPr>
      <t>2</t>
    </r>
  </si>
  <si>
    <t>Cl. 6.4.1.(b)</t>
  </si>
  <si>
    <t>Actual average shear stress</t>
  </si>
  <si>
    <r>
      <t>f</t>
    </r>
    <r>
      <rPr>
        <vertAlign val="subscript"/>
        <sz val="10"/>
        <rFont val="Times New Roman"/>
        <family val="1"/>
      </rPr>
      <t>v</t>
    </r>
  </si>
  <si>
    <r>
      <t>(√(F</t>
    </r>
    <r>
      <rPr>
        <vertAlign val="subscript"/>
        <sz val="10"/>
        <rFont val="Times New Roman"/>
        <family val="1"/>
      </rPr>
      <t>fy</t>
    </r>
    <r>
      <rPr>
        <vertAlign val="superscript"/>
        <sz val="10"/>
        <rFont val="Times New Roman"/>
        <family val="1"/>
      </rPr>
      <t>2</t>
    </r>
    <r>
      <rPr>
        <sz val="10"/>
        <rFont val="Times New Roman"/>
        <family val="1"/>
      </rPr>
      <t xml:space="preserve"> + F</t>
    </r>
    <r>
      <rPr>
        <vertAlign val="subscript"/>
        <sz val="10"/>
        <rFont val="Times New Roman"/>
        <family val="1"/>
      </rPr>
      <t>fz</t>
    </r>
    <r>
      <rPr>
        <vertAlign val="superscript"/>
        <sz val="10"/>
        <rFont val="Times New Roman"/>
        <family val="1"/>
      </rPr>
      <t>2</t>
    </r>
    <r>
      <rPr>
        <sz val="10"/>
        <rFont val="Times New Roman"/>
        <family val="1"/>
      </rPr>
      <t>)) /  (h*t)</t>
    </r>
  </si>
  <si>
    <t>Bending Stresses in Webs</t>
  </si>
  <si>
    <r>
      <t>The compressive stress F</t>
    </r>
    <r>
      <rPr>
        <vertAlign val="subscript"/>
        <sz val="10"/>
        <rFont val="Times New Roman"/>
        <family val="1"/>
      </rPr>
      <t>bw</t>
    </r>
    <r>
      <rPr>
        <sz val="10"/>
        <rFont val="Times New Roman"/>
        <family val="1"/>
      </rPr>
      <t xml:space="preserve">  in the flat web due to bending in its plane</t>
    </r>
  </si>
  <si>
    <r>
      <t>F</t>
    </r>
    <r>
      <rPr>
        <vertAlign val="subscript"/>
        <sz val="10"/>
        <rFont val="Times New Roman"/>
        <family val="1"/>
      </rPr>
      <t>bw</t>
    </r>
  </si>
  <si>
    <r>
      <t>36,560,000 / (h/t)</t>
    </r>
    <r>
      <rPr>
        <vertAlign val="superscript"/>
        <sz val="10"/>
        <rFont val="Times New Roman"/>
        <family val="1"/>
      </rPr>
      <t>2</t>
    </r>
  </si>
  <si>
    <t>Cl. 6.4.2</t>
  </si>
  <si>
    <t>but &lt;= F</t>
  </si>
  <si>
    <t>Actual compression stress at junction of flange and web</t>
  </si>
  <si>
    <r>
      <t>f</t>
    </r>
    <r>
      <rPr>
        <vertAlign val="subscript"/>
        <sz val="10"/>
        <rFont val="Times New Roman"/>
        <family val="1"/>
      </rPr>
      <t>bw</t>
    </r>
  </si>
  <si>
    <r>
      <t>M</t>
    </r>
    <r>
      <rPr>
        <vertAlign val="subscript"/>
        <sz val="10"/>
        <rFont val="Times New Roman"/>
        <family val="1"/>
      </rPr>
      <t>mz</t>
    </r>
    <r>
      <rPr>
        <sz val="10"/>
        <rFont val="Times New Roman"/>
        <family val="1"/>
      </rPr>
      <t xml:space="preserve"> / Z</t>
    </r>
    <r>
      <rPr>
        <vertAlign val="subscript"/>
        <sz val="10"/>
        <rFont val="Times New Roman"/>
        <family val="1"/>
      </rPr>
      <t>ez</t>
    </r>
  </si>
  <si>
    <t>Combined Bending and Shear Stresses in Webs</t>
  </si>
  <si>
    <t>Interaction equation</t>
  </si>
  <si>
    <t>Cl. 6.4.3</t>
  </si>
  <si>
    <t>&lt;= 1.0</t>
  </si>
  <si>
    <t>Web Crippling of Beams</t>
  </si>
  <si>
    <t>Cl. 6.5</t>
  </si>
  <si>
    <t>a) Beams having single unreinforced webs</t>
  </si>
  <si>
    <t>Cl. 6.5.(a)</t>
  </si>
  <si>
    <t>1) For end reactions or for concentrated loads on outer ends of cantilevers:</t>
  </si>
  <si>
    <t>For inside corner radius equal to or less than the thickness of sheet:</t>
  </si>
  <si>
    <r>
      <t>P</t>
    </r>
    <r>
      <rPr>
        <vertAlign val="subscript"/>
        <sz val="10"/>
        <rFont val="Times New Roman"/>
        <family val="1"/>
      </rPr>
      <t>max</t>
    </r>
  </si>
  <si>
    <r>
      <t>70*t</t>
    </r>
    <r>
      <rPr>
        <vertAlign val="superscript"/>
        <sz val="10"/>
        <rFont val="Times New Roman"/>
        <family val="1"/>
      </rPr>
      <t>2</t>
    </r>
    <r>
      <rPr>
        <sz val="10"/>
        <rFont val="Times New Roman"/>
        <family val="1"/>
      </rPr>
      <t xml:space="preserve"> * (98 + 4.2 * (N/t) - 0.022 * (N/t) * (h/t) - 0.011 * (h/t))*(1.33 - 0.33 * (F</t>
    </r>
    <r>
      <rPr>
        <vertAlign val="subscript"/>
        <sz val="10"/>
        <rFont val="Times New Roman"/>
        <family val="1"/>
      </rPr>
      <t>y</t>
    </r>
    <r>
      <rPr>
        <sz val="10"/>
        <rFont val="Times New Roman"/>
        <family val="1"/>
      </rPr>
      <t>/2320)) * (F</t>
    </r>
    <r>
      <rPr>
        <vertAlign val="subscript"/>
        <sz val="10"/>
        <rFont val="Times New Roman"/>
        <family val="1"/>
      </rPr>
      <t>y</t>
    </r>
    <r>
      <rPr>
        <sz val="10"/>
        <rFont val="Times New Roman"/>
        <family val="1"/>
      </rPr>
      <t>/2320)</t>
    </r>
  </si>
  <si>
    <t>Actual length of bearing</t>
  </si>
  <si>
    <t>N</t>
  </si>
  <si>
    <t>Inside bend radius</t>
  </si>
  <si>
    <t>R</t>
  </si>
  <si>
    <t>kg</t>
  </si>
  <si>
    <t>For other corner radii upto 4t,</t>
  </si>
  <si>
    <r>
      <t>P</t>
    </r>
    <r>
      <rPr>
        <vertAlign val="subscript"/>
        <sz val="10"/>
        <rFont val="Times New Roman"/>
        <family val="1"/>
      </rPr>
      <t>max</t>
    </r>
    <r>
      <rPr>
        <sz val="10"/>
        <rFont val="Times New Roman"/>
        <family val="1"/>
      </rPr>
      <t xml:space="preserve"> * (1.15-0.15*R/t)</t>
    </r>
  </si>
  <si>
    <t>Allowable concentrated load or reactions</t>
  </si>
  <si>
    <t>2) For end reactions interior supports or for concentrated loads located anywhere on the span:</t>
  </si>
  <si>
    <r>
      <t>70*t</t>
    </r>
    <r>
      <rPr>
        <vertAlign val="superscript"/>
        <sz val="10"/>
        <rFont val="Times New Roman"/>
        <family val="1"/>
      </rPr>
      <t>2</t>
    </r>
    <r>
      <rPr>
        <sz val="10"/>
        <rFont val="Times New Roman"/>
        <family val="1"/>
      </rPr>
      <t xml:space="preserve"> * (305 + 2.3 * (N/t) - 0.009 * (N/t) * (h/t) - 0.5 * (h/t))*(1.22 - 0.22 * (F</t>
    </r>
    <r>
      <rPr>
        <vertAlign val="subscript"/>
        <sz val="10"/>
        <rFont val="Times New Roman"/>
        <family val="1"/>
      </rPr>
      <t>y</t>
    </r>
    <r>
      <rPr>
        <sz val="10"/>
        <rFont val="Times New Roman"/>
        <family val="1"/>
      </rPr>
      <t>/2320)) * (F</t>
    </r>
    <r>
      <rPr>
        <vertAlign val="subscript"/>
        <sz val="10"/>
        <rFont val="Times New Roman"/>
        <family val="1"/>
      </rPr>
      <t>y</t>
    </r>
    <r>
      <rPr>
        <sz val="10"/>
        <rFont val="Times New Roman"/>
        <family val="1"/>
      </rPr>
      <t>/2320)</t>
    </r>
  </si>
  <si>
    <r>
      <t>P</t>
    </r>
    <r>
      <rPr>
        <vertAlign val="subscript"/>
        <sz val="10"/>
        <rFont val="Times New Roman"/>
        <family val="1"/>
      </rPr>
      <t>max</t>
    </r>
    <r>
      <rPr>
        <sz val="10"/>
        <rFont val="Times New Roman"/>
        <family val="1"/>
      </rPr>
      <t xml:space="preserve"> * (1.06-0.06*R/t)</t>
    </r>
  </si>
  <si>
    <t>For single unreinforced webs</t>
  </si>
  <si>
    <t>b) For I-beams made of two channels back to back or for similar sections which provide a high degree of restraint against rotation of the web, such as I-sections made by welding two angles to a channel:</t>
  </si>
  <si>
    <t>1) For end reactions or for concentrated loads on the outer ends of cantilevers:</t>
  </si>
  <si>
    <t>Cl. 6.5.(b)</t>
  </si>
  <si>
    <r>
      <t>t</t>
    </r>
    <r>
      <rPr>
        <vertAlign val="superscript"/>
        <sz val="10"/>
        <rFont val="Times New Roman"/>
        <family val="1"/>
      </rPr>
      <t>2</t>
    </r>
    <r>
      <rPr>
        <sz val="10"/>
        <rFont val="Times New Roman"/>
        <family val="1"/>
      </rPr>
      <t>*F</t>
    </r>
    <r>
      <rPr>
        <vertAlign val="subscript"/>
        <sz val="10"/>
        <rFont val="Times New Roman"/>
        <family val="1"/>
      </rPr>
      <t>y</t>
    </r>
    <r>
      <rPr>
        <sz val="10"/>
        <rFont val="Times New Roman"/>
        <family val="1"/>
      </rPr>
      <t>*(4.44+0.558*</t>
    </r>
    <r>
      <rPr>
        <sz val="10"/>
        <rFont val="Calibri"/>
        <family val="2"/>
      </rPr>
      <t>√</t>
    </r>
    <r>
      <rPr>
        <sz val="10"/>
        <rFont val="Times New Roman"/>
        <family val="1"/>
      </rPr>
      <t>(N/t)</t>
    </r>
  </si>
  <si>
    <r>
      <t>t</t>
    </r>
    <r>
      <rPr>
        <vertAlign val="superscript"/>
        <sz val="10"/>
        <rFont val="Times New Roman"/>
        <family val="1"/>
      </rPr>
      <t>2</t>
    </r>
    <r>
      <rPr>
        <sz val="10"/>
        <rFont val="Times New Roman"/>
        <family val="1"/>
      </rPr>
      <t>*F</t>
    </r>
    <r>
      <rPr>
        <vertAlign val="subscript"/>
        <sz val="10"/>
        <rFont val="Times New Roman"/>
        <family val="1"/>
      </rPr>
      <t>y</t>
    </r>
    <r>
      <rPr>
        <sz val="10"/>
        <rFont val="Times New Roman"/>
        <family val="1"/>
      </rPr>
      <t>*(6.66+1.146*</t>
    </r>
    <r>
      <rPr>
        <sz val="10"/>
        <rFont val="Calibri"/>
        <family val="2"/>
      </rPr>
      <t>√</t>
    </r>
    <r>
      <rPr>
        <sz val="10"/>
        <rFont val="Times New Roman"/>
        <family val="1"/>
      </rPr>
      <t>(N/t)</t>
    </r>
  </si>
  <si>
    <t>For I-beam webs</t>
  </si>
  <si>
    <t>Actual concentrated load or reactions</t>
  </si>
  <si>
    <t>P</t>
  </si>
  <si>
    <t>Axially Loaded Compression Members</t>
  </si>
  <si>
    <t>Cl. 6.6</t>
  </si>
  <si>
    <t>I) Shapes not subjected to torsional-flexural buckling</t>
  </si>
  <si>
    <t>Cl. 6.6.1.1</t>
  </si>
  <si>
    <t>Allowable avg. compression stress under concentric loading is given by:</t>
  </si>
  <si>
    <r>
      <t>if KL/r &lt; C</t>
    </r>
    <r>
      <rPr>
        <vertAlign val="subscript"/>
        <sz val="10"/>
        <rFont val="Times New Roman"/>
        <family val="1"/>
      </rPr>
      <t>c</t>
    </r>
    <r>
      <rPr>
        <sz val="10"/>
        <rFont val="Times New Roman"/>
        <family val="1"/>
      </rPr>
      <t>/</t>
    </r>
    <r>
      <rPr>
        <sz val="10"/>
        <rFont val="Calibri"/>
        <family val="2"/>
      </rPr>
      <t>√</t>
    </r>
    <r>
      <rPr>
        <sz val="10"/>
        <rFont val="Times New Roman"/>
        <family val="1"/>
      </rPr>
      <t>Q</t>
    </r>
  </si>
  <si>
    <r>
      <t>F</t>
    </r>
    <r>
      <rPr>
        <vertAlign val="subscript"/>
        <sz val="10"/>
        <rFont val="Times New Roman"/>
        <family val="1"/>
      </rPr>
      <t>a1</t>
    </r>
  </si>
  <si>
    <r>
      <t>C</t>
    </r>
    <r>
      <rPr>
        <vertAlign val="subscript"/>
        <sz val="10"/>
        <rFont val="Times New Roman"/>
        <family val="1"/>
      </rPr>
      <t>c</t>
    </r>
  </si>
  <si>
    <r>
      <t>√(2*</t>
    </r>
    <r>
      <rPr>
        <sz val="10"/>
        <rFont val="Calibri"/>
        <family val="2"/>
      </rPr>
      <t>π</t>
    </r>
    <r>
      <rPr>
        <vertAlign val="superscript"/>
        <sz val="10"/>
        <rFont val="Times New Roman"/>
        <family val="1"/>
      </rPr>
      <t>2</t>
    </r>
    <r>
      <rPr>
        <sz val="10"/>
        <rFont val="Times New Roman"/>
        <family val="1"/>
      </rPr>
      <t>*E/F</t>
    </r>
    <r>
      <rPr>
        <vertAlign val="subscript"/>
        <sz val="10"/>
        <rFont val="Times New Roman"/>
        <family val="1"/>
      </rPr>
      <t>y</t>
    </r>
    <r>
      <rPr>
        <sz val="10"/>
        <rFont val="Times New Roman"/>
        <family val="1"/>
      </rPr>
      <t>)</t>
    </r>
  </si>
  <si>
    <t>Total load</t>
  </si>
  <si>
    <t>Radius of gyration of full unreduced cross section</t>
  </si>
  <si>
    <t>About weaker axis</t>
  </si>
  <si>
    <t>Effective design area</t>
  </si>
  <si>
    <r>
      <t>A</t>
    </r>
    <r>
      <rPr>
        <vertAlign val="subscript"/>
        <sz val="10"/>
        <rFont val="Times New Roman"/>
        <family val="1"/>
      </rPr>
      <t>eff</t>
    </r>
  </si>
  <si>
    <t>Reduction factor</t>
  </si>
  <si>
    <t>Q</t>
  </si>
  <si>
    <r>
      <t>A</t>
    </r>
    <r>
      <rPr>
        <vertAlign val="subscript"/>
        <sz val="10"/>
        <rFont val="Times New Roman"/>
        <family val="1"/>
      </rPr>
      <t>eff</t>
    </r>
    <r>
      <rPr>
        <sz val="10"/>
        <rFont val="Times New Roman"/>
        <family val="1"/>
      </rPr>
      <t xml:space="preserve"> / A</t>
    </r>
  </si>
  <si>
    <t>Governing slenderness ratio</t>
  </si>
  <si>
    <r>
      <t>if KL/r &gt;= C</t>
    </r>
    <r>
      <rPr>
        <vertAlign val="subscript"/>
        <sz val="10"/>
        <rFont val="Times New Roman"/>
        <family val="1"/>
      </rPr>
      <t>c</t>
    </r>
    <r>
      <rPr>
        <sz val="10"/>
        <rFont val="Times New Roman"/>
        <family val="1"/>
      </rPr>
      <t>/</t>
    </r>
    <r>
      <rPr>
        <sz val="10"/>
        <rFont val="Calibri"/>
        <family val="2"/>
      </rPr>
      <t>√</t>
    </r>
    <r>
      <rPr>
        <sz val="10"/>
        <rFont val="Times New Roman"/>
        <family val="1"/>
      </rPr>
      <t>Q</t>
    </r>
  </si>
  <si>
    <t>Allowable avg. compression stress under concentric loading</t>
  </si>
  <si>
    <t>Actual compression stress under concentric loading</t>
  </si>
  <si>
    <r>
      <t>F</t>
    </r>
    <r>
      <rPr>
        <vertAlign val="subscript"/>
        <sz val="10"/>
        <rFont val="Times New Roman"/>
        <family val="1"/>
      </rPr>
      <t>a1,act</t>
    </r>
  </si>
  <si>
    <t>P / A</t>
  </si>
  <si>
    <t>Avg. axial stress</t>
  </si>
  <si>
    <r>
      <t>F</t>
    </r>
    <r>
      <rPr>
        <vertAlign val="subscript"/>
        <sz val="10"/>
        <rFont val="Times New Roman"/>
        <family val="1"/>
      </rPr>
      <t>x</t>
    </r>
    <r>
      <rPr>
        <sz val="10"/>
        <rFont val="Times New Roman"/>
        <family val="1"/>
      </rPr>
      <t xml:space="preserve"> / A</t>
    </r>
  </si>
  <si>
    <t>II) Singly-symmetric and non-symmetric shapes of open cross section or intermittently fastened singly symmetrical components of built-up shapes having Q=1.0 which may be subject to torsional flexural buckling</t>
  </si>
  <si>
    <t>Cl. 6.6.1.2</t>
  </si>
  <si>
    <r>
      <t xml:space="preserve">For </t>
    </r>
    <r>
      <rPr>
        <b/>
        <sz val="10"/>
        <rFont val="Calibri"/>
        <family val="2"/>
      </rPr>
      <t>σ</t>
    </r>
    <r>
      <rPr>
        <b/>
        <vertAlign val="subscript"/>
        <sz val="10"/>
        <rFont val="Times New Roman"/>
        <family val="1"/>
      </rPr>
      <t>TFO</t>
    </r>
    <r>
      <rPr>
        <b/>
        <sz val="10"/>
        <rFont val="Times New Roman"/>
        <family val="1"/>
      </rPr>
      <t xml:space="preserve"> &gt; 0.5*F</t>
    </r>
    <r>
      <rPr>
        <b/>
        <vertAlign val="subscript"/>
        <sz val="10"/>
        <rFont val="Times New Roman"/>
        <family val="1"/>
      </rPr>
      <t>y</t>
    </r>
  </si>
  <si>
    <r>
      <t>F</t>
    </r>
    <r>
      <rPr>
        <vertAlign val="subscript"/>
        <sz val="10"/>
        <rFont val="Times New Roman"/>
        <family val="1"/>
      </rPr>
      <t>a2</t>
    </r>
  </si>
  <si>
    <t>Elastic torsional-flexural buckling stress under concentric loading</t>
  </si>
  <si>
    <r>
      <rPr>
        <sz val="10"/>
        <rFont val="Calibri"/>
        <family val="2"/>
      </rPr>
      <t>σ</t>
    </r>
    <r>
      <rPr>
        <vertAlign val="subscript"/>
        <sz val="10"/>
        <rFont val="Times New Roman"/>
        <family val="1"/>
      </rPr>
      <t>TFO</t>
    </r>
    <r>
      <rPr>
        <b/>
        <sz val="10"/>
        <rFont val="Times New Roman"/>
        <family val="1"/>
      </rPr>
      <t/>
    </r>
  </si>
  <si>
    <t>a) Singly-symmetric shapes</t>
  </si>
  <si>
    <r>
      <t>1/(2*</t>
    </r>
    <r>
      <rPr>
        <sz val="10"/>
        <rFont val="Calibri"/>
        <family val="2"/>
      </rPr>
      <t>β</t>
    </r>
    <r>
      <rPr>
        <sz val="10"/>
        <rFont val="Times New Roman"/>
        <family val="1"/>
      </rPr>
      <t>) * ((</t>
    </r>
    <r>
      <rPr>
        <sz val="10"/>
        <rFont val="Calibri"/>
        <family val="2"/>
      </rPr>
      <t>σ</t>
    </r>
    <r>
      <rPr>
        <vertAlign val="subscript"/>
        <sz val="10"/>
        <rFont val="Times New Roman"/>
        <family val="1"/>
      </rPr>
      <t>ex</t>
    </r>
    <r>
      <rPr>
        <sz val="10"/>
        <rFont val="Times New Roman"/>
        <family val="1"/>
      </rPr>
      <t xml:space="preserve"> + σ</t>
    </r>
    <r>
      <rPr>
        <vertAlign val="subscript"/>
        <sz val="10"/>
        <rFont val="Times New Roman"/>
        <family val="1"/>
      </rPr>
      <t>t</t>
    </r>
    <r>
      <rPr>
        <sz val="10"/>
        <rFont val="Times New Roman"/>
        <family val="1"/>
      </rPr>
      <t xml:space="preserve">) - </t>
    </r>
    <r>
      <rPr>
        <sz val="10"/>
        <rFont val="Calibri"/>
        <family val="2"/>
      </rPr>
      <t>√</t>
    </r>
    <r>
      <rPr>
        <sz val="10"/>
        <rFont val="Times New Roman"/>
        <family val="1"/>
      </rPr>
      <t>((σ</t>
    </r>
    <r>
      <rPr>
        <vertAlign val="subscript"/>
        <sz val="10"/>
        <rFont val="Times New Roman"/>
        <family val="1"/>
      </rPr>
      <t>ex</t>
    </r>
    <r>
      <rPr>
        <sz val="10"/>
        <rFont val="Times New Roman"/>
        <family val="1"/>
      </rPr>
      <t xml:space="preserve"> + σ</t>
    </r>
    <r>
      <rPr>
        <vertAlign val="subscript"/>
        <sz val="10"/>
        <rFont val="Times New Roman"/>
        <family val="1"/>
      </rPr>
      <t>t</t>
    </r>
    <r>
      <rPr>
        <sz val="10"/>
        <rFont val="Times New Roman"/>
        <family val="1"/>
      </rPr>
      <t>)</t>
    </r>
    <r>
      <rPr>
        <vertAlign val="superscript"/>
        <sz val="10"/>
        <rFont val="Times New Roman"/>
        <family val="1"/>
      </rPr>
      <t>2</t>
    </r>
    <r>
      <rPr>
        <sz val="10"/>
        <rFont val="Times New Roman"/>
        <family val="1"/>
      </rPr>
      <t xml:space="preserve"> - (4*β*σ</t>
    </r>
    <r>
      <rPr>
        <vertAlign val="subscript"/>
        <sz val="10"/>
        <rFont val="Times New Roman"/>
        <family val="1"/>
      </rPr>
      <t>ex</t>
    </r>
    <r>
      <rPr>
        <sz val="10"/>
        <rFont val="Times New Roman"/>
        <family val="1"/>
      </rPr>
      <t>*σ</t>
    </r>
    <r>
      <rPr>
        <vertAlign val="subscript"/>
        <sz val="10"/>
        <rFont val="Times New Roman"/>
        <family val="1"/>
      </rPr>
      <t>t</t>
    </r>
    <r>
      <rPr>
        <sz val="10"/>
        <rFont val="Times New Roman"/>
        <family val="1"/>
      </rPr>
      <t>)))</t>
    </r>
  </si>
  <si>
    <t>β</t>
  </si>
  <si>
    <r>
      <t>1 - (x</t>
    </r>
    <r>
      <rPr>
        <vertAlign val="subscript"/>
        <sz val="10"/>
        <rFont val="Times New Roman"/>
        <family val="1"/>
      </rPr>
      <t>o</t>
    </r>
    <r>
      <rPr>
        <sz val="10"/>
        <rFont val="Times New Roman"/>
        <family val="1"/>
      </rPr>
      <t>/r</t>
    </r>
    <r>
      <rPr>
        <vertAlign val="subscript"/>
        <sz val="10"/>
        <rFont val="Times New Roman"/>
        <family val="1"/>
      </rPr>
      <t>o</t>
    </r>
    <r>
      <rPr>
        <sz val="10"/>
        <rFont val="Times New Roman"/>
        <family val="1"/>
      </rPr>
      <t>)</t>
    </r>
    <r>
      <rPr>
        <vertAlign val="superscript"/>
        <sz val="10"/>
        <rFont val="Times New Roman"/>
        <family val="1"/>
      </rPr>
      <t>2</t>
    </r>
  </si>
  <si>
    <r>
      <t>σ</t>
    </r>
    <r>
      <rPr>
        <vertAlign val="subscript"/>
        <sz val="10"/>
        <rFont val="Times New Roman"/>
        <family val="1"/>
      </rPr>
      <t>ex</t>
    </r>
  </si>
  <si>
    <r>
      <t>σ</t>
    </r>
    <r>
      <rPr>
        <vertAlign val="subscript"/>
        <sz val="10"/>
        <rFont val="Times New Roman"/>
        <family val="1"/>
      </rPr>
      <t>t</t>
    </r>
  </si>
  <si>
    <t>Polar radius of gyration of cross section about the shear centre</t>
  </si>
  <si>
    <r>
      <t>r</t>
    </r>
    <r>
      <rPr>
        <vertAlign val="subscript"/>
        <sz val="10"/>
        <rFont val="Times New Roman"/>
        <family val="1"/>
      </rPr>
      <t>o</t>
    </r>
  </si>
  <si>
    <r>
      <rPr>
        <sz val="10"/>
        <rFont val="Calibri"/>
        <family val="2"/>
      </rPr>
      <t>√</t>
    </r>
    <r>
      <rPr>
        <sz val="10"/>
        <rFont val="Times New Roman"/>
        <family val="1"/>
      </rPr>
      <t>(r</t>
    </r>
    <r>
      <rPr>
        <vertAlign val="subscript"/>
        <sz val="10"/>
        <rFont val="Times New Roman"/>
        <family val="1"/>
      </rPr>
      <t>z</t>
    </r>
    <r>
      <rPr>
        <vertAlign val="superscript"/>
        <sz val="10"/>
        <rFont val="Times New Roman"/>
        <family val="1"/>
      </rPr>
      <t>2</t>
    </r>
    <r>
      <rPr>
        <sz val="10"/>
        <rFont val="Times New Roman"/>
        <family val="1"/>
      </rPr>
      <t xml:space="preserve"> + r</t>
    </r>
    <r>
      <rPr>
        <vertAlign val="subscript"/>
        <sz val="10"/>
        <rFont val="Times New Roman"/>
        <family val="1"/>
      </rPr>
      <t>y</t>
    </r>
    <r>
      <rPr>
        <vertAlign val="superscript"/>
        <sz val="10"/>
        <rFont val="Times New Roman"/>
        <family val="1"/>
      </rPr>
      <t>2</t>
    </r>
    <r>
      <rPr>
        <sz val="10"/>
        <rFont val="Times New Roman"/>
        <family val="1"/>
      </rPr>
      <t xml:space="preserve"> + x</t>
    </r>
    <r>
      <rPr>
        <vertAlign val="subscript"/>
        <sz val="10"/>
        <rFont val="Times New Roman"/>
        <family val="1"/>
      </rPr>
      <t>o</t>
    </r>
    <r>
      <rPr>
        <vertAlign val="superscript"/>
        <sz val="10"/>
        <rFont val="Times New Roman"/>
        <family val="1"/>
      </rPr>
      <t>2</t>
    </r>
    <r>
      <rPr>
        <sz val="10"/>
        <rFont val="Times New Roman"/>
        <family val="1"/>
      </rPr>
      <t>)</t>
    </r>
  </si>
  <si>
    <t>Shear modulus</t>
  </si>
  <si>
    <t>G</t>
  </si>
  <si>
    <t>Distance from shear centre to centroid along principal z-z axis</t>
  </si>
  <si>
    <r>
      <t>x</t>
    </r>
    <r>
      <rPr>
        <vertAlign val="subscript"/>
        <sz val="10"/>
        <rFont val="Times New Roman"/>
        <family val="1"/>
      </rPr>
      <t>o</t>
    </r>
  </si>
  <si>
    <t>St. Venant torsion constant of the cross section</t>
  </si>
  <si>
    <t>J</t>
  </si>
  <si>
    <r>
      <t xml:space="preserve">1/3 * </t>
    </r>
    <r>
      <rPr>
        <sz val="10"/>
        <rFont val="Calibri"/>
        <family val="2"/>
      </rPr>
      <t>∑</t>
    </r>
    <r>
      <rPr>
        <sz val="10"/>
        <rFont val="Times New Roman"/>
        <family val="1"/>
      </rPr>
      <t xml:space="preserve"> (l</t>
    </r>
    <r>
      <rPr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*t</t>
    </r>
    <r>
      <rPr>
        <vertAlign val="subscript"/>
        <sz val="10"/>
        <rFont val="Times New Roman"/>
        <family val="1"/>
      </rPr>
      <t>i</t>
    </r>
    <r>
      <rPr>
        <vertAlign val="superscript"/>
        <sz val="10"/>
        <rFont val="Times New Roman"/>
        <family val="1"/>
      </rPr>
      <t>3</t>
    </r>
    <r>
      <rPr>
        <sz val="10"/>
        <rFont val="Times New Roman"/>
        <family val="1"/>
      </rPr>
      <t>)</t>
    </r>
  </si>
  <si>
    <t>Steel thickness of the member for segment i</t>
  </si>
  <si>
    <r>
      <t>t</t>
    </r>
    <r>
      <rPr>
        <vertAlign val="subscript"/>
        <sz val="10"/>
        <rFont val="Times New Roman"/>
        <family val="1"/>
      </rPr>
      <t>i</t>
    </r>
  </si>
  <si>
    <t>Length of middle line of segment i</t>
  </si>
  <si>
    <r>
      <t>l</t>
    </r>
    <r>
      <rPr>
        <vertAlign val="subscript"/>
        <sz val="10"/>
        <rFont val="Times New Roman"/>
        <family val="1"/>
      </rPr>
      <t>i</t>
    </r>
  </si>
  <si>
    <t>Warping constant of torsion of the cross section</t>
  </si>
  <si>
    <r>
      <t>cm</t>
    </r>
    <r>
      <rPr>
        <vertAlign val="superscript"/>
        <sz val="10"/>
        <rFont val="Times New Roman"/>
        <family val="1"/>
      </rPr>
      <t>6</t>
    </r>
  </si>
  <si>
    <t>b) Non-symmetric shapes</t>
  </si>
  <si>
    <r>
      <rPr>
        <sz val="10"/>
        <rFont val="Calibri"/>
        <family val="2"/>
      </rPr>
      <t>σ</t>
    </r>
    <r>
      <rPr>
        <vertAlign val="subscript"/>
        <sz val="10"/>
        <rFont val="Times New Roman"/>
        <family val="1"/>
      </rPr>
      <t>TFO</t>
    </r>
    <r>
      <rPr>
        <sz val="10"/>
        <rFont val="Times New Roman"/>
        <family val="1"/>
      </rPr>
      <t xml:space="preserve"> shall be determined by rational analysis</t>
    </r>
  </si>
  <si>
    <r>
      <t xml:space="preserve">For </t>
    </r>
    <r>
      <rPr>
        <b/>
        <sz val="10"/>
        <rFont val="Calibri"/>
        <family val="2"/>
      </rPr>
      <t>σ</t>
    </r>
    <r>
      <rPr>
        <b/>
        <vertAlign val="subscript"/>
        <sz val="10"/>
        <rFont val="Times New Roman"/>
        <family val="1"/>
      </rPr>
      <t>TFO</t>
    </r>
    <r>
      <rPr>
        <b/>
        <sz val="10"/>
        <rFont val="Times New Roman"/>
        <family val="1"/>
      </rPr>
      <t xml:space="preserve"> &lt;= 0.5*F</t>
    </r>
    <r>
      <rPr>
        <b/>
        <vertAlign val="subscript"/>
        <sz val="10"/>
        <rFont val="Times New Roman"/>
        <family val="1"/>
      </rPr>
      <t>y</t>
    </r>
  </si>
  <si>
    <r>
      <t>0.522 * σ</t>
    </r>
    <r>
      <rPr>
        <vertAlign val="subscript"/>
        <sz val="10"/>
        <rFont val="Times New Roman"/>
        <family val="1"/>
      </rPr>
      <t>TFO</t>
    </r>
  </si>
  <si>
    <t>III) Singly-symmetric and non-symmetric shapes of open cross section or intermittently fastened singly symmetrical components of built-up shapes having Q&lt;1.0 which may be subject to torsional flexural buckling</t>
  </si>
  <si>
    <t>Cl. 6.6.1.3</t>
  </si>
  <si>
    <r>
      <t>(0.522*Q*F</t>
    </r>
    <r>
      <rPr>
        <vertAlign val="subscript"/>
        <sz val="10"/>
        <rFont val="Times New Roman"/>
        <family val="1"/>
      </rPr>
      <t>y</t>
    </r>
    <r>
      <rPr>
        <sz val="10"/>
        <rFont val="Times New Roman"/>
        <family val="1"/>
      </rPr>
      <t>) - ((Q*Fy)</t>
    </r>
    <r>
      <rPr>
        <vertAlign val="superscript"/>
        <sz val="10"/>
        <rFont val="Times New Roman"/>
        <family val="1"/>
      </rPr>
      <t>2</t>
    </r>
    <r>
      <rPr>
        <sz val="10"/>
        <rFont val="Times New Roman"/>
        <family val="1"/>
      </rPr>
      <t>/(7.67*σTFO</t>
    </r>
  </si>
  <si>
    <t>Max. slenderness ratio</t>
  </si>
  <si>
    <t>Combined Axial and Bending Stresses</t>
  </si>
  <si>
    <t>Cl. 6.7</t>
  </si>
  <si>
    <t>I) Doubly-Symmetric shapes or shapes not subject to torsional or torsional-flexural buckling</t>
  </si>
  <si>
    <t>Cl. 6.7.1</t>
  </si>
  <si>
    <t>&amp;</t>
  </si>
  <si>
    <t>Axial stress</t>
  </si>
  <si>
    <r>
      <t>f</t>
    </r>
    <r>
      <rPr>
        <vertAlign val="subscript"/>
        <sz val="10"/>
        <rFont val="Times New Roman"/>
        <family val="1"/>
      </rPr>
      <t>a</t>
    </r>
  </si>
  <si>
    <t>Allowable compression stress under concentric loading for buckling in the plane of symmetry</t>
  </si>
  <si>
    <t>Co-efficient</t>
  </si>
  <si>
    <r>
      <t>C</t>
    </r>
    <r>
      <rPr>
        <vertAlign val="subscript"/>
        <sz val="10"/>
        <rFont val="Times New Roman"/>
        <family val="1"/>
      </rPr>
      <t>mx</t>
    </r>
  </si>
  <si>
    <r>
      <t>C</t>
    </r>
    <r>
      <rPr>
        <vertAlign val="subscript"/>
        <sz val="10"/>
        <rFont val="Times New Roman"/>
        <family val="1"/>
      </rPr>
      <t>my</t>
    </r>
  </si>
  <si>
    <t>Max. bending stress acting about z-z axis</t>
  </si>
  <si>
    <r>
      <t>f</t>
    </r>
    <r>
      <rPr>
        <vertAlign val="subscript"/>
        <sz val="10"/>
        <rFont val="Times New Roman"/>
        <family val="1"/>
      </rPr>
      <t>bx</t>
    </r>
  </si>
  <si>
    <t>Max. bending stress acting about y-y axis</t>
  </si>
  <si>
    <r>
      <t>f</t>
    </r>
    <r>
      <rPr>
        <vertAlign val="subscript"/>
        <sz val="10"/>
        <rFont val="Times New Roman"/>
        <family val="1"/>
      </rPr>
      <t>by</t>
    </r>
  </si>
  <si>
    <r>
      <t>M</t>
    </r>
    <r>
      <rPr>
        <vertAlign val="subscript"/>
        <sz val="10"/>
        <rFont val="Times New Roman"/>
        <family val="1"/>
      </rPr>
      <t>my</t>
    </r>
    <r>
      <rPr>
        <sz val="10"/>
        <rFont val="Times New Roman"/>
        <family val="1"/>
      </rPr>
      <t xml:space="preserve"> / Z</t>
    </r>
    <r>
      <rPr>
        <vertAlign val="subscript"/>
        <sz val="10"/>
        <rFont val="Times New Roman"/>
        <family val="1"/>
      </rPr>
      <t>ey</t>
    </r>
  </si>
  <si>
    <t>Max. bending stress permitted about z-z axis</t>
  </si>
  <si>
    <r>
      <t>F</t>
    </r>
    <r>
      <rPr>
        <vertAlign val="subscript"/>
        <sz val="10"/>
        <rFont val="Times New Roman"/>
        <family val="1"/>
      </rPr>
      <t>bx</t>
    </r>
  </si>
  <si>
    <t>Max. bending stress permitted about y-y axis</t>
  </si>
  <si>
    <r>
      <t>F</t>
    </r>
    <r>
      <rPr>
        <vertAlign val="subscript"/>
        <sz val="10"/>
        <rFont val="Times New Roman"/>
        <family val="1"/>
      </rPr>
      <t>by</t>
    </r>
  </si>
  <si>
    <r>
      <t>F'</t>
    </r>
    <r>
      <rPr>
        <vertAlign val="subscript"/>
        <sz val="10"/>
        <rFont val="Times New Roman"/>
        <family val="1"/>
      </rPr>
      <t>ex</t>
    </r>
  </si>
  <si>
    <r>
      <t>12*</t>
    </r>
    <r>
      <rPr>
        <sz val="10"/>
        <rFont val="Calibri"/>
        <family val="2"/>
      </rPr>
      <t>π</t>
    </r>
    <r>
      <rPr>
        <vertAlign val="superscript"/>
        <sz val="10"/>
        <rFont val="Times New Roman"/>
        <family val="1"/>
      </rPr>
      <t>2</t>
    </r>
    <r>
      <rPr>
        <sz val="10"/>
        <rFont val="Times New Roman"/>
        <family val="1"/>
      </rPr>
      <t>*E/(23*(K*L</t>
    </r>
    <r>
      <rPr>
        <vertAlign val="subscript"/>
        <sz val="10"/>
        <rFont val="Times New Roman"/>
        <family val="1"/>
      </rPr>
      <t>z</t>
    </r>
    <r>
      <rPr>
        <sz val="10"/>
        <rFont val="Times New Roman"/>
        <family val="1"/>
      </rPr>
      <t>/r</t>
    </r>
    <r>
      <rPr>
        <vertAlign val="subscript"/>
        <sz val="10"/>
        <rFont val="Times New Roman"/>
        <family val="1"/>
      </rPr>
      <t>z</t>
    </r>
    <r>
      <rPr>
        <sz val="10"/>
        <rFont val="Times New Roman"/>
        <family val="1"/>
      </rPr>
      <t>)</t>
    </r>
    <r>
      <rPr>
        <vertAlign val="superscript"/>
        <sz val="10"/>
        <rFont val="Times New Roman"/>
        <family val="1"/>
      </rPr>
      <t>2</t>
    </r>
    <r>
      <rPr>
        <sz val="10"/>
        <rFont val="Times New Roman"/>
        <family val="1"/>
      </rPr>
      <t>)</t>
    </r>
  </si>
  <si>
    <r>
      <t>F'</t>
    </r>
    <r>
      <rPr>
        <vertAlign val="subscript"/>
        <sz val="10"/>
        <rFont val="Times New Roman"/>
        <family val="1"/>
      </rPr>
      <t>ey</t>
    </r>
  </si>
  <si>
    <r>
      <t>12*</t>
    </r>
    <r>
      <rPr>
        <sz val="10"/>
        <rFont val="Calibri"/>
        <family val="2"/>
      </rPr>
      <t>π</t>
    </r>
    <r>
      <rPr>
        <vertAlign val="superscript"/>
        <sz val="10"/>
        <rFont val="Times New Roman"/>
        <family val="1"/>
      </rPr>
      <t>2</t>
    </r>
    <r>
      <rPr>
        <sz val="10"/>
        <rFont val="Times New Roman"/>
        <family val="1"/>
      </rPr>
      <t>*E/(23*(K*L</t>
    </r>
    <r>
      <rPr>
        <vertAlign val="subscript"/>
        <sz val="10"/>
        <rFont val="Times New Roman"/>
        <family val="1"/>
      </rPr>
      <t>y</t>
    </r>
    <r>
      <rPr>
        <sz val="10"/>
        <rFont val="Times New Roman"/>
        <family val="1"/>
      </rPr>
      <t>/r</t>
    </r>
    <r>
      <rPr>
        <vertAlign val="subscript"/>
        <sz val="10"/>
        <rFont val="Times New Roman"/>
        <family val="1"/>
      </rPr>
      <t>y</t>
    </r>
    <r>
      <rPr>
        <sz val="10"/>
        <rFont val="Times New Roman"/>
        <family val="1"/>
      </rPr>
      <t>)</t>
    </r>
    <r>
      <rPr>
        <vertAlign val="superscript"/>
        <sz val="10"/>
        <rFont val="Times New Roman"/>
        <family val="1"/>
      </rPr>
      <t>2</t>
    </r>
    <r>
      <rPr>
        <sz val="10"/>
        <rFont val="Times New Roman"/>
        <family val="1"/>
      </rPr>
      <t>)</t>
    </r>
  </si>
  <si>
    <t>Allowable compression stress under concentric loading for L=0</t>
  </si>
  <si>
    <r>
      <t>F</t>
    </r>
    <r>
      <rPr>
        <vertAlign val="subscript"/>
        <sz val="10"/>
        <rFont val="Times New Roman"/>
        <family val="1"/>
      </rPr>
      <t>a0</t>
    </r>
  </si>
  <si>
    <t>Max. bending stress in compression about z-z axis permitted where only bending stress exists  with lateral buckling excluded</t>
  </si>
  <si>
    <r>
      <t>F</t>
    </r>
    <r>
      <rPr>
        <vertAlign val="subscript"/>
        <sz val="10"/>
        <rFont val="Times New Roman"/>
        <family val="1"/>
      </rPr>
      <t>b1x</t>
    </r>
  </si>
  <si>
    <t>Max. bending stress in compression about y-y axis permitted where only bending stress exists  with lateral buckling excluded</t>
  </si>
  <si>
    <r>
      <t>F</t>
    </r>
    <r>
      <rPr>
        <vertAlign val="subscript"/>
        <sz val="10"/>
        <rFont val="Times New Roman"/>
        <family val="1"/>
      </rPr>
      <t>b1y</t>
    </r>
  </si>
  <si>
    <r>
      <t>when f</t>
    </r>
    <r>
      <rPr>
        <vertAlign val="subscript"/>
        <sz val="10"/>
        <rFont val="Times New Roman"/>
        <family val="1"/>
      </rPr>
      <t>a</t>
    </r>
    <r>
      <rPr>
        <sz val="10"/>
        <rFont val="Times New Roman"/>
        <family val="1"/>
      </rPr>
      <t>/F</t>
    </r>
    <r>
      <rPr>
        <vertAlign val="subscript"/>
        <sz val="10"/>
        <rFont val="Times New Roman"/>
        <family val="1"/>
      </rPr>
      <t>a1</t>
    </r>
    <r>
      <rPr>
        <sz val="10"/>
        <rFont val="Times New Roman"/>
        <family val="1"/>
      </rPr>
      <t xml:space="preserve"> &lt;= 0.15,</t>
    </r>
  </si>
  <si>
    <t>for doubly symmetric shapes</t>
  </si>
  <si>
    <t>Cl. 6.7.2</t>
  </si>
  <si>
    <t>a)</t>
  </si>
</sst>
</file>

<file path=xl/styles.xml><?xml version="1.0" encoding="utf-8"?>
<styleSheet xmlns="http://schemas.openxmlformats.org/spreadsheetml/2006/main">
  <numFmts count="5">
    <numFmt numFmtId="164" formatCode="0.0"/>
    <numFmt numFmtId="165" formatCode="0.000"/>
    <numFmt numFmtId="166" formatCode="0.000000"/>
    <numFmt numFmtId="167" formatCode="0.0000"/>
    <numFmt numFmtId="168" formatCode="0.00000"/>
  </numFmts>
  <fonts count="19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Times New Roman"/>
      <family val="1"/>
    </font>
    <font>
      <sz val="10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u/>
      <sz val="10"/>
      <name val="Times New Roman"/>
      <family val="1"/>
    </font>
    <font>
      <sz val="10"/>
      <color rgb="FFFF0000"/>
      <name val="Times New Roman"/>
      <family val="1"/>
    </font>
    <font>
      <vertAlign val="subscript"/>
      <sz val="10"/>
      <name val="Times New Roman"/>
      <family val="1"/>
    </font>
    <font>
      <b/>
      <sz val="10"/>
      <color rgb="FFFF0000"/>
      <name val="Times New Roman"/>
      <family val="1"/>
    </font>
    <font>
      <vertAlign val="superscript"/>
      <sz val="10"/>
      <name val="Times New Roman"/>
      <family val="1"/>
    </font>
    <font>
      <b/>
      <sz val="10"/>
      <color rgb="FFFFFF00"/>
      <name val="Times New Roman"/>
      <family val="1"/>
    </font>
    <font>
      <vertAlign val="subscript"/>
      <sz val="10"/>
      <color theme="1"/>
      <name val="Times New Roman"/>
      <family val="1"/>
    </font>
    <font>
      <vertAlign val="superscript"/>
      <sz val="10"/>
      <color theme="1"/>
      <name val="Times New Roman"/>
      <family val="1"/>
    </font>
    <font>
      <sz val="10"/>
      <name val="Calibri"/>
      <family val="2"/>
    </font>
    <font>
      <b/>
      <sz val="10"/>
      <color theme="3"/>
      <name val="Times New Roman"/>
      <family val="1"/>
    </font>
    <font>
      <b/>
      <sz val="10"/>
      <name val="Calibri"/>
      <family val="2"/>
    </font>
    <font>
      <b/>
      <vertAlign val="subscript"/>
      <sz val="1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0">
    <xf numFmtId="0" fontId="0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311">
    <xf numFmtId="0" fontId="0" fillId="0" borderId="0" xfId="0"/>
    <xf numFmtId="0" fontId="3" fillId="0" borderId="4" xfId="0" applyFont="1" applyBorder="1" applyAlignment="1">
      <alignment vertical="center"/>
    </xf>
    <xf numFmtId="0" fontId="4" fillId="0" borderId="0" xfId="0" applyFont="1" applyBorder="1" applyAlignment="1">
      <alignment horizontal="left"/>
    </xf>
    <xf numFmtId="14" fontId="3" fillId="0" borderId="4" xfId="0" applyNumberFormat="1" applyFont="1" applyFill="1" applyBorder="1" applyAlignment="1">
      <alignment horizontal="left" vertical="center"/>
    </xf>
    <xf numFmtId="0" fontId="3" fillId="0" borderId="4" xfId="0" applyFont="1" applyBorder="1" applyAlignment="1">
      <alignment horizontal="right" vertical="center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left" vertical="center"/>
    </xf>
    <xf numFmtId="0" fontId="4" fillId="2" borderId="0" xfId="0" applyFont="1" applyFill="1" applyBorder="1" applyAlignment="1">
      <alignment horizontal="left"/>
    </xf>
    <xf numFmtId="0" fontId="5" fillId="0" borderId="0" xfId="1" applyFont="1"/>
    <xf numFmtId="0" fontId="4" fillId="0" borderId="1" xfId="0" applyFont="1" applyBorder="1" applyAlignment="1">
      <alignment horizontal="center" wrapText="1"/>
    </xf>
    <xf numFmtId="0" fontId="4" fillId="0" borderId="3" xfId="0" applyFont="1" applyBorder="1" applyAlignment="1">
      <alignment horizontal="center" wrapText="1"/>
    </xf>
    <xf numFmtId="0" fontId="4" fillId="0" borderId="3" xfId="0" applyFont="1" applyBorder="1" applyAlignment="1">
      <alignment horizontal="right" wrapText="1"/>
    </xf>
    <xf numFmtId="0" fontId="4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wrapText="1"/>
    </xf>
    <xf numFmtId="0" fontId="4" fillId="0" borderId="2" xfId="0" applyFont="1" applyBorder="1" applyAlignment="1">
      <alignment horizontal="center" wrapText="1"/>
    </xf>
    <xf numFmtId="0" fontId="4" fillId="0" borderId="1" xfId="0" applyFont="1" applyBorder="1" applyAlignment="1">
      <alignment horizontal="left"/>
    </xf>
    <xf numFmtId="0" fontId="4" fillId="0" borderId="0" xfId="0" applyFont="1"/>
    <xf numFmtId="0" fontId="6" fillId="0" borderId="0" xfId="1" applyFont="1"/>
    <xf numFmtId="0" fontId="3" fillId="0" borderId="0" xfId="0" applyFont="1" applyBorder="1" applyAlignment="1">
      <alignment horizontal="left"/>
    </xf>
    <xf numFmtId="0" fontId="4" fillId="0" borderId="0" xfId="0" applyFont="1" applyBorder="1" applyAlignment="1">
      <alignment horizontal="right"/>
    </xf>
    <xf numFmtId="2" fontId="3" fillId="0" borderId="0" xfId="0" applyNumberFormat="1" applyFont="1" applyBorder="1" applyAlignment="1">
      <alignment horizontal="right"/>
    </xf>
    <xf numFmtId="2" fontId="4" fillId="0" borderId="0" xfId="0" applyNumberFormat="1" applyFont="1" applyBorder="1" applyAlignment="1">
      <alignment horizontal="right"/>
    </xf>
    <xf numFmtId="164" fontId="3" fillId="0" borderId="5" xfId="0" applyNumberFormat="1" applyFont="1" applyBorder="1" applyAlignment="1">
      <alignment horizontal="right"/>
    </xf>
    <xf numFmtId="0" fontId="7" fillId="0" borderId="0" xfId="0" applyFont="1" applyBorder="1" applyAlignment="1">
      <alignment horizontal="left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/>
    <xf numFmtId="0" fontId="4" fillId="0" borderId="6" xfId="0" applyFont="1" applyBorder="1" applyAlignment="1">
      <alignment horizontal="left"/>
    </xf>
    <xf numFmtId="0" fontId="4" fillId="0" borderId="5" xfId="0" applyFont="1" applyBorder="1" applyAlignment="1">
      <alignment horizontal="left"/>
    </xf>
    <xf numFmtId="2" fontId="4" fillId="0" borderId="0" xfId="0" applyNumberFormat="1" applyFont="1"/>
    <xf numFmtId="0" fontId="4" fillId="0" borderId="0" xfId="0" applyFont="1" applyBorder="1" applyAlignment="1">
      <alignment horizontal="right" vertical="center"/>
    </xf>
    <xf numFmtId="2" fontId="8" fillId="0" borderId="0" xfId="0" applyNumberFormat="1" applyFont="1" applyBorder="1" applyAlignment="1"/>
    <xf numFmtId="2" fontId="8" fillId="0" borderId="6" xfId="0" applyNumberFormat="1" applyFont="1" applyBorder="1" applyAlignment="1"/>
    <xf numFmtId="0" fontId="5" fillId="0" borderId="0" xfId="1" applyFont="1" applyAlignment="1">
      <alignment horizontal="right"/>
    </xf>
    <xf numFmtId="165" fontId="5" fillId="0" borderId="0" xfId="1" applyNumberFormat="1" applyFont="1"/>
    <xf numFmtId="2" fontId="8" fillId="0" borderId="6" xfId="0" applyNumberFormat="1" applyFont="1" applyBorder="1" applyAlignment="1">
      <alignment horizontal="left"/>
    </xf>
    <xf numFmtId="0" fontId="3" fillId="0" borderId="0" xfId="0" applyFont="1" applyBorder="1" applyAlignment="1">
      <alignment horizontal="right"/>
    </xf>
    <xf numFmtId="0" fontId="3" fillId="0" borderId="0" xfId="0" applyFont="1" applyBorder="1" applyAlignment="1"/>
    <xf numFmtId="0" fontId="3" fillId="0" borderId="6" xfId="0" applyFont="1" applyBorder="1" applyAlignment="1"/>
    <xf numFmtId="164" fontId="3" fillId="0" borderId="5" xfId="0" applyNumberFormat="1" applyFont="1" applyBorder="1" applyAlignment="1">
      <alignment horizontal="left"/>
    </xf>
    <xf numFmtId="1" fontId="8" fillId="2" borderId="0" xfId="0" applyNumberFormat="1" applyFont="1" applyFill="1" applyBorder="1" applyAlignment="1"/>
    <xf numFmtId="2" fontId="4" fillId="2" borderId="0" xfId="0" applyNumberFormat="1" applyFont="1" applyFill="1" applyBorder="1" applyAlignment="1"/>
    <xf numFmtId="0" fontId="4" fillId="2" borderId="6" xfId="0" applyFont="1" applyFill="1" applyBorder="1" applyAlignment="1"/>
    <xf numFmtId="0" fontId="4" fillId="0" borderId="0" xfId="0" applyFont="1" applyBorder="1" applyAlignment="1">
      <alignment horizontal="left" wrapText="1"/>
    </xf>
    <xf numFmtId="2" fontId="4" fillId="0" borderId="0" xfId="0" applyNumberFormat="1" applyFont="1" applyBorder="1" applyAlignment="1"/>
    <xf numFmtId="0" fontId="4" fillId="0" borderId="6" xfId="0" applyFont="1" applyBorder="1" applyAlignment="1"/>
    <xf numFmtId="0" fontId="4" fillId="0" borderId="0" xfId="0" applyFont="1" applyBorder="1" applyAlignment="1">
      <alignment horizontal="left" vertical="center"/>
    </xf>
    <xf numFmtId="1" fontId="8" fillId="0" borderId="0" xfId="0" applyNumberFormat="1" applyFont="1" applyBorder="1" applyAlignment="1">
      <alignment horizontal="right"/>
    </xf>
    <xf numFmtId="1" fontId="8" fillId="0" borderId="6" xfId="0" applyNumberFormat="1" applyFont="1" applyBorder="1" applyAlignment="1">
      <alignment horizontal="right"/>
    </xf>
    <xf numFmtId="1" fontId="10" fillId="2" borderId="0" xfId="0" applyNumberFormat="1" applyFont="1" applyFill="1" applyBorder="1" applyAlignment="1"/>
    <xf numFmtId="0" fontId="5" fillId="0" borderId="0" xfId="0" applyFont="1"/>
    <xf numFmtId="164" fontId="4" fillId="0" borderId="0" xfId="0" applyNumberFormat="1" applyFont="1" applyBorder="1" applyAlignment="1">
      <alignment horizontal="left"/>
    </xf>
    <xf numFmtId="2" fontId="4" fillId="0" borderId="0" xfId="0" applyNumberFormat="1" applyFont="1" applyBorder="1" applyAlignment="1">
      <alignment horizontal="left"/>
    </xf>
    <xf numFmtId="1" fontId="4" fillId="0" borderId="0" xfId="0" applyNumberFormat="1" applyFont="1" applyBorder="1" applyAlignment="1">
      <alignment horizontal="right"/>
    </xf>
    <xf numFmtId="0" fontId="4" fillId="0" borderId="0" xfId="0" applyFont="1" applyBorder="1" applyAlignment="1">
      <alignment horizontal="center"/>
    </xf>
    <xf numFmtId="0" fontId="4" fillId="0" borderId="0" xfId="0" applyFont="1" applyFill="1" applyBorder="1" applyAlignment="1">
      <alignment horizontal="left"/>
    </xf>
    <xf numFmtId="0" fontId="4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/>
    <xf numFmtId="1" fontId="8" fillId="0" borderId="6" xfId="0" applyNumberFormat="1" applyFont="1" applyFill="1" applyBorder="1" applyAlignment="1">
      <alignment horizontal="right"/>
    </xf>
    <xf numFmtId="166" fontId="4" fillId="0" borderId="0" xfId="0" applyNumberFormat="1" applyFont="1" applyBorder="1" applyAlignment="1">
      <alignment horizontal="left"/>
    </xf>
    <xf numFmtId="164" fontId="4" fillId="0" borderId="0" xfId="0" applyNumberFormat="1" applyFont="1" applyBorder="1" applyAlignment="1">
      <alignment horizontal="right"/>
    </xf>
    <xf numFmtId="0" fontId="6" fillId="0" borderId="4" xfId="1" applyFont="1" applyBorder="1"/>
    <xf numFmtId="2" fontId="4" fillId="0" borderId="0" xfId="0" applyNumberFormat="1" applyFont="1" applyBorder="1" applyAlignment="1">
      <alignment horizontal="center"/>
    </xf>
    <xf numFmtId="0" fontId="4" fillId="3" borderId="0" xfId="0" applyFont="1" applyFill="1" applyBorder="1" applyAlignment="1">
      <alignment horizontal="left"/>
    </xf>
    <xf numFmtId="164" fontId="3" fillId="0" borderId="5" xfId="0" applyNumberFormat="1" applyFont="1" applyFill="1" applyBorder="1" applyAlignment="1">
      <alignment horizontal="right"/>
    </xf>
    <xf numFmtId="0" fontId="4" fillId="0" borderId="5" xfId="0" applyFont="1" applyFill="1" applyBorder="1" applyAlignment="1">
      <alignment horizontal="left"/>
    </xf>
    <xf numFmtId="0" fontId="4" fillId="0" borderId="6" xfId="0" applyFont="1" applyFill="1" applyBorder="1" applyAlignment="1">
      <alignment horizontal="left"/>
    </xf>
    <xf numFmtId="164" fontId="3" fillId="0" borderId="5" xfId="0" applyNumberFormat="1" applyFont="1" applyFill="1" applyBorder="1" applyAlignment="1">
      <alignment horizontal="left"/>
    </xf>
    <xf numFmtId="0" fontId="6" fillId="0" borderId="0" xfId="1" applyFont="1" applyFill="1" applyBorder="1"/>
    <xf numFmtId="0" fontId="6" fillId="0" borderId="0" xfId="1" applyFont="1" applyFill="1" applyBorder="1" applyAlignment="1">
      <alignment wrapText="1"/>
    </xf>
    <xf numFmtId="1" fontId="4" fillId="0" borderId="6" xfId="0" applyNumberFormat="1" applyFont="1" applyFill="1" applyBorder="1" applyAlignment="1"/>
    <xf numFmtId="0" fontId="5" fillId="0" borderId="4" xfId="1" applyFont="1" applyBorder="1"/>
    <xf numFmtId="0" fontId="5" fillId="0" borderId="4" xfId="1" applyFont="1" applyBorder="1" applyAlignment="1"/>
    <xf numFmtId="164" fontId="3" fillId="0" borderId="7" xfId="0" applyNumberFormat="1" applyFont="1" applyFill="1" applyBorder="1" applyAlignment="1">
      <alignment horizontal="left"/>
    </xf>
    <xf numFmtId="0" fontId="4" fillId="0" borderId="8" xfId="0" applyFont="1" applyFill="1" applyBorder="1" applyAlignment="1">
      <alignment horizontal="left"/>
    </xf>
    <xf numFmtId="0" fontId="6" fillId="0" borderId="8" xfId="1" applyFont="1" applyFill="1" applyBorder="1"/>
    <xf numFmtId="0" fontId="4" fillId="0" borderId="8" xfId="0" applyFont="1" applyFill="1" applyBorder="1" applyAlignment="1">
      <alignment horizontal="right"/>
    </xf>
    <xf numFmtId="0" fontId="4" fillId="0" borderId="8" xfId="0" applyFont="1" applyFill="1" applyBorder="1" applyAlignment="1">
      <alignment horizontal="center" vertical="center"/>
    </xf>
    <xf numFmtId="1" fontId="4" fillId="0" borderId="9" xfId="0" applyNumberFormat="1" applyFont="1" applyFill="1" applyBorder="1" applyAlignment="1"/>
    <xf numFmtId="0" fontId="4" fillId="0" borderId="7" xfId="0" applyFont="1" applyFill="1" applyBorder="1" applyAlignment="1">
      <alignment horizontal="left"/>
    </xf>
    <xf numFmtId="0" fontId="4" fillId="0" borderId="9" xfId="0" applyFont="1" applyFill="1" applyBorder="1" applyAlignment="1">
      <alignment horizontal="left"/>
    </xf>
    <xf numFmtId="164" fontId="3" fillId="0" borderId="1" xfId="0" applyNumberFormat="1" applyFont="1" applyFill="1" applyBorder="1" applyAlignment="1">
      <alignment horizontal="left"/>
    </xf>
    <xf numFmtId="0" fontId="4" fillId="0" borderId="3" xfId="0" applyFont="1" applyFill="1" applyBorder="1" applyAlignment="1">
      <alignment horizontal="left"/>
    </xf>
    <xf numFmtId="0" fontId="4" fillId="0" borderId="3" xfId="0" applyFont="1" applyFill="1" applyBorder="1" applyAlignment="1">
      <alignment horizontal="right"/>
    </xf>
    <xf numFmtId="0" fontId="4" fillId="0" borderId="3" xfId="0" applyFont="1" applyFill="1" applyBorder="1" applyAlignment="1">
      <alignment horizontal="center" vertical="center"/>
    </xf>
    <xf numFmtId="0" fontId="4" fillId="0" borderId="3" xfId="0" applyFont="1" applyFill="1" applyBorder="1" applyAlignment="1"/>
    <xf numFmtId="1" fontId="8" fillId="0" borderId="2" xfId="0" applyNumberFormat="1" applyFont="1" applyFill="1" applyBorder="1" applyAlignment="1">
      <alignment horizontal="right"/>
    </xf>
    <xf numFmtId="0" fontId="4" fillId="0" borderId="1" xfId="0" applyFont="1" applyFill="1" applyBorder="1" applyAlignment="1">
      <alignment horizontal="left"/>
    </xf>
    <xf numFmtId="0" fontId="4" fillId="0" borderId="2" xfId="0" applyFont="1" applyFill="1" applyBorder="1" applyAlignment="1">
      <alignment horizontal="left"/>
    </xf>
    <xf numFmtId="0" fontId="6" fillId="0" borderId="4" xfId="1" applyFont="1" applyBorder="1" applyAlignment="1">
      <alignment horizontal="right"/>
    </xf>
    <xf numFmtId="2" fontId="8" fillId="0" borderId="0" xfId="0" applyNumberFormat="1" applyFont="1" applyFill="1" applyBorder="1" applyAlignment="1">
      <alignment horizontal="right"/>
    </xf>
    <xf numFmtId="0" fontId="4" fillId="0" borderId="6" xfId="0" applyFont="1" applyBorder="1" applyAlignment="1">
      <alignment horizontal="center"/>
    </xf>
    <xf numFmtId="0" fontId="3" fillId="0" borderId="5" xfId="1" applyFont="1" applyFill="1" applyBorder="1" applyAlignment="1">
      <alignment horizontal="center"/>
    </xf>
    <xf numFmtId="1" fontId="8" fillId="0" borderId="0" xfId="0" applyNumberFormat="1" applyFont="1" applyFill="1" applyBorder="1" applyAlignment="1"/>
    <xf numFmtId="1" fontId="8" fillId="0" borderId="6" xfId="0" applyNumberFormat="1" applyFont="1" applyFill="1" applyBorder="1" applyAlignment="1"/>
    <xf numFmtId="164" fontId="8" fillId="0" borderId="6" xfId="0" applyNumberFormat="1" applyFont="1" applyFill="1" applyBorder="1" applyAlignment="1"/>
    <xf numFmtId="165" fontId="4" fillId="0" borderId="0" xfId="0" applyNumberFormat="1" applyFont="1" applyBorder="1" applyAlignment="1">
      <alignment horizontal="left"/>
    </xf>
    <xf numFmtId="164" fontId="4" fillId="0" borderId="5" xfId="0" applyNumberFormat="1" applyFont="1" applyFill="1" applyBorder="1" applyAlignment="1">
      <alignment horizontal="left"/>
    </xf>
    <xf numFmtId="2" fontId="4" fillId="0" borderId="0" xfId="0" applyNumberFormat="1" applyFont="1" applyFill="1" applyBorder="1" applyAlignment="1"/>
    <xf numFmtId="2" fontId="4" fillId="0" borderId="6" xfId="0" applyNumberFormat="1" applyFont="1" applyFill="1" applyBorder="1" applyAlignment="1">
      <alignment horizontal="right"/>
    </xf>
    <xf numFmtId="0" fontId="3" fillId="0" borderId="5" xfId="1" applyFont="1" applyFill="1" applyBorder="1" applyAlignment="1">
      <alignment horizontal="right"/>
    </xf>
    <xf numFmtId="0" fontId="4" fillId="0" borderId="0" xfId="1" applyFont="1" applyFill="1" applyBorder="1"/>
    <xf numFmtId="0" fontId="4" fillId="0" borderId="0" xfId="1" applyFont="1" applyFill="1" applyBorder="1" applyAlignment="1">
      <alignment horizontal="right"/>
    </xf>
    <xf numFmtId="0" fontId="4" fillId="0" borderId="0" xfId="1" applyFont="1" applyFill="1" applyBorder="1" applyAlignment="1">
      <alignment horizontal="center" vertical="center"/>
    </xf>
    <xf numFmtId="0" fontId="4" fillId="0" borderId="0" xfId="1" applyFont="1" applyFill="1" applyBorder="1" applyAlignment="1">
      <alignment horizontal="left"/>
    </xf>
    <xf numFmtId="0" fontId="10" fillId="0" borderId="0" xfId="2" applyFont="1" applyBorder="1" applyAlignment="1">
      <alignment horizontal="center"/>
    </xf>
    <xf numFmtId="0" fontId="6" fillId="0" borderId="0" xfId="2" applyFont="1" applyBorder="1"/>
    <xf numFmtId="0" fontId="4" fillId="0" borderId="0" xfId="2" applyFont="1" applyBorder="1" applyAlignment="1">
      <alignment horizontal="right"/>
    </xf>
    <xf numFmtId="0" fontId="3" fillId="0" borderId="0" xfId="0" applyFont="1" applyFill="1" applyBorder="1" applyAlignment="1">
      <alignment horizontal="left"/>
    </xf>
    <xf numFmtId="0" fontId="6" fillId="0" borderId="0" xfId="2" applyFont="1" applyFill="1" applyBorder="1"/>
    <xf numFmtId="0" fontId="4" fillId="0" borderId="0" xfId="0" applyFont="1" applyFill="1" applyBorder="1" applyAlignment="1">
      <alignment horizontal="center"/>
    </xf>
    <xf numFmtId="0" fontId="4" fillId="0" borderId="5" xfId="0" applyFont="1" applyFill="1" applyBorder="1" applyAlignment="1"/>
    <xf numFmtId="2" fontId="3" fillId="0" borderId="0" xfId="0" applyNumberFormat="1" applyFont="1" applyFill="1" applyBorder="1" applyAlignment="1">
      <alignment horizontal="right"/>
    </xf>
    <xf numFmtId="165" fontId="3" fillId="0" borderId="0" xfId="0" applyNumberFormat="1" applyFont="1" applyFill="1" applyBorder="1" applyAlignment="1"/>
    <xf numFmtId="0" fontId="7" fillId="0" borderId="0" xfId="0" applyFont="1" applyFill="1" applyBorder="1" applyAlignment="1">
      <alignment horizontal="left"/>
    </xf>
    <xf numFmtId="0" fontId="4" fillId="0" borderId="6" xfId="0" applyFont="1" applyFill="1" applyBorder="1" applyAlignment="1"/>
    <xf numFmtId="0" fontId="5" fillId="0" borderId="0" xfId="1" applyFont="1" applyFill="1" applyBorder="1"/>
    <xf numFmtId="0" fontId="6" fillId="0" borderId="0" xfId="1" applyFont="1" applyFill="1" applyBorder="1" applyAlignment="1">
      <alignment horizontal="right"/>
    </xf>
    <xf numFmtId="0" fontId="6" fillId="0" borderId="0" xfId="1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/>
    </xf>
    <xf numFmtId="0" fontId="6" fillId="0" borderId="0" xfId="1" applyFont="1" applyFill="1" applyBorder="1" applyAlignment="1"/>
    <xf numFmtId="2" fontId="4" fillId="0" borderId="6" xfId="0" applyNumberFormat="1" applyFont="1" applyFill="1" applyBorder="1" applyAlignment="1"/>
    <xf numFmtId="0" fontId="5" fillId="0" borderId="0" xfId="2" applyFont="1" applyBorder="1"/>
    <xf numFmtId="0" fontId="5" fillId="0" borderId="0" xfId="2" applyFont="1" applyBorder="1" applyAlignment="1">
      <alignment horizontal="center"/>
    </xf>
    <xf numFmtId="165" fontId="6" fillId="0" borderId="0" xfId="2" applyNumberFormat="1" applyFont="1" applyBorder="1" applyAlignment="1">
      <alignment horizontal="right"/>
    </xf>
    <xf numFmtId="2" fontId="6" fillId="0" borderId="0" xfId="2" applyNumberFormat="1" applyFont="1" applyBorder="1" applyAlignment="1">
      <alignment horizontal="right"/>
    </xf>
    <xf numFmtId="0" fontId="6" fillId="0" borderId="0" xfId="1" applyFont="1" applyFill="1" applyBorder="1" applyAlignment="1">
      <alignment horizontal="right" vertical="top"/>
    </xf>
    <xf numFmtId="0" fontId="6" fillId="0" borderId="0" xfId="1" applyFont="1" applyFill="1" applyBorder="1" applyAlignment="1">
      <alignment horizontal="center" vertical="top"/>
    </xf>
    <xf numFmtId="0" fontId="6" fillId="0" borderId="0" xfId="1" applyFont="1" applyFill="1" applyBorder="1" applyAlignment="1">
      <alignment vertical="top"/>
    </xf>
    <xf numFmtId="165" fontId="4" fillId="0" borderId="0" xfId="0" applyNumberFormat="1" applyFont="1" applyBorder="1" applyAlignment="1">
      <alignment horizontal="right"/>
    </xf>
    <xf numFmtId="0" fontId="5" fillId="0" borderId="0" xfId="2" applyFont="1" applyBorder="1" applyAlignment="1">
      <alignment vertical="center"/>
    </xf>
    <xf numFmtId="2" fontId="4" fillId="0" borderId="6" xfId="0" applyNumberFormat="1" applyFont="1" applyFill="1" applyBorder="1" applyAlignment="1">
      <alignment horizontal="center"/>
    </xf>
    <xf numFmtId="0" fontId="10" fillId="0" borderId="0" xfId="0" applyFont="1" applyFill="1" applyBorder="1" applyAlignment="1">
      <alignment horizontal="left"/>
    </xf>
    <xf numFmtId="0" fontId="10" fillId="0" borderId="0" xfId="0" applyFont="1" applyFill="1" applyBorder="1" applyAlignment="1">
      <alignment horizontal="center"/>
    </xf>
    <xf numFmtId="165" fontId="4" fillId="0" borderId="0" xfId="0" applyNumberFormat="1" applyFont="1" applyFill="1" applyBorder="1" applyAlignment="1"/>
    <xf numFmtId="11" fontId="3" fillId="0" borderId="6" xfId="0" applyNumberFormat="1" applyFont="1" applyFill="1" applyBorder="1" applyAlignment="1"/>
    <xf numFmtId="0" fontId="6" fillId="5" borderId="0" xfId="2" applyFont="1" applyFill="1" applyBorder="1"/>
    <xf numFmtId="2" fontId="4" fillId="0" borderId="6" xfId="0" applyNumberFormat="1" applyFont="1" applyFill="1" applyBorder="1" applyAlignment="1">
      <alignment horizontal="right" wrapText="1"/>
    </xf>
    <xf numFmtId="164" fontId="4" fillId="0" borderId="7" xfId="0" applyNumberFormat="1" applyFont="1" applyFill="1" applyBorder="1" applyAlignment="1">
      <alignment horizontal="left"/>
    </xf>
    <xf numFmtId="0" fontId="4" fillId="0" borderId="8" xfId="1" applyFont="1" applyFill="1" applyBorder="1"/>
    <xf numFmtId="0" fontId="6" fillId="0" borderId="8" xfId="1" applyFont="1" applyFill="1" applyBorder="1" applyAlignment="1">
      <alignment horizontal="right"/>
    </xf>
    <xf numFmtId="0" fontId="6" fillId="0" borderId="8" xfId="1" applyFont="1" applyFill="1" applyBorder="1" applyAlignment="1">
      <alignment horizontal="center" vertical="center"/>
    </xf>
    <xf numFmtId="2" fontId="4" fillId="0" borderId="8" xfId="0" applyNumberFormat="1" applyFont="1" applyFill="1" applyBorder="1" applyAlignment="1"/>
    <xf numFmtId="1" fontId="4" fillId="0" borderId="9" xfId="0" applyNumberFormat="1" applyFont="1" applyFill="1" applyBorder="1" applyAlignment="1">
      <alignment horizontal="right"/>
    </xf>
    <xf numFmtId="164" fontId="3" fillId="0" borderId="1" xfId="0" applyNumberFormat="1" applyFont="1" applyBorder="1" applyAlignment="1">
      <alignment horizontal="left"/>
    </xf>
    <xf numFmtId="0" fontId="4" fillId="0" borderId="3" xfId="1" applyFont="1" applyBorder="1"/>
    <xf numFmtId="0" fontId="4" fillId="0" borderId="3" xfId="1" applyFont="1" applyFill="1" applyBorder="1"/>
    <xf numFmtId="0" fontId="6" fillId="0" borderId="3" xfId="1" applyFont="1" applyBorder="1" applyAlignment="1">
      <alignment horizontal="right"/>
    </xf>
    <xf numFmtId="0" fontId="6" fillId="0" borderId="3" xfId="1" applyFont="1" applyBorder="1" applyAlignment="1">
      <alignment horizontal="center" vertical="center"/>
    </xf>
    <xf numFmtId="2" fontId="4" fillId="0" borderId="3" xfId="0" applyNumberFormat="1" applyFont="1" applyFill="1" applyBorder="1" applyAlignment="1"/>
    <xf numFmtId="2" fontId="4" fillId="0" borderId="2" xfId="0" applyNumberFormat="1" applyFont="1" applyFill="1" applyBorder="1" applyAlignment="1">
      <alignment horizontal="right"/>
    </xf>
    <xf numFmtId="0" fontId="6" fillId="0" borderId="0" xfId="1" applyFont="1" applyBorder="1"/>
    <xf numFmtId="0" fontId="6" fillId="0" borderId="0" xfId="1" applyFont="1" applyBorder="1" applyAlignment="1">
      <alignment horizontal="right"/>
    </xf>
    <xf numFmtId="0" fontId="6" fillId="0" borderId="0" xfId="1" applyFont="1" applyBorder="1" applyAlignment="1">
      <alignment horizontal="center" vertical="center"/>
    </xf>
    <xf numFmtId="167" fontId="4" fillId="0" borderId="0" xfId="0" applyNumberFormat="1" applyFont="1" applyFill="1" applyBorder="1" applyAlignment="1"/>
    <xf numFmtId="0" fontId="3" fillId="0" borderId="0" xfId="1" applyFont="1" applyFill="1" applyBorder="1"/>
    <xf numFmtId="2" fontId="4" fillId="0" borderId="0" xfId="0" applyNumberFormat="1" applyFont="1" applyFill="1" applyBorder="1" applyAlignment="1">
      <alignment horizontal="left"/>
    </xf>
    <xf numFmtId="0" fontId="4" fillId="0" borderId="0" xfId="1" applyFont="1" applyBorder="1"/>
    <xf numFmtId="0" fontId="4" fillId="0" borderId="0" xfId="1" applyFont="1" applyBorder="1" applyAlignment="1">
      <alignment horizontal="right"/>
    </xf>
    <xf numFmtId="0" fontId="4" fillId="0" borderId="0" xfId="1" applyFont="1" applyBorder="1" applyAlignment="1">
      <alignment horizontal="center" vertical="center"/>
    </xf>
    <xf numFmtId="11" fontId="3" fillId="0" borderId="0" xfId="0" applyNumberFormat="1" applyFont="1" applyFill="1" applyBorder="1" applyAlignment="1"/>
    <xf numFmtId="0" fontId="4" fillId="0" borderId="0" xfId="1" applyFont="1" applyFill="1" applyBorder="1" applyAlignment="1"/>
    <xf numFmtId="0" fontId="3" fillId="0" borderId="0" xfId="1" applyFont="1" applyFill="1" applyBorder="1" applyAlignment="1"/>
    <xf numFmtId="0" fontId="4" fillId="0" borderId="6" xfId="0" applyFont="1" applyBorder="1" applyAlignment="1">
      <alignment horizontal="left" wrapText="1"/>
    </xf>
    <xf numFmtId="0" fontId="10" fillId="0" borderId="0" xfId="2" applyFont="1" applyBorder="1"/>
    <xf numFmtId="0" fontId="6" fillId="0" borderId="0" xfId="1" applyFont="1" applyBorder="1" applyAlignment="1"/>
    <xf numFmtId="0" fontId="3" fillId="0" borderId="0" xfId="1" applyFont="1" applyFill="1" applyBorder="1" applyAlignment="1">
      <alignment horizontal="center" vertical="center"/>
    </xf>
    <xf numFmtId="167" fontId="4" fillId="0" borderId="6" xfId="0" applyNumberFormat="1" applyFont="1" applyFill="1" applyBorder="1" applyAlignment="1"/>
    <xf numFmtId="2" fontId="4" fillId="0" borderId="0" xfId="1" applyNumberFormat="1" applyFont="1" applyFill="1" applyBorder="1" applyAlignment="1"/>
    <xf numFmtId="165" fontId="4" fillId="0" borderId="0" xfId="1" applyNumberFormat="1" applyFont="1" applyFill="1" applyBorder="1" applyAlignment="1"/>
    <xf numFmtId="0" fontId="3" fillId="0" borderId="5" xfId="0" applyFont="1" applyFill="1" applyBorder="1" applyAlignment="1">
      <alignment horizontal="left"/>
    </xf>
    <xf numFmtId="2" fontId="4" fillId="0" borderId="0" xfId="0" applyNumberFormat="1" applyFont="1" applyFill="1" applyBorder="1" applyAlignment="1">
      <alignment horizontal="right"/>
    </xf>
    <xf numFmtId="0" fontId="6" fillId="6" borderId="0" xfId="1" applyFont="1" applyFill="1" applyBorder="1" applyAlignment="1">
      <alignment horizontal="right"/>
    </xf>
    <xf numFmtId="0" fontId="3" fillId="6" borderId="0" xfId="1" applyFont="1" applyFill="1" applyBorder="1" applyAlignment="1">
      <alignment horizontal="center" vertical="center"/>
    </xf>
    <xf numFmtId="2" fontId="4" fillId="6" borderId="0" xfId="0" applyNumberFormat="1" applyFont="1" applyFill="1" applyBorder="1" applyAlignment="1"/>
    <xf numFmtId="0" fontId="4" fillId="0" borderId="5" xfId="0" applyFont="1" applyFill="1" applyBorder="1" applyAlignment="1">
      <alignment horizontal="right"/>
    </xf>
    <xf numFmtId="0" fontId="4" fillId="0" borderId="0" xfId="1" applyFont="1" applyBorder="1" applyAlignment="1"/>
    <xf numFmtId="0" fontId="4" fillId="0" borderId="0" xfId="1" applyFont="1" applyFill="1" applyBorder="1" applyAlignment="1">
      <alignment horizontal="right" vertical="center"/>
    </xf>
    <xf numFmtId="0" fontId="4" fillId="0" borderId="0" xfId="0" applyFont="1" applyBorder="1" applyAlignment="1">
      <alignment vertical="center"/>
    </xf>
    <xf numFmtId="0" fontId="3" fillId="0" borderId="0" xfId="1" applyFont="1" applyFill="1" applyBorder="1" applyAlignment="1">
      <alignment horizontal="right"/>
    </xf>
    <xf numFmtId="2" fontId="3" fillId="0" borderId="0" xfId="1" applyNumberFormat="1" applyFont="1" applyFill="1" applyBorder="1" applyAlignment="1"/>
    <xf numFmtId="2" fontId="4" fillId="2" borderId="0" xfId="0" applyNumberFormat="1" applyFont="1" applyFill="1" applyBorder="1" applyAlignment="1">
      <alignment horizontal="left"/>
    </xf>
    <xf numFmtId="0" fontId="3" fillId="0" borderId="0" xfId="1" applyFont="1" applyBorder="1"/>
    <xf numFmtId="1" fontId="4" fillId="0" borderId="0" xfId="0" applyNumberFormat="1" applyFont="1" applyFill="1" applyBorder="1" applyAlignment="1">
      <alignment horizontal="right"/>
    </xf>
    <xf numFmtId="167" fontId="4" fillId="0" borderId="0" xfId="0" applyNumberFormat="1" applyFont="1" applyFill="1" applyBorder="1" applyAlignment="1">
      <alignment horizontal="left"/>
    </xf>
    <xf numFmtId="0" fontId="3" fillId="0" borderId="7" xfId="0" applyFont="1" applyFill="1" applyBorder="1" applyAlignment="1">
      <alignment horizontal="left"/>
    </xf>
    <xf numFmtId="0" fontId="4" fillId="0" borderId="8" xfId="1" applyFont="1" applyFill="1" applyBorder="1" applyAlignment="1"/>
    <xf numFmtId="0" fontId="6" fillId="0" borderId="8" xfId="1" applyFont="1" applyBorder="1"/>
    <xf numFmtId="0" fontId="4" fillId="0" borderId="8" xfId="1" applyFont="1" applyFill="1" applyBorder="1" applyAlignment="1">
      <alignment horizontal="right"/>
    </xf>
    <xf numFmtId="0" fontId="3" fillId="0" borderId="8" xfId="1" applyFont="1" applyFill="1" applyBorder="1" applyAlignment="1">
      <alignment horizontal="center" vertical="center"/>
    </xf>
    <xf numFmtId="165" fontId="4" fillId="0" borderId="8" xfId="1" applyNumberFormat="1" applyFont="1" applyFill="1" applyBorder="1" applyAlignment="1"/>
    <xf numFmtId="2" fontId="4" fillId="0" borderId="9" xfId="0" applyNumberFormat="1" applyFont="1" applyFill="1" applyBorder="1" applyAlignment="1"/>
    <xf numFmtId="0" fontId="3" fillId="0" borderId="1" xfId="0" applyFont="1" applyFill="1" applyBorder="1" applyAlignment="1">
      <alignment horizontal="left"/>
    </xf>
    <xf numFmtId="0" fontId="6" fillId="0" borderId="3" xfId="1" applyFont="1" applyBorder="1"/>
    <xf numFmtId="0" fontId="4" fillId="0" borderId="3" xfId="1" applyFont="1" applyFill="1" applyBorder="1" applyAlignment="1">
      <alignment horizontal="right"/>
    </xf>
    <xf numFmtId="0" fontId="4" fillId="0" borderId="3" xfId="1" applyFont="1" applyFill="1" applyBorder="1" applyAlignment="1">
      <alignment horizontal="center" vertical="center"/>
    </xf>
    <xf numFmtId="0" fontId="4" fillId="0" borderId="2" xfId="0" applyFont="1" applyFill="1" applyBorder="1" applyAlignment="1"/>
    <xf numFmtId="0" fontId="4" fillId="6" borderId="0" xfId="1" applyFont="1" applyFill="1" applyBorder="1" applyAlignment="1">
      <alignment horizontal="right"/>
    </xf>
    <xf numFmtId="0" fontId="4" fillId="6" borderId="0" xfId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/>
    <xf numFmtId="0" fontId="4" fillId="0" borderId="6" xfId="0" applyFont="1" applyFill="1" applyBorder="1" applyAlignment="1">
      <alignment horizontal="right"/>
    </xf>
    <xf numFmtId="165" fontId="4" fillId="0" borderId="6" xfId="0" applyNumberFormat="1" applyFont="1" applyFill="1" applyBorder="1" applyAlignment="1">
      <alignment horizontal="right"/>
    </xf>
    <xf numFmtId="0" fontId="3" fillId="0" borderId="0" xfId="0" applyFont="1" applyFill="1" applyBorder="1" applyAlignment="1"/>
    <xf numFmtId="0" fontId="4" fillId="6" borderId="0" xfId="0" applyFont="1" applyFill="1" applyBorder="1" applyAlignment="1">
      <alignment horizontal="right"/>
    </xf>
    <xf numFmtId="0" fontId="4" fillId="6" borderId="0" xfId="0" applyFont="1" applyFill="1" applyBorder="1" applyAlignment="1">
      <alignment horizontal="center" vertical="center"/>
    </xf>
    <xf numFmtId="11" fontId="3" fillId="0" borderId="0" xfId="0" applyNumberFormat="1" applyFont="1" applyFill="1" applyBorder="1" applyAlignment="1">
      <alignment vertical="center"/>
    </xf>
    <xf numFmtId="11" fontId="3" fillId="0" borderId="6" xfId="0" applyNumberFormat="1" applyFont="1" applyFill="1" applyBorder="1" applyAlignment="1">
      <alignment vertical="center"/>
    </xf>
    <xf numFmtId="0" fontId="16" fillId="0" borderId="0" xfId="0" applyFont="1" applyFill="1" applyBorder="1" applyAlignment="1"/>
    <xf numFmtId="0" fontId="16" fillId="0" borderId="6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left" wrapText="1"/>
    </xf>
    <xf numFmtId="0" fontId="3" fillId="6" borderId="0" xfId="0" applyFont="1" applyFill="1" applyBorder="1" applyAlignment="1">
      <alignment horizontal="center" vertical="center"/>
    </xf>
    <xf numFmtId="2" fontId="12" fillId="0" borderId="0" xfId="0" applyNumberFormat="1" applyFont="1" applyFill="1" applyBorder="1" applyAlignment="1">
      <alignment horizontal="right"/>
    </xf>
    <xf numFmtId="0" fontId="4" fillId="0" borderId="0" xfId="0" applyFont="1" applyFill="1" applyBorder="1" applyAlignment="1">
      <alignment horizontal="right" vertical="top"/>
    </xf>
    <xf numFmtId="0" fontId="4" fillId="0" borderId="0" xfId="0" applyFont="1" applyFill="1" applyBorder="1" applyAlignment="1">
      <alignment horizontal="center" vertical="top"/>
    </xf>
    <xf numFmtId="0" fontId="4" fillId="0" borderId="8" xfId="0" applyFont="1" applyFill="1" applyBorder="1" applyAlignment="1"/>
    <xf numFmtId="0" fontId="4" fillId="0" borderId="3" xfId="0" applyFont="1" applyFill="1" applyBorder="1" applyAlignment="1">
      <alignment horizontal="right" vertical="top"/>
    </xf>
    <xf numFmtId="2" fontId="4" fillId="0" borderId="3" xfId="0" applyNumberFormat="1" applyFont="1" applyBorder="1" applyAlignment="1"/>
    <xf numFmtId="0" fontId="4" fillId="0" borderId="1" xfId="0" applyFont="1" applyFill="1" applyBorder="1" applyAlignment="1">
      <alignment horizontal="left" vertical="top"/>
    </xf>
    <xf numFmtId="0" fontId="4" fillId="0" borderId="5" xfId="0" applyFont="1" applyFill="1" applyBorder="1" applyAlignment="1">
      <alignment horizontal="left" vertical="top"/>
    </xf>
    <xf numFmtId="0" fontId="4" fillId="6" borderId="8" xfId="0" applyFont="1" applyFill="1" applyBorder="1" applyAlignment="1">
      <alignment horizontal="right"/>
    </xf>
    <xf numFmtId="0" fontId="4" fillId="6" borderId="8" xfId="0" applyFont="1" applyFill="1" applyBorder="1" applyAlignment="1">
      <alignment horizontal="center" vertical="center"/>
    </xf>
    <xf numFmtId="2" fontId="4" fillId="6" borderId="8" xfId="0" applyNumberFormat="1" applyFont="1" applyFill="1" applyBorder="1" applyAlignment="1"/>
    <xf numFmtId="0" fontId="4" fillId="0" borderId="0" xfId="0" applyFont="1" applyFill="1" applyBorder="1" applyAlignment="1">
      <alignment horizontal="left" vertical="top"/>
    </xf>
    <xf numFmtId="2" fontId="4" fillId="0" borderId="0" xfId="0" applyNumberFormat="1" applyFont="1" applyBorder="1" applyAlignment="1">
      <alignment horizontal="left" vertical="top"/>
    </xf>
    <xf numFmtId="2" fontId="4" fillId="0" borderId="0" xfId="0" applyNumberFormat="1" applyFont="1" applyFill="1" applyBorder="1" applyAlignment="1">
      <alignment vertical="top"/>
    </xf>
    <xf numFmtId="164" fontId="4" fillId="0" borderId="0" xfId="0" applyNumberFormat="1" applyFont="1" applyFill="1" applyBorder="1" applyAlignment="1">
      <alignment horizontal="left"/>
    </xf>
    <xf numFmtId="0" fontId="4" fillId="6" borderId="0" xfId="0" applyFont="1" applyFill="1" applyBorder="1" applyAlignment="1">
      <alignment horizontal="right" vertical="top"/>
    </xf>
    <xf numFmtId="0" fontId="4" fillId="6" borderId="0" xfId="0" applyFont="1" applyFill="1" applyBorder="1" applyAlignment="1">
      <alignment horizontal="center" vertical="top"/>
    </xf>
    <xf numFmtId="0" fontId="3" fillId="0" borderId="8" xfId="0" applyFont="1" applyFill="1" applyBorder="1" applyAlignment="1">
      <alignment horizontal="left"/>
    </xf>
    <xf numFmtId="2" fontId="4" fillId="0" borderId="8" xfId="0" applyNumberFormat="1" applyFont="1" applyBorder="1" applyAlignment="1">
      <alignment horizontal="right"/>
    </xf>
    <xf numFmtId="0" fontId="3" fillId="0" borderId="3" xfId="0" applyFont="1" applyFill="1" applyBorder="1" applyAlignment="1">
      <alignment horizontal="left"/>
    </xf>
    <xf numFmtId="0" fontId="4" fillId="0" borderId="3" xfId="0" applyFont="1" applyFill="1" applyBorder="1" applyAlignment="1">
      <alignment horizontal="center" vertical="top"/>
    </xf>
    <xf numFmtId="0" fontId="4" fillId="0" borderId="0" xfId="0" applyFont="1" applyFill="1" applyBorder="1" applyAlignment="1">
      <alignment horizontal="right" vertical="center"/>
    </xf>
    <xf numFmtId="2" fontId="4" fillId="0" borderId="0" xfId="0" applyNumberFormat="1" applyFont="1" applyFill="1" applyBorder="1" applyAlignment="1">
      <alignment vertical="center"/>
    </xf>
    <xf numFmtId="1" fontId="4" fillId="0" borderId="0" xfId="0" applyNumberFormat="1" applyFont="1" applyBorder="1" applyAlignment="1"/>
    <xf numFmtId="0" fontId="3" fillId="0" borderId="6" xfId="0" applyFont="1" applyFill="1" applyBorder="1" applyAlignment="1">
      <alignment horizontal="left"/>
    </xf>
    <xf numFmtId="1" fontId="4" fillId="0" borderId="8" xfId="0" applyNumberFormat="1" applyFont="1" applyBorder="1" applyAlignment="1">
      <alignment horizontal="right"/>
    </xf>
    <xf numFmtId="1" fontId="4" fillId="0" borderId="3" xfId="0" applyNumberFormat="1" applyFont="1" applyBorder="1" applyAlignment="1">
      <alignment horizontal="right"/>
    </xf>
    <xf numFmtId="2" fontId="4" fillId="0" borderId="0" xfId="0" applyNumberFormat="1" applyFont="1" applyBorder="1" applyAlignment="1">
      <alignment horizontal="right"/>
    </xf>
    <xf numFmtId="2" fontId="12" fillId="4" borderId="0" xfId="0" applyNumberFormat="1" applyFont="1" applyFill="1" applyBorder="1" applyAlignment="1">
      <alignment horizontal="right"/>
    </xf>
    <xf numFmtId="1" fontId="4" fillId="0" borderId="0" xfId="0" applyNumberFormat="1" applyFont="1" applyBorder="1" applyAlignment="1">
      <alignment horizontal="right"/>
    </xf>
    <xf numFmtId="165" fontId="4" fillId="0" borderId="0" xfId="0" applyNumberFormat="1" applyFont="1" applyBorder="1" applyAlignment="1">
      <alignment horizontal="right"/>
    </xf>
    <xf numFmtId="165" fontId="3" fillId="6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horizontal="left" wrapText="1"/>
    </xf>
    <xf numFmtId="0" fontId="3" fillId="0" borderId="6" xfId="0" applyFont="1" applyFill="1" applyBorder="1" applyAlignment="1">
      <alignment horizontal="left" wrapText="1"/>
    </xf>
    <xf numFmtId="0" fontId="4" fillId="0" borderId="0" xfId="0" applyFont="1" applyFill="1" applyBorder="1" applyAlignment="1">
      <alignment horizontal="left" wrapText="1"/>
    </xf>
    <xf numFmtId="1" fontId="4" fillId="0" borderId="0" xfId="0" applyNumberFormat="1" applyFont="1" applyBorder="1" applyAlignment="1">
      <alignment horizontal="right" vertical="center"/>
    </xf>
    <xf numFmtId="2" fontId="4" fillId="6" borderId="0" xfId="0" applyNumberFormat="1" applyFont="1" applyFill="1" applyBorder="1" applyAlignment="1">
      <alignment horizontal="right"/>
    </xf>
    <xf numFmtId="2" fontId="4" fillId="0" borderId="3" xfId="0" applyNumberFormat="1" applyFont="1" applyBorder="1" applyAlignment="1">
      <alignment horizontal="left" wrapText="1"/>
    </xf>
    <xf numFmtId="2" fontId="4" fillId="0" borderId="2" xfId="0" applyNumberFormat="1" applyFont="1" applyBorder="1" applyAlignment="1">
      <alignment horizontal="left" wrapText="1"/>
    </xf>
    <xf numFmtId="2" fontId="4" fillId="0" borderId="0" xfId="0" applyNumberFormat="1" applyFont="1" applyBorder="1" applyAlignment="1">
      <alignment horizontal="left"/>
    </xf>
    <xf numFmtId="168" fontId="4" fillId="0" borderId="0" xfId="0" applyNumberFormat="1" applyFont="1" applyBorder="1" applyAlignment="1">
      <alignment horizontal="right"/>
    </xf>
    <xf numFmtId="165" fontId="4" fillId="2" borderId="0" xfId="0" applyNumberFormat="1" applyFont="1" applyFill="1" applyBorder="1" applyAlignment="1">
      <alignment horizontal="right" vertical="top"/>
    </xf>
    <xf numFmtId="2" fontId="4" fillId="0" borderId="0" xfId="0" applyNumberFormat="1" applyFont="1" applyBorder="1" applyAlignment="1">
      <alignment horizontal="left" wrapText="1"/>
    </xf>
    <xf numFmtId="2" fontId="4" fillId="0" borderId="6" xfId="0" applyNumberFormat="1" applyFont="1" applyBorder="1" applyAlignment="1">
      <alignment horizontal="left" wrapText="1"/>
    </xf>
    <xf numFmtId="2" fontId="4" fillId="0" borderId="3" xfId="0" applyNumberFormat="1" applyFont="1" applyBorder="1" applyAlignment="1">
      <alignment horizontal="right"/>
    </xf>
    <xf numFmtId="2" fontId="4" fillId="6" borderId="8" xfId="0" applyNumberFormat="1" applyFont="1" applyFill="1" applyBorder="1" applyAlignment="1">
      <alignment horizontal="right"/>
    </xf>
    <xf numFmtId="2" fontId="4" fillId="2" borderId="0" xfId="0" applyNumberFormat="1" applyFont="1" applyFill="1" applyBorder="1" applyAlignment="1">
      <alignment horizontal="right"/>
    </xf>
    <xf numFmtId="2" fontId="4" fillId="7" borderId="0" xfId="0" applyNumberFormat="1" applyFont="1" applyFill="1" applyBorder="1" applyAlignment="1">
      <alignment horizontal="right"/>
    </xf>
    <xf numFmtId="2" fontId="4" fillId="0" borderId="0" xfId="0" applyNumberFormat="1" applyFont="1" applyBorder="1" applyAlignment="1">
      <alignment horizontal="left" vertical="top" wrapText="1"/>
    </xf>
    <xf numFmtId="2" fontId="4" fillId="0" borderId="6" xfId="0" applyNumberFormat="1" applyFont="1" applyBorder="1" applyAlignment="1">
      <alignment horizontal="left" vertical="top" wrapText="1"/>
    </xf>
    <xf numFmtId="2" fontId="4" fillId="0" borderId="8" xfId="0" applyNumberFormat="1" applyFont="1" applyBorder="1" applyAlignment="1">
      <alignment horizontal="right"/>
    </xf>
    <xf numFmtId="0" fontId="4" fillId="0" borderId="0" xfId="1" applyFont="1" applyFill="1" applyBorder="1" applyAlignment="1">
      <alignment horizontal="left" wrapText="1"/>
    </xf>
    <xf numFmtId="0" fontId="4" fillId="0" borderId="6" xfId="1" applyFont="1" applyFill="1" applyBorder="1" applyAlignment="1">
      <alignment horizontal="left" wrapText="1"/>
    </xf>
    <xf numFmtId="1" fontId="4" fillId="6" borderId="0" xfId="0" applyNumberFormat="1" applyFont="1" applyFill="1" applyBorder="1" applyAlignment="1">
      <alignment horizontal="right"/>
    </xf>
    <xf numFmtId="165" fontId="4" fillId="6" borderId="0" xfId="0" applyNumberFormat="1" applyFont="1" applyFill="1" applyBorder="1" applyAlignment="1">
      <alignment horizontal="right"/>
    </xf>
    <xf numFmtId="1" fontId="4" fillId="0" borderId="8" xfId="0" applyNumberFormat="1" applyFont="1" applyBorder="1" applyAlignment="1">
      <alignment horizontal="right"/>
    </xf>
    <xf numFmtId="1" fontId="4" fillId="0" borderId="3" xfId="0" applyNumberFormat="1" applyFont="1" applyBorder="1" applyAlignment="1">
      <alignment horizontal="right"/>
    </xf>
    <xf numFmtId="0" fontId="4" fillId="0" borderId="0" xfId="0" applyFont="1" applyBorder="1"/>
    <xf numFmtId="0" fontId="4" fillId="0" borderId="6" xfId="0" applyFont="1" applyBorder="1"/>
    <xf numFmtId="2" fontId="4" fillId="0" borderId="0" xfId="0" applyNumberFormat="1" applyFont="1" applyBorder="1" applyAlignment="1">
      <alignment horizontal="right" vertical="center"/>
    </xf>
    <xf numFmtId="2" fontId="6" fillId="0" borderId="0" xfId="1" applyNumberFormat="1" applyFont="1" applyFill="1" applyBorder="1" applyAlignment="1">
      <alignment horizontal="right"/>
    </xf>
    <xf numFmtId="2" fontId="4" fillId="0" borderId="0" xfId="0" applyNumberFormat="1" applyFont="1" applyFill="1" applyBorder="1" applyAlignment="1">
      <alignment horizontal="right"/>
    </xf>
    <xf numFmtId="2" fontId="6" fillId="0" borderId="8" xfId="1" applyNumberFormat="1" applyFont="1" applyFill="1" applyBorder="1" applyAlignment="1">
      <alignment horizontal="right"/>
    </xf>
    <xf numFmtId="2" fontId="6" fillId="0" borderId="3" xfId="1" applyNumberFormat="1" applyFont="1" applyFill="1" applyBorder="1" applyAlignment="1">
      <alignment horizontal="right"/>
    </xf>
    <xf numFmtId="164" fontId="4" fillId="0" borderId="0" xfId="0" applyNumberFormat="1" applyFont="1" applyBorder="1" applyAlignment="1">
      <alignment horizontal="right" vertical="top"/>
    </xf>
    <xf numFmtId="2" fontId="4" fillId="0" borderId="0" xfId="0" applyNumberFormat="1" applyFont="1" applyBorder="1" applyAlignment="1">
      <alignment horizontal="right" vertical="top"/>
    </xf>
    <xf numFmtId="0" fontId="6" fillId="0" borderId="0" xfId="1" applyFont="1" applyFill="1" applyBorder="1" applyAlignment="1">
      <alignment horizontal="right"/>
    </xf>
    <xf numFmtId="2" fontId="8" fillId="2" borderId="0" xfId="0" applyNumberFormat="1" applyFont="1" applyFill="1" applyBorder="1" applyAlignment="1">
      <alignment horizontal="left"/>
    </xf>
    <xf numFmtId="2" fontId="8" fillId="2" borderId="0" xfId="0" applyNumberFormat="1" applyFont="1" applyFill="1" applyBorder="1" applyAlignment="1">
      <alignment horizontal="left" wrapText="1"/>
    </xf>
    <xf numFmtId="0" fontId="4" fillId="0" borderId="0" xfId="0" applyFont="1" applyFill="1" applyBorder="1" applyAlignment="1">
      <alignment horizontal="right"/>
    </xf>
    <xf numFmtId="0" fontId="10" fillId="0" borderId="0" xfId="0" applyFont="1" applyFill="1" applyBorder="1" applyAlignment="1">
      <alignment horizontal="right"/>
    </xf>
    <xf numFmtId="1" fontId="8" fillId="2" borderId="8" xfId="0" applyNumberFormat="1" applyFont="1" applyFill="1" applyBorder="1" applyAlignment="1">
      <alignment horizontal="left"/>
    </xf>
    <xf numFmtId="2" fontId="8" fillId="0" borderId="3" xfId="0" applyNumberFormat="1" applyFont="1" applyFill="1" applyBorder="1" applyAlignment="1">
      <alignment horizontal="right"/>
    </xf>
    <xf numFmtId="2" fontId="8" fillId="2" borderId="0" xfId="0" applyNumberFormat="1" applyFont="1" applyFill="1" applyBorder="1" applyAlignment="1">
      <alignment horizontal="right"/>
    </xf>
    <xf numFmtId="1" fontId="8" fillId="2" borderId="0" xfId="0" applyNumberFormat="1" applyFont="1" applyFill="1" applyBorder="1" applyAlignment="1">
      <alignment horizontal="left"/>
    </xf>
    <xf numFmtId="1" fontId="4" fillId="2" borderId="0" xfId="0" applyNumberFormat="1" applyFont="1" applyFill="1" applyBorder="1" applyAlignment="1">
      <alignment horizontal="right"/>
    </xf>
    <xf numFmtId="165" fontId="8" fillId="2" borderId="0" xfId="0" applyNumberFormat="1" applyFont="1" applyFill="1" applyBorder="1" applyAlignment="1">
      <alignment horizontal="right"/>
    </xf>
    <xf numFmtId="165" fontId="8" fillId="0" borderId="0" xfId="0" applyNumberFormat="1" applyFont="1" applyFill="1" applyBorder="1" applyAlignment="1">
      <alignment horizontal="right"/>
    </xf>
    <xf numFmtId="1" fontId="8" fillId="2" borderId="0" xfId="0" applyNumberFormat="1" applyFont="1" applyFill="1" applyBorder="1" applyAlignment="1">
      <alignment horizontal="right"/>
    </xf>
    <xf numFmtId="1" fontId="8" fillId="0" borderId="0" xfId="0" applyNumberFormat="1" applyFont="1" applyBorder="1" applyAlignment="1">
      <alignment horizontal="right"/>
    </xf>
    <xf numFmtId="1" fontId="10" fillId="2" borderId="0" xfId="0" applyNumberFormat="1" applyFont="1" applyFill="1" applyBorder="1" applyAlignment="1">
      <alignment horizontal="left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wrapText="1"/>
    </xf>
    <xf numFmtId="0" fontId="4" fillId="0" borderId="11" xfId="0" applyFont="1" applyBorder="1"/>
    <xf numFmtId="0" fontId="4" fillId="0" borderId="3" xfId="0" applyFont="1" applyBorder="1"/>
    <xf numFmtId="0" fontId="4" fillId="0" borderId="2" xfId="0" applyFont="1" applyBorder="1"/>
    <xf numFmtId="0" fontId="4" fillId="0" borderId="5" xfId="0" applyFont="1" applyBorder="1"/>
  </cellXfs>
  <cellStyles count="10">
    <cellStyle name="Normal" xfId="0" builtinId="0"/>
    <cellStyle name="Normal 2" xfId="3"/>
    <cellStyle name="Normal 3" xfId="1"/>
    <cellStyle name="Normal 3 2" xfId="4"/>
    <cellStyle name="Normal 3 3" xfId="5"/>
    <cellStyle name="Normal 4" xfId="6"/>
    <cellStyle name="Normal 5" xfId="7"/>
    <cellStyle name="Normal 6" xfId="2"/>
    <cellStyle name="Normal 6 2" xfId="8"/>
    <cellStyle name="Normal 7" xfId="9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3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2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119890</xdr:colOff>
      <xdr:row>0</xdr:row>
      <xdr:rowOff>28450</xdr:rowOff>
    </xdr:from>
    <xdr:to>
      <xdr:col>1</xdr:col>
      <xdr:colOff>1750217</xdr:colOff>
      <xdr:row>3</xdr:row>
      <xdr:rowOff>53579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 l="13472" t="70479" r="72391" b="22872"/>
        <a:stretch>
          <a:fillRect/>
        </a:stretch>
      </xdr:blipFill>
      <xdr:spPr bwMode="auto">
        <a:xfrm>
          <a:off x="386590" y="28450"/>
          <a:ext cx="1630327" cy="5109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133513</xdr:colOff>
      <xdr:row>3</xdr:row>
      <xdr:rowOff>85336</xdr:rowOff>
    </xdr:from>
    <xdr:to>
      <xdr:col>1</xdr:col>
      <xdr:colOff>1702591</xdr:colOff>
      <xdr:row>6</xdr:row>
      <xdr:rowOff>88409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00213" y="571111"/>
          <a:ext cx="1569078" cy="488848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16</xdr:col>
      <xdr:colOff>77390</xdr:colOff>
      <xdr:row>1</xdr:row>
      <xdr:rowOff>121134</xdr:rowOff>
    </xdr:from>
    <xdr:to>
      <xdr:col>19</xdr:col>
      <xdr:colOff>153671</xdr:colOff>
      <xdr:row>3</xdr:row>
      <xdr:rowOff>138450</xdr:rowOff>
    </xdr:to>
    <xdr:pic>
      <xdr:nvPicPr>
        <xdr:cNvPr id="4" name="Picture 3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 t="19104" r="15279" b="14769"/>
        <a:stretch/>
      </xdr:blipFill>
      <xdr:spPr bwMode="auto">
        <a:xfrm>
          <a:off x="8583215" y="283059"/>
          <a:ext cx="1124031" cy="3411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17860</xdr:colOff>
      <xdr:row>22</xdr:row>
      <xdr:rowOff>160734</xdr:rowOff>
    </xdr:from>
    <xdr:to>
      <xdr:col>10</xdr:col>
      <xdr:colOff>530596</xdr:colOff>
      <xdr:row>32</xdr:row>
      <xdr:rowOff>170087</xdr:rowOff>
    </xdr:to>
    <xdr:pic>
      <xdr:nvPicPr>
        <xdr:cNvPr id="5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 r="27089"/>
        <a:stretch>
          <a:fillRect/>
        </a:stretch>
      </xdr:blipFill>
      <xdr:spPr bwMode="auto">
        <a:xfrm>
          <a:off x="4999435" y="3837384"/>
          <a:ext cx="1589061" cy="1733378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5</xdr:col>
      <xdr:colOff>5953</xdr:colOff>
      <xdr:row>71</xdr:row>
      <xdr:rowOff>11906</xdr:rowOff>
    </xdr:from>
    <xdr:to>
      <xdr:col>8</xdr:col>
      <xdr:colOff>89299</xdr:colOff>
      <xdr:row>73</xdr:row>
      <xdr:rowOff>124333</xdr:rowOff>
    </xdr:to>
    <xdr:pic>
      <xdr:nvPicPr>
        <xdr:cNvPr id="6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16487"/>
        <a:stretch>
          <a:fillRect/>
        </a:stretch>
      </xdr:blipFill>
      <xdr:spPr bwMode="auto">
        <a:xfrm>
          <a:off x="3273028" y="12270581"/>
          <a:ext cx="1388271" cy="436277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23812</xdr:colOff>
      <xdr:row>82</xdr:row>
      <xdr:rowOff>17857</xdr:rowOff>
    </xdr:from>
    <xdr:to>
      <xdr:col>8</xdr:col>
      <xdr:colOff>109966</xdr:colOff>
      <xdr:row>84</xdr:row>
      <xdr:rowOff>135301</xdr:rowOff>
    </xdr:to>
    <xdr:pic>
      <xdr:nvPicPr>
        <xdr:cNvPr id="7" name="Picture 13"/>
        <xdr:cNvPicPr>
          <a:picLocks noChangeArrowheads="1"/>
        </xdr:cNvPicPr>
      </xdr:nvPicPr>
      <xdr:blipFill>
        <a:blip xmlns:r="http://schemas.openxmlformats.org/officeDocument/2006/relationships" r:embed="rId6"/>
        <a:srcRect/>
        <a:stretch>
          <a:fillRect/>
        </a:stretch>
      </xdr:blipFill>
      <xdr:spPr bwMode="auto">
        <a:xfrm>
          <a:off x="3290887" y="14076757"/>
          <a:ext cx="1391079" cy="441294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35719</xdr:colOff>
      <xdr:row>90</xdr:row>
      <xdr:rowOff>148827</xdr:rowOff>
    </xdr:from>
    <xdr:to>
      <xdr:col>8</xdr:col>
      <xdr:colOff>244078</xdr:colOff>
      <xdr:row>91</xdr:row>
      <xdr:rowOff>166688</xdr:rowOff>
    </xdr:to>
    <xdr:pic>
      <xdr:nvPicPr>
        <xdr:cNvPr id="8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7"/>
        <a:srcRect/>
        <a:stretch>
          <a:fillRect/>
        </a:stretch>
      </xdr:blipFill>
      <xdr:spPr bwMode="auto">
        <a:xfrm>
          <a:off x="3302794" y="15503127"/>
          <a:ext cx="1513284" cy="179786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38101</xdr:colOff>
      <xdr:row>97</xdr:row>
      <xdr:rowOff>108857</xdr:rowOff>
    </xdr:from>
    <xdr:to>
      <xdr:col>8</xdr:col>
      <xdr:colOff>195943</xdr:colOff>
      <xdr:row>99</xdr:row>
      <xdr:rowOff>5442</xdr:rowOff>
    </xdr:to>
    <xdr:pic>
      <xdr:nvPicPr>
        <xdr:cNvPr id="9" name="Picture 18"/>
        <xdr:cNvPicPr>
          <a:picLocks noChangeArrowheads="1"/>
        </xdr:cNvPicPr>
      </xdr:nvPicPr>
      <xdr:blipFill>
        <a:blip xmlns:r="http://schemas.openxmlformats.org/officeDocument/2006/relationships" r:embed="rId8"/>
        <a:srcRect t="14535" r="3319" b="-4167"/>
        <a:stretch>
          <a:fillRect/>
        </a:stretch>
      </xdr:blipFill>
      <xdr:spPr bwMode="auto">
        <a:xfrm>
          <a:off x="3305176" y="16739507"/>
          <a:ext cx="1462767" cy="23948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43546</xdr:colOff>
      <xdr:row>127</xdr:row>
      <xdr:rowOff>10887</xdr:rowOff>
    </xdr:from>
    <xdr:to>
      <xdr:col>8</xdr:col>
      <xdr:colOff>162976</xdr:colOff>
      <xdr:row>128</xdr:row>
      <xdr:rowOff>1</xdr:rowOff>
    </xdr:to>
    <xdr:pic>
      <xdr:nvPicPr>
        <xdr:cNvPr id="10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9"/>
        <a:srcRect/>
        <a:stretch>
          <a:fillRect/>
        </a:stretch>
      </xdr:blipFill>
      <xdr:spPr bwMode="auto">
        <a:xfrm>
          <a:off x="3310621" y="21899337"/>
          <a:ext cx="1424355" cy="170089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54430</xdr:colOff>
      <xdr:row>144</xdr:row>
      <xdr:rowOff>27215</xdr:rowOff>
    </xdr:from>
    <xdr:to>
      <xdr:col>8</xdr:col>
      <xdr:colOff>266701</xdr:colOff>
      <xdr:row>145</xdr:row>
      <xdr:rowOff>132481</xdr:rowOff>
    </xdr:to>
    <xdr:pic>
      <xdr:nvPicPr>
        <xdr:cNvPr id="11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0"/>
        <a:srcRect l="2796" t="11215" r="1713" b="7165"/>
        <a:stretch>
          <a:fillRect/>
        </a:stretch>
      </xdr:blipFill>
      <xdr:spPr bwMode="auto">
        <a:xfrm>
          <a:off x="3321505" y="25420865"/>
          <a:ext cx="1517196" cy="286241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54429</xdr:colOff>
      <xdr:row>156</xdr:row>
      <xdr:rowOff>10886</xdr:rowOff>
    </xdr:from>
    <xdr:to>
      <xdr:col>8</xdr:col>
      <xdr:colOff>16329</xdr:colOff>
      <xdr:row>158</xdr:row>
      <xdr:rowOff>1175</xdr:rowOff>
    </xdr:to>
    <xdr:pic>
      <xdr:nvPicPr>
        <xdr:cNvPr id="12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1"/>
        <a:srcRect l="3186" t="4786" r="5258" b="10427"/>
        <a:stretch>
          <a:fillRect/>
        </a:stretch>
      </xdr:blipFill>
      <xdr:spPr bwMode="auto">
        <a:xfrm>
          <a:off x="3321504" y="27547661"/>
          <a:ext cx="1266825" cy="361764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212273</xdr:colOff>
      <xdr:row>169</xdr:row>
      <xdr:rowOff>5443</xdr:rowOff>
    </xdr:from>
    <xdr:to>
      <xdr:col>8</xdr:col>
      <xdr:colOff>359230</xdr:colOff>
      <xdr:row>170</xdr:row>
      <xdr:rowOff>133183</xdr:rowOff>
    </xdr:to>
    <xdr:pic>
      <xdr:nvPicPr>
        <xdr:cNvPr id="13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2"/>
        <a:srcRect/>
        <a:stretch>
          <a:fillRect/>
        </a:stretch>
      </xdr:blipFill>
      <xdr:spPr bwMode="auto">
        <a:xfrm>
          <a:off x="3260273" y="30171118"/>
          <a:ext cx="1670957" cy="30871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21773</xdr:colOff>
      <xdr:row>172</xdr:row>
      <xdr:rowOff>110921</xdr:rowOff>
    </xdr:from>
    <xdr:to>
      <xdr:col>8</xdr:col>
      <xdr:colOff>85398</xdr:colOff>
      <xdr:row>174</xdr:row>
      <xdr:rowOff>132729</xdr:rowOff>
    </xdr:to>
    <xdr:pic>
      <xdr:nvPicPr>
        <xdr:cNvPr id="14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3"/>
        <a:srcRect/>
        <a:stretch>
          <a:fillRect/>
        </a:stretch>
      </xdr:blipFill>
      <xdr:spPr bwMode="auto">
        <a:xfrm>
          <a:off x="3288848" y="30829046"/>
          <a:ext cx="1368550" cy="393283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38103</xdr:colOff>
      <xdr:row>214</xdr:row>
      <xdr:rowOff>32656</xdr:rowOff>
    </xdr:from>
    <xdr:to>
      <xdr:col>7</xdr:col>
      <xdr:colOff>386444</xdr:colOff>
      <xdr:row>215</xdr:row>
      <xdr:rowOff>146956</xdr:rowOff>
    </xdr:to>
    <xdr:pic>
      <xdr:nvPicPr>
        <xdr:cNvPr id="15" name="Picture 36"/>
        <xdr:cNvPicPr>
          <a:picLocks noChangeAspect="1" noChangeArrowheads="1"/>
        </xdr:cNvPicPr>
      </xdr:nvPicPr>
      <xdr:blipFill>
        <a:blip xmlns:r="http://schemas.openxmlformats.org/officeDocument/2006/relationships" r:embed="rId14"/>
        <a:srcRect t="8919"/>
        <a:stretch>
          <a:fillRect/>
        </a:stretch>
      </xdr:blipFill>
      <xdr:spPr bwMode="auto">
        <a:xfrm>
          <a:off x="3305178" y="38494606"/>
          <a:ext cx="1243691" cy="276225"/>
        </a:xfrm>
        <a:prstGeom prst="rect">
          <a:avLst/>
        </a:prstGeom>
        <a:noFill/>
      </xdr:spPr>
    </xdr:pic>
    <xdr:clientData/>
  </xdr:twoCellAnchor>
  <xdr:twoCellAnchor>
    <xdr:from>
      <xdr:col>4</xdr:col>
      <xdr:colOff>202402</xdr:colOff>
      <xdr:row>265</xdr:row>
      <xdr:rowOff>0</xdr:rowOff>
    </xdr:from>
    <xdr:to>
      <xdr:col>8</xdr:col>
      <xdr:colOff>333375</xdr:colOff>
      <xdr:row>266</xdr:row>
      <xdr:rowOff>133089</xdr:rowOff>
    </xdr:to>
    <xdr:pic>
      <xdr:nvPicPr>
        <xdr:cNvPr id="1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5"/>
        <a:srcRect/>
        <a:stretch>
          <a:fillRect/>
        </a:stretch>
      </xdr:blipFill>
      <xdr:spPr bwMode="auto">
        <a:xfrm>
          <a:off x="3250402" y="47863125"/>
          <a:ext cx="1654973" cy="314064"/>
        </a:xfrm>
        <a:prstGeom prst="rect">
          <a:avLst/>
        </a:prstGeom>
        <a:noFill/>
      </xdr:spPr>
    </xdr:pic>
    <xdr:clientData/>
  </xdr:twoCellAnchor>
  <xdr:twoCellAnchor>
    <xdr:from>
      <xdr:col>5</xdr:col>
      <xdr:colOff>11903</xdr:colOff>
      <xdr:row>267</xdr:row>
      <xdr:rowOff>5951</xdr:rowOff>
    </xdr:from>
    <xdr:to>
      <xdr:col>8</xdr:col>
      <xdr:colOff>386952</xdr:colOff>
      <xdr:row>268</xdr:row>
      <xdr:rowOff>159008</xdr:rowOff>
    </xdr:to>
    <xdr:pic>
      <xdr:nvPicPr>
        <xdr:cNvPr id="17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6"/>
        <a:srcRect/>
        <a:stretch>
          <a:fillRect/>
        </a:stretch>
      </xdr:blipFill>
      <xdr:spPr bwMode="auto">
        <a:xfrm>
          <a:off x="3278978" y="48211976"/>
          <a:ext cx="1679974" cy="314982"/>
        </a:xfrm>
        <a:prstGeom prst="rect">
          <a:avLst/>
        </a:prstGeom>
        <a:noFill/>
      </xdr:spPr>
    </xdr:pic>
    <xdr:clientData/>
  </xdr:twoCellAnchor>
  <xdr:twoCellAnchor>
    <xdr:from>
      <xdr:col>5</xdr:col>
      <xdr:colOff>17858</xdr:colOff>
      <xdr:row>281</xdr:row>
      <xdr:rowOff>113109</xdr:rowOff>
    </xdr:from>
    <xdr:to>
      <xdr:col>7</xdr:col>
      <xdr:colOff>77390</xdr:colOff>
      <xdr:row>283</xdr:row>
      <xdr:rowOff>145924</xdr:rowOff>
    </xdr:to>
    <xdr:pic>
      <xdr:nvPicPr>
        <xdr:cNvPr id="18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7"/>
        <a:srcRect/>
        <a:stretch>
          <a:fillRect/>
        </a:stretch>
      </xdr:blipFill>
      <xdr:spPr bwMode="auto">
        <a:xfrm>
          <a:off x="3284933" y="50748009"/>
          <a:ext cx="954882" cy="375715"/>
        </a:xfrm>
        <a:prstGeom prst="rect">
          <a:avLst/>
        </a:prstGeom>
        <a:noFill/>
      </xdr:spPr>
    </xdr:pic>
    <xdr:clientData/>
  </xdr:twoCellAnchor>
  <xdr:twoCellAnchor>
    <xdr:from>
      <xdr:col>5</xdr:col>
      <xdr:colOff>89293</xdr:colOff>
      <xdr:row>284</xdr:row>
      <xdr:rowOff>5953</xdr:rowOff>
    </xdr:from>
    <xdr:to>
      <xdr:col>6</xdr:col>
      <xdr:colOff>357188</xdr:colOff>
      <xdr:row>286</xdr:row>
      <xdr:rowOff>5834</xdr:rowOff>
    </xdr:to>
    <xdr:pic>
      <xdr:nvPicPr>
        <xdr:cNvPr id="19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8"/>
        <a:srcRect/>
        <a:stretch>
          <a:fillRect/>
        </a:stretch>
      </xdr:blipFill>
      <xdr:spPr bwMode="auto">
        <a:xfrm>
          <a:off x="3356368" y="51145678"/>
          <a:ext cx="715570" cy="323731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41675</xdr:colOff>
      <xdr:row>298</xdr:row>
      <xdr:rowOff>142878</xdr:rowOff>
    </xdr:from>
    <xdr:to>
      <xdr:col>7</xdr:col>
      <xdr:colOff>315516</xdr:colOff>
      <xdr:row>300</xdr:row>
      <xdr:rowOff>128355</xdr:rowOff>
    </xdr:to>
    <xdr:pic>
      <xdr:nvPicPr>
        <xdr:cNvPr id="20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9"/>
        <a:srcRect/>
        <a:stretch>
          <a:fillRect/>
        </a:stretch>
      </xdr:blipFill>
      <xdr:spPr bwMode="auto">
        <a:xfrm>
          <a:off x="3308750" y="54092478"/>
          <a:ext cx="1169191" cy="347427"/>
        </a:xfrm>
        <a:prstGeom prst="rect">
          <a:avLst/>
        </a:prstGeom>
        <a:noFill/>
      </xdr:spPr>
    </xdr:pic>
    <xdr:clientData/>
  </xdr:twoCellAnchor>
  <xdr:twoCellAnchor>
    <xdr:from>
      <xdr:col>5</xdr:col>
      <xdr:colOff>65483</xdr:colOff>
      <xdr:row>307</xdr:row>
      <xdr:rowOff>65484</xdr:rowOff>
    </xdr:from>
    <xdr:to>
      <xdr:col>6</xdr:col>
      <xdr:colOff>315514</xdr:colOff>
      <xdr:row>309</xdr:row>
      <xdr:rowOff>122780</xdr:rowOff>
    </xdr:to>
    <xdr:pic>
      <xdr:nvPicPr>
        <xdr:cNvPr id="21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20"/>
        <a:srcRect l="39119" r="9928"/>
        <a:stretch>
          <a:fillRect/>
        </a:stretch>
      </xdr:blipFill>
      <xdr:spPr bwMode="auto">
        <a:xfrm>
          <a:off x="3332558" y="55596234"/>
          <a:ext cx="697706" cy="400196"/>
        </a:xfrm>
        <a:prstGeom prst="rect">
          <a:avLst/>
        </a:prstGeom>
        <a:noFill/>
      </xdr:spPr>
    </xdr:pic>
    <xdr:clientData/>
  </xdr:twoCellAnchor>
  <xdr:twoCellAnchor>
    <xdr:from>
      <xdr:col>5</xdr:col>
      <xdr:colOff>41670</xdr:colOff>
      <xdr:row>311</xdr:row>
      <xdr:rowOff>11905</xdr:rowOff>
    </xdr:from>
    <xdr:to>
      <xdr:col>7</xdr:col>
      <xdr:colOff>333374</xdr:colOff>
      <xdr:row>312</xdr:row>
      <xdr:rowOff>150666</xdr:rowOff>
    </xdr:to>
    <xdr:pic>
      <xdr:nvPicPr>
        <xdr:cNvPr id="22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21"/>
        <a:srcRect l="16823" b="-11174"/>
        <a:stretch>
          <a:fillRect/>
        </a:stretch>
      </xdr:blipFill>
      <xdr:spPr bwMode="auto">
        <a:xfrm>
          <a:off x="3308745" y="56209405"/>
          <a:ext cx="1187054" cy="319736"/>
        </a:xfrm>
        <a:prstGeom prst="rect">
          <a:avLst/>
        </a:prstGeom>
        <a:noFill/>
      </xdr:spPr>
    </xdr:pic>
    <xdr:clientData/>
  </xdr:twoCellAnchor>
  <xdr:twoCellAnchor>
    <xdr:from>
      <xdr:col>2</xdr:col>
      <xdr:colOff>29761</xdr:colOff>
      <xdr:row>357</xdr:row>
      <xdr:rowOff>309567</xdr:rowOff>
    </xdr:from>
    <xdr:to>
      <xdr:col>8</xdr:col>
      <xdr:colOff>357187</xdr:colOff>
      <xdr:row>360</xdr:row>
      <xdr:rowOff>103227</xdr:rowOff>
    </xdr:to>
    <xdr:pic>
      <xdr:nvPicPr>
        <xdr:cNvPr id="23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2"/>
        <a:srcRect/>
        <a:stretch>
          <a:fillRect/>
        </a:stretch>
      </xdr:blipFill>
      <xdr:spPr bwMode="auto">
        <a:xfrm>
          <a:off x="2391961" y="65384367"/>
          <a:ext cx="2537226" cy="469935"/>
        </a:xfrm>
        <a:prstGeom prst="rect">
          <a:avLst/>
        </a:prstGeom>
        <a:noFill/>
      </xdr:spPr>
    </xdr:pic>
    <xdr:clientData/>
  </xdr:twoCellAnchor>
  <xdr:twoCellAnchor>
    <xdr:from>
      <xdr:col>1</xdr:col>
      <xdr:colOff>2071686</xdr:colOff>
      <xdr:row>362</xdr:row>
      <xdr:rowOff>4</xdr:rowOff>
    </xdr:from>
    <xdr:to>
      <xdr:col>6</xdr:col>
      <xdr:colOff>419711</xdr:colOff>
      <xdr:row>364</xdr:row>
      <xdr:rowOff>59531</xdr:rowOff>
    </xdr:to>
    <xdr:pic>
      <xdr:nvPicPr>
        <xdr:cNvPr id="24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23"/>
        <a:srcRect/>
        <a:stretch>
          <a:fillRect/>
        </a:stretch>
      </xdr:blipFill>
      <xdr:spPr bwMode="auto">
        <a:xfrm>
          <a:off x="2338386" y="66074929"/>
          <a:ext cx="1796075" cy="383377"/>
        </a:xfrm>
        <a:prstGeom prst="rect">
          <a:avLst/>
        </a:prstGeom>
        <a:noFill/>
      </xdr:spPr>
    </xdr:pic>
    <xdr:clientData/>
  </xdr:twoCellAnchor>
  <xdr:twoCellAnchor>
    <xdr:from>
      <xdr:col>2</xdr:col>
      <xdr:colOff>83343</xdr:colOff>
      <xdr:row>384</xdr:row>
      <xdr:rowOff>101202</xdr:rowOff>
    </xdr:from>
    <xdr:to>
      <xdr:col>9</xdr:col>
      <xdr:colOff>3</xdr:colOff>
      <xdr:row>387</xdr:row>
      <xdr:rowOff>79409</xdr:rowOff>
    </xdr:to>
    <xdr:pic>
      <xdr:nvPicPr>
        <xdr:cNvPr id="2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2"/>
        <a:srcRect/>
        <a:stretch>
          <a:fillRect/>
        </a:stretch>
      </xdr:blipFill>
      <xdr:spPr bwMode="auto">
        <a:xfrm>
          <a:off x="2445543" y="71091027"/>
          <a:ext cx="2536035" cy="463982"/>
        </a:xfrm>
        <a:prstGeom prst="rect">
          <a:avLst/>
        </a:prstGeom>
        <a:noFill/>
      </xdr:spPr>
    </xdr:pic>
    <xdr:clientData/>
  </xdr:twoCellAnchor>
  <xdr:twoCellAnchor>
    <xdr:from>
      <xdr:col>4</xdr:col>
      <xdr:colOff>160734</xdr:colOff>
      <xdr:row>390</xdr:row>
      <xdr:rowOff>47624</xdr:rowOff>
    </xdr:from>
    <xdr:to>
      <xdr:col>8</xdr:col>
      <xdr:colOff>255985</xdr:colOff>
      <xdr:row>392</xdr:row>
      <xdr:rowOff>82588</xdr:rowOff>
    </xdr:to>
    <xdr:pic>
      <xdr:nvPicPr>
        <xdr:cNvPr id="26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23"/>
        <a:srcRect r="3887"/>
        <a:stretch>
          <a:fillRect/>
        </a:stretch>
      </xdr:blipFill>
      <xdr:spPr bwMode="auto">
        <a:xfrm>
          <a:off x="3208734" y="72008999"/>
          <a:ext cx="1619251" cy="358814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113111</xdr:colOff>
      <xdr:row>397</xdr:row>
      <xdr:rowOff>38186</xdr:rowOff>
    </xdr:from>
    <xdr:to>
      <xdr:col>8</xdr:col>
      <xdr:colOff>381000</xdr:colOff>
      <xdr:row>399</xdr:row>
      <xdr:rowOff>138306</xdr:rowOff>
    </xdr:to>
    <xdr:pic>
      <xdr:nvPicPr>
        <xdr:cNvPr id="27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24"/>
        <a:srcRect/>
        <a:stretch>
          <a:fillRect/>
        </a:stretch>
      </xdr:blipFill>
      <xdr:spPr bwMode="auto">
        <a:xfrm>
          <a:off x="3161111" y="73152086"/>
          <a:ext cx="1791889" cy="423970"/>
        </a:xfrm>
        <a:prstGeom prst="rect">
          <a:avLst/>
        </a:prstGeom>
        <a:noFill/>
      </xdr:spPr>
    </xdr:pic>
    <xdr:clientData/>
  </xdr:twoCellAnchor>
  <xdr:twoCellAnchor>
    <xdr:from>
      <xdr:col>5</xdr:col>
      <xdr:colOff>23812</xdr:colOff>
      <xdr:row>406</xdr:row>
      <xdr:rowOff>11908</xdr:rowOff>
    </xdr:from>
    <xdr:to>
      <xdr:col>8</xdr:col>
      <xdr:colOff>196453</xdr:colOff>
      <xdr:row>408</xdr:row>
      <xdr:rowOff>134275</xdr:rowOff>
    </xdr:to>
    <xdr:pic>
      <xdr:nvPicPr>
        <xdr:cNvPr id="28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25"/>
        <a:srcRect/>
        <a:stretch>
          <a:fillRect/>
        </a:stretch>
      </xdr:blipFill>
      <xdr:spPr bwMode="auto">
        <a:xfrm>
          <a:off x="3290887" y="75002233"/>
          <a:ext cx="1477566" cy="446217"/>
        </a:xfrm>
        <a:prstGeom prst="rect">
          <a:avLst/>
        </a:prstGeom>
        <a:noFill/>
      </xdr:spPr>
    </xdr:pic>
    <xdr:clientData/>
  </xdr:twoCellAnchor>
  <xdr:twoCellAnchor>
    <xdr:from>
      <xdr:col>5</xdr:col>
      <xdr:colOff>5955</xdr:colOff>
      <xdr:row>411</xdr:row>
      <xdr:rowOff>119065</xdr:rowOff>
    </xdr:from>
    <xdr:to>
      <xdr:col>7</xdr:col>
      <xdr:colOff>172640</xdr:colOff>
      <xdr:row>413</xdr:row>
      <xdr:rowOff>130968</xdr:rowOff>
    </xdr:to>
    <xdr:pic>
      <xdr:nvPicPr>
        <xdr:cNvPr id="29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26"/>
        <a:srcRect b="17692"/>
        <a:stretch>
          <a:fillRect/>
        </a:stretch>
      </xdr:blipFill>
      <xdr:spPr bwMode="auto">
        <a:xfrm>
          <a:off x="3273030" y="75919015"/>
          <a:ext cx="1062035" cy="335753"/>
        </a:xfrm>
        <a:prstGeom prst="rect">
          <a:avLst/>
        </a:prstGeom>
        <a:noFill/>
      </xdr:spPr>
    </xdr:pic>
    <xdr:clientData/>
  </xdr:twoCellAnchor>
  <xdr:twoCellAnchor>
    <xdr:from>
      <xdr:col>5</xdr:col>
      <xdr:colOff>53579</xdr:colOff>
      <xdr:row>417</xdr:row>
      <xdr:rowOff>95251</xdr:rowOff>
    </xdr:from>
    <xdr:to>
      <xdr:col>7</xdr:col>
      <xdr:colOff>217876</xdr:colOff>
      <xdr:row>419</xdr:row>
      <xdr:rowOff>113109</xdr:rowOff>
    </xdr:to>
    <xdr:pic>
      <xdr:nvPicPr>
        <xdr:cNvPr id="30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27"/>
        <a:srcRect/>
        <a:stretch>
          <a:fillRect/>
        </a:stretch>
      </xdr:blipFill>
      <xdr:spPr bwMode="auto">
        <a:xfrm>
          <a:off x="3320654" y="76866751"/>
          <a:ext cx="1059647" cy="360758"/>
        </a:xfrm>
        <a:prstGeom prst="rect">
          <a:avLst/>
        </a:prstGeom>
        <a:noFill/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_61\oper-projects\6714\BLOCK-A2\DESIGN%20CRITERIA\ZONE-4\BL-A2-STIFF-R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_11\KHR\OPERATOR\PROJECTS\6714\4474-Documents\Documents\Technical\Structure\FINAL\ANALYSIS\BLOCK-A2\EQ-STATIC-A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asbox\design\Users\admin\Desktop\General\EXLS\CompositeDesign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sai-56\guest\OPERATOR\PROJECTS\6714\BLOCK-A2\DESIGN%20CRITERIA\ZONE-4\BL-A2-STIFF-R2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_11\KHR\OPERATOR\PROJECTS\6714\4474-Documents\Documents\Technical\Structure\FINAL\ANALYSIS\mode%20X%20-MODIFIED-4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TATIC"/>
      <sheetName val="MODE-x"/>
      <sheetName val="MODE-z"/>
      <sheetName val="STOREYDEFLECTIONS"/>
      <sheetName val="TOTAL STIFFNESS"/>
      <sheetName val="X-DIR-COL-STIFF"/>
      <sheetName val="Z-DIR-COL-STIFF"/>
      <sheetName val="X-DIR-CORE-STIFF"/>
      <sheetName val="Z-DIR-CORE-STIFF"/>
      <sheetName val="X-DIR-COL-SF"/>
      <sheetName val="Z-DIR-COL-SF"/>
      <sheetName val="X-DIR-CORE-SF"/>
      <sheetName val="Z-DIR-CORE-SF"/>
      <sheetName val="REPORT"/>
      <sheetName val="FL-WEIGHTS"/>
      <sheetName val="GF"/>
      <sheetName val="1ST"/>
      <sheetName val="2ND"/>
      <sheetName val="3RD"/>
      <sheetName val="4TH"/>
      <sheetName val="5TH"/>
      <sheetName val="6TH"/>
      <sheetName val="7TH"/>
      <sheetName val="8TH"/>
      <sheetName val="9TH"/>
      <sheetName val="10TH"/>
      <sheetName val="11TH"/>
      <sheetName val="12TH"/>
      <sheetName val="13TH"/>
      <sheetName val="14TH"/>
      <sheetName val="TERRACE"/>
      <sheetName val="STAADFORCE"/>
    </sheetNames>
    <sheetDataSet>
      <sheetData sheetId="0">
        <row r="44">
          <cell r="V44" t="str">
            <v>0.0488 x 65¾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MODE 1 CHECK"/>
      <sheetName val="MODE 2 check"/>
      <sheetName val="FL-WEIGHTS"/>
      <sheetName val="STATIC"/>
      <sheetName val="MODE 1"/>
      <sheetName val="MODE 2"/>
      <sheetName val="summary"/>
      <sheetName val="zone-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NOT FULL RESTRAINT"/>
      <sheetName val="FULL RESTRAINT"/>
      <sheetName val="CANTILEVER"/>
      <sheetName val="BEARING &amp; BUCKLING"/>
      <sheetName val="Factors"/>
      <sheetName val="Notes"/>
      <sheetName val="About"/>
      <sheetName val="Other"/>
      <sheetName val="UB"/>
      <sheetName val="UC"/>
      <sheetName val="RSJ"/>
      <sheetName val="PFC"/>
    </sheetNames>
    <sheetDataSet>
      <sheetData sheetId="0" refreshError="1">
        <row r="9">
          <cell r="D9">
            <v>15.5</v>
          </cell>
        </row>
        <row r="12">
          <cell r="D12">
            <v>1.4</v>
          </cell>
          <cell r="G12">
            <v>205000</v>
          </cell>
        </row>
        <row r="13">
          <cell r="D13">
            <v>1.6</v>
          </cell>
        </row>
        <row r="14">
          <cell r="AD14">
            <v>0</v>
          </cell>
          <cell r="AE14">
            <v>23.617309286020831</v>
          </cell>
          <cell r="AF14">
            <v>46.434031816583335</v>
          </cell>
          <cell r="AG14">
            <v>68.450167591687489</v>
          </cell>
          <cell r="AH14">
            <v>89.665716611333323</v>
          </cell>
          <cell r="AI14">
            <v>110.08067887552082</v>
          </cell>
          <cell r="AJ14">
            <v>129.69505438425</v>
          </cell>
          <cell r="AK14">
            <v>148.50884313752081</v>
          </cell>
          <cell r="AL14">
            <v>166.52204513533331</v>
          </cell>
          <cell r="AM14">
            <v>183.73466037768748</v>
          </cell>
          <cell r="AN14">
            <v>200.14668886458333</v>
          </cell>
          <cell r="AO14">
            <v>215.75813059602081</v>
          </cell>
          <cell r="AP14">
            <v>230.568985572</v>
          </cell>
          <cell r="AQ14">
            <v>244.5792537925208</v>
          </cell>
          <cell r="AR14">
            <v>257.78893525758332</v>
          </cell>
          <cell r="AS14">
            <v>270.19802996718744</v>
          </cell>
          <cell r="AT14">
            <v>281.8065379213333</v>
          </cell>
          <cell r="AU14">
            <v>292.6144591200208</v>
          </cell>
          <cell r="AV14">
            <v>302.62179356324998</v>
          </cell>
          <cell r="AW14">
            <v>311.82854125102079</v>
          </cell>
          <cell r="AX14">
            <v>320.2347021833333</v>
          </cell>
          <cell r="AY14">
            <v>327.84027636018749</v>
          </cell>
          <cell r="AZ14">
            <v>334.64526378158325</v>
          </cell>
          <cell r="BA14">
            <v>340.64966444752082</v>
          </cell>
          <cell r="BB14">
            <v>345.85347835800002</v>
          </cell>
          <cell r="BC14">
            <v>350.25670551302085</v>
          </cell>
          <cell r="BD14">
            <v>353.85934591258331</v>
          </cell>
          <cell r="BE14">
            <v>356.66139955668746</v>
          </cell>
          <cell r="BF14">
            <v>358.66286644533335</v>
          </cell>
          <cell r="BG14">
            <v>359.86374657852082</v>
          </cell>
          <cell r="BH14">
            <v>360.26403995624992</v>
          </cell>
          <cell r="BI14">
            <v>359.86374657852082</v>
          </cell>
          <cell r="BJ14">
            <v>358.66286644533329</v>
          </cell>
          <cell r="BK14">
            <v>356.66139955668746</v>
          </cell>
          <cell r="BL14">
            <v>353.85934591258331</v>
          </cell>
          <cell r="BM14">
            <v>350.25670551302079</v>
          </cell>
          <cell r="BN14">
            <v>345.85347835799996</v>
          </cell>
          <cell r="BO14">
            <v>340.64966444752076</v>
          </cell>
          <cell r="BP14">
            <v>334.6452637815832</v>
          </cell>
          <cell r="BQ14">
            <v>327.84027636018732</v>
          </cell>
          <cell r="BR14">
            <v>320.23470218333318</v>
          </cell>
          <cell r="BS14">
            <v>311.82854125102057</v>
          </cell>
          <cell r="BT14">
            <v>302.6217935632497</v>
          </cell>
          <cell r="BU14">
            <v>292.61445912002046</v>
          </cell>
          <cell r="BV14">
            <v>281.8065379213329</v>
          </cell>
          <cell r="BW14">
            <v>270.19802996718698</v>
          </cell>
          <cell r="BX14">
            <v>257.78893525758281</v>
          </cell>
          <cell r="BY14">
            <v>244.57925379252018</v>
          </cell>
          <cell r="BZ14">
            <v>230.56898557199926</v>
          </cell>
          <cell r="CA14">
            <v>215.75813059602007</v>
          </cell>
          <cell r="CB14">
            <v>200.14668886458244</v>
          </cell>
          <cell r="CC14">
            <v>183.73466037768651</v>
          </cell>
          <cell r="CD14">
            <v>166.52204513533223</v>
          </cell>
          <cell r="CE14">
            <v>148.50884313751962</v>
          </cell>
          <cell r="CF14">
            <v>129.69505438424869</v>
          </cell>
          <cell r="CG14">
            <v>110.08067887551941</v>
          </cell>
          <cell r="CH14">
            <v>89.665716611331788</v>
          </cell>
          <cell r="CI14">
            <v>68.450167591685826</v>
          </cell>
          <cell r="CJ14">
            <v>46.43403181658153</v>
          </cell>
          <cell r="CK14">
            <v>23.617309286018894</v>
          </cell>
          <cell r="CL14">
            <v>-1.9198724740987518E-12</v>
          </cell>
        </row>
        <row r="16">
          <cell r="S16">
            <v>11580</v>
          </cell>
        </row>
        <row r="17">
          <cell r="S17">
            <v>14240</v>
          </cell>
        </row>
        <row r="24">
          <cell r="AD24">
            <v>92.971365149999997</v>
          </cell>
          <cell r="AE24">
            <v>89.872319645000005</v>
          </cell>
          <cell r="AF24">
            <v>86.773274139999998</v>
          </cell>
          <cell r="AG24">
            <v>83.674228634999992</v>
          </cell>
          <cell r="AH24">
            <v>80.575183129999999</v>
          </cell>
          <cell r="AI24">
            <v>77.476137625000007</v>
          </cell>
          <cell r="AJ24">
            <v>74.37709212</v>
          </cell>
          <cell r="AK24">
            <v>71.278046615000008</v>
          </cell>
          <cell r="AL24">
            <v>68.179001110000002</v>
          </cell>
          <cell r="AM24">
            <v>65.079955604999995</v>
          </cell>
          <cell r="AN24">
            <v>61.980910100000003</v>
          </cell>
          <cell r="AO24">
            <v>58.881864594999996</v>
          </cell>
          <cell r="AP24">
            <v>55.782819090000011</v>
          </cell>
          <cell r="AQ24">
            <v>52.683773584999997</v>
          </cell>
          <cell r="AR24">
            <v>49.584728080000005</v>
          </cell>
          <cell r="AS24">
            <v>46.485682574999998</v>
          </cell>
          <cell r="AT24">
            <v>43.386637069999999</v>
          </cell>
          <cell r="AU24">
            <v>40.287591565</v>
          </cell>
          <cell r="AV24">
            <v>37.18854606</v>
          </cell>
          <cell r="AW24">
            <v>34.089500555000001</v>
          </cell>
          <cell r="AX24">
            <v>30.990455050000001</v>
          </cell>
          <cell r="AY24">
            <v>27.891409545000005</v>
          </cell>
          <cell r="AZ24">
            <v>24.792364040000002</v>
          </cell>
          <cell r="BA24">
            <v>21.693318535000003</v>
          </cell>
          <cell r="BB24">
            <v>18.594273030000004</v>
          </cell>
          <cell r="BC24">
            <v>15.495227525000006</v>
          </cell>
          <cell r="BD24">
            <v>12.396182020000007</v>
          </cell>
          <cell r="BE24">
            <v>9.2971365150000089</v>
          </cell>
          <cell r="BF24">
            <v>6.1980910100000095</v>
          </cell>
          <cell r="BG24">
            <v>3.0990455050000096</v>
          </cell>
          <cell r="BH24">
            <v>1.0321895022036287E-14</v>
          </cell>
          <cell r="BI24">
            <v>-3.0990455049999888</v>
          </cell>
          <cell r="BJ24">
            <v>-6.1980910099999988</v>
          </cell>
          <cell r="BK24">
            <v>-9.2971365150000089</v>
          </cell>
          <cell r="BL24">
            <v>-12.396182020000019</v>
          </cell>
          <cell r="BM24">
            <v>-15.495227525000027</v>
          </cell>
          <cell r="BN24">
            <v>-18.594273030000039</v>
          </cell>
          <cell r="BO24">
            <v>-21.693318535000046</v>
          </cell>
          <cell r="BP24">
            <v>-24.792364040000056</v>
          </cell>
          <cell r="BQ24">
            <v>-27.891409545000066</v>
          </cell>
          <cell r="BR24">
            <v>-30.990455050000076</v>
          </cell>
          <cell r="BS24">
            <v>-34.089500555000086</v>
          </cell>
          <cell r="BT24">
            <v>-37.188546060000093</v>
          </cell>
          <cell r="BU24">
            <v>-40.287591565000099</v>
          </cell>
          <cell r="BV24">
            <v>-43.386637070000113</v>
          </cell>
          <cell r="BW24">
            <v>-46.485682575000126</v>
          </cell>
          <cell r="BX24">
            <v>-49.584728080000133</v>
          </cell>
          <cell r="BY24">
            <v>-52.683773585000139</v>
          </cell>
          <cell r="BZ24">
            <v>-55.782819090000146</v>
          </cell>
          <cell r="CA24">
            <v>-58.881864595000167</v>
          </cell>
          <cell r="CB24">
            <v>-61.980910100000173</v>
          </cell>
          <cell r="CC24">
            <v>-65.07995560500018</v>
          </cell>
          <cell r="CD24">
            <v>-68.179001110000186</v>
          </cell>
          <cell r="CE24">
            <v>-71.278046615000193</v>
          </cell>
          <cell r="CF24">
            <v>-74.377092120000214</v>
          </cell>
          <cell r="CG24">
            <v>-77.47613762500022</v>
          </cell>
          <cell r="CH24">
            <v>-80.575183130000227</v>
          </cell>
          <cell r="CI24">
            <v>-83.674228635000247</v>
          </cell>
          <cell r="CJ24">
            <v>-86.77327414000024</v>
          </cell>
          <cell r="CK24">
            <v>-89.87231964500026</v>
          </cell>
          <cell r="CL24">
            <v>-92.971365150000253</v>
          </cell>
        </row>
        <row r="33">
          <cell r="D33">
            <v>245</v>
          </cell>
          <cell r="AD33">
            <v>0</v>
          </cell>
          <cell r="AE33">
            <v>-4.5879923274053866E-2</v>
          </cell>
          <cell r="AF33">
            <v>-9.1609804507208001E-2</v>
          </cell>
          <cell r="AG33">
            <v>-0.13704427718958209</v>
          </cell>
          <cell r="AH33">
            <v>-0.18204307539059003</v>
          </cell>
          <cell r="AI33">
            <v>-0.22647103375893962</v>
          </cell>
          <cell r="AJ33">
            <v>-0.27019808752263286</v>
          </cell>
          <cell r="AK33">
            <v>-0.31309927248896569</v>
          </cell>
          <cell r="AL33">
            <v>-0.35505472504452801</v>
          </cell>
          <cell r="AM33">
            <v>-0.39594968215520376</v>
          </cell>
          <cell r="AN33">
            <v>-0.43567448136617143</v>
          </cell>
          <cell r="AO33">
            <v>-0.47412456080190252</v>
          </cell>
          <cell r="AP33">
            <v>-0.51120045916616363</v>
          </cell>
          <cell r="AQ33">
            <v>-0.54680781574201487</v>
          </cell>
          <cell r="AR33">
            <v>-0.58085737039181073</v>
          </cell>
          <cell r="AS33">
            <v>-0.61326496355719895</v>
          </cell>
          <cell r="AT33">
            <v>-0.64395153625912249</v>
          </cell>
          <cell r="AU33">
            <v>-0.67284313009781704</v>
          </cell>
          <cell r="AV33">
            <v>-0.69987088725281354</v>
          </cell>
          <cell r="AW33">
            <v>-0.7249710504829362</v>
          </cell>
          <cell r="AX33">
            <v>-0.7480849631263039</v>
          </cell>
          <cell r="AY33">
            <v>-0.76915906910032861</v>
          </cell>
          <cell r="AZ33">
            <v>-0.7881449129017174</v>
          </cell>
          <cell r="BA33">
            <v>-0.80499913960647085</v>
          </cell>
          <cell r="BB33">
            <v>-0.81968349486988334</v>
          </cell>
          <cell r="BC33">
            <v>-0.83216482492654353</v>
          </cell>
          <cell r="BD33">
            <v>-0.84241507659033454</v>
          </cell>
          <cell r="BE33">
            <v>-0.85041129725443343</v>
          </cell>
          <cell r="BF33">
            <v>-0.8561356348913105</v>
          </cell>
          <cell r="BG33">
            <v>-0.85957533805273068</v>
          </cell>
          <cell r="BH33">
            <v>-0.86072275586975289</v>
          </cell>
          <cell r="BI33">
            <v>-0.85957533805273068</v>
          </cell>
          <cell r="BJ33">
            <v>-0.8561356348913105</v>
          </cell>
          <cell r="BK33">
            <v>-0.85041129725443343</v>
          </cell>
          <cell r="BL33">
            <v>-0.84241507659033465</v>
          </cell>
          <cell r="BM33">
            <v>-0.83216482492654353</v>
          </cell>
          <cell r="BN33">
            <v>-0.81968349486988279</v>
          </cell>
          <cell r="BO33">
            <v>-0.80499913960647052</v>
          </cell>
          <cell r="BP33">
            <v>-0.78814491290171718</v>
          </cell>
          <cell r="BQ33">
            <v>-0.76915906910032827</v>
          </cell>
          <cell r="BR33">
            <v>-0.74808496312630313</v>
          </cell>
          <cell r="BS33">
            <v>-0.72497105048293575</v>
          </cell>
          <cell r="BT33">
            <v>-0.69987088725281288</v>
          </cell>
          <cell r="BU33">
            <v>-0.67284313009781616</v>
          </cell>
          <cell r="BV33">
            <v>-0.64395153625912116</v>
          </cell>
          <cell r="BW33">
            <v>-0.61326496355719773</v>
          </cell>
          <cell r="BX33">
            <v>-0.5808573703918094</v>
          </cell>
          <cell r="BY33">
            <v>-0.54680781574201343</v>
          </cell>
          <cell r="BZ33">
            <v>-0.51120045916616175</v>
          </cell>
          <cell r="CA33">
            <v>-0.47412456080190052</v>
          </cell>
          <cell r="CB33">
            <v>-0.43567448136616915</v>
          </cell>
          <cell r="CC33">
            <v>-0.39594968215520143</v>
          </cell>
          <cell r="CD33">
            <v>-0.3550547250445254</v>
          </cell>
          <cell r="CE33">
            <v>-0.31309927248896291</v>
          </cell>
          <cell r="CF33">
            <v>-0.27019808752262992</v>
          </cell>
          <cell r="CG33">
            <v>-0.22647103375893654</v>
          </cell>
          <cell r="CH33">
            <v>-0.1820430753905867</v>
          </cell>
          <cell r="CI33">
            <v>-0.13704427718957862</v>
          </cell>
          <cell r="CJ33">
            <v>-9.1609804507204309E-2</v>
          </cell>
          <cell r="CK33">
            <v>-4.5879923274050029E-2</v>
          </cell>
          <cell r="CL33">
            <v>3.6694818101200034E-15</v>
          </cell>
        </row>
        <row r="36">
          <cell r="H36">
            <v>3320.8711200000007</v>
          </cell>
        </row>
        <row r="40">
          <cell r="P40">
            <v>2680.4174040000007</v>
          </cell>
        </row>
        <row r="43">
          <cell r="AD43">
            <v>0</v>
          </cell>
          <cell r="AE43">
            <v>-0.60280559664171296</v>
          </cell>
          <cell r="AF43">
            <v>-1.2036398259503629</v>
          </cell>
          <cell r="AG43">
            <v>-1.8005927513029816</v>
          </cell>
          <cell r="AH43">
            <v>-2.3918214513967047</v>
          </cell>
          <cell r="AI43">
            <v>-2.9755500202487735</v>
          </cell>
          <cell r="AJ43">
            <v>-3.5500695671965321</v>
          </cell>
          <cell r="AK43">
            <v>-4.1137382168974295</v>
          </cell>
          <cell r="AL43">
            <v>-4.6649811093290197</v>
          </cell>
          <cell r="AM43">
            <v>-5.2022903997889536</v>
          </cell>
          <cell r="AN43">
            <v>-5.7242252588950029</v>
          </cell>
          <cell r="AO43">
            <v>-6.2294118725850218</v>
          </cell>
          <cell r="AP43">
            <v>-6.7165434421169845</v>
          </cell>
          <cell r="AQ43">
            <v>-7.1843801840689689</v>
          </cell>
          <cell r="AR43">
            <v>-7.6317493303391455</v>
          </cell>
          <cell r="AS43">
            <v>-8.057545128145799</v>
          </cell>
          <cell r="AT43">
            <v>-8.4607288400273166</v>
          </cell>
          <cell r="AU43">
            <v>-8.8403287438421838</v>
          </cell>
          <cell r="AV43">
            <v>-9.1954401327689972</v>
          </cell>
          <cell r="AW43">
            <v>-9.5252253153064608</v>
          </cell>
          <cell r="AX43">
            <v>-9.8289136152733683</v>
          </cell>
          <cell r="AY43">
            <v>-10.105801371808631</v>
          </cell>
          <cell r="AZ43">
            <v>-10.355251939371257</v>
          </cell>
          <cell r="BA43">
            <v>-10.576695687740365</v>
          </cell>
          <cell r="BB43">
            <v>-10.76963000201517</v>
          </cell>
          <cell r="BC43">
            <v>-10.933619282614993</v>
          </cell>
          <cell r="BD43">
            <v>-11.06829494527927</v>
          </cell>
          <cell r="BE43">
            <v>-11.173355421067527</v>
          </cell>
          <cell r="BF43">
            <v>-11.248566156359399</v>
          </cell>
          <cell r="BG43">
            <v>-11.293759612854627</v>
          </cell>
          <cell r="BH43">
            <v>-11.308835267573048</v>
          </cell>
          <cell r="BI43">
            <v>-11.293759612854625</v>
          </cell>
          <cell r="BJ43">
            <v>-11.248566156359395</v>
          </cell>
          <cell r="BK43">
            <v>-11.173355421067527</v>
          </cell>
          <cell r="BL43">
            <v>-11.068294945279272</v>
          </cell>
          <cell r="BM43">
            <v>-10.933619282614993</v>
          </cell>
          <cell r="BN43">
            <v>-10.769630002015166</v>
          </cell>
          <cell r="BO43">
            <v>-10.57669568774036</v>
          </cell>
          <cell r="BP43">
            <v>-10.355251939371254</v>
          </cell>
          <cell r="BQ43">
            <v>-10.105801371808624</v>
          </cell>
          <cell r="BR43">
            <v>-9.8289136152733576</v>
          </cell>
          <cell r="BS43">
            <v>-9.5252253153064537</v>
          </cell>
          <cell r="BT43">
            <v>-9.1954401327689901</v>
          </cell>
          <cell r="BU43">
            <v>-8.8403287438421732</v>
          </cell>
          <cell r="BV43">
            <v>-8.4607288400272989</v>
          </cell>
          <cell r="BW43">
            <v>-8.0575451281457813</v>
          </cell>
          <cell r="BX43">
            <v>-7.6317493303391277</v>
          </cell>
          <cell r="BY43">
            <v>-7.1843801840689476</v>
          </cell>
          <cell r="BZ43">
            <v>-6.7165434421169623</v>
          </cell>
          <cell r="CA43">
            <v>-6.2294118725849952</v>
          </cell>
          <cell r="CB43">
            <v>-5.7242252588949727</v>
          </cell>
          <cell r="CC43">
            <v>-5.2022903997889243</v>
          </cell>
          <cell r="CD43">
            <v>-4.664981109328985</v>
          </cell>
          <cell r="CE43">
            <v>-4.1137382168973939</v>
          </cell>
          <cell r="CF43">
            <v>-3.5500695671964939</v>
          </cell>
          <cell r="CG43">
            <v>-2.9755500202487326</v>
          </cell>
          <cell r="CH43">
            <v>-2.3918214513966611</v>
          </cell>
          <cell r="CI43">
            <v>-1.8005927513029356</v>
          </cell>
          <cell r="CJ43">
            <v>-1.2036398259503147</v>
          </cell>
          <cell r="CK43">
            <v>-0.60280559664166278</v>
          </cell>
          <cell r="CL43">
            <v>4.8212464495689972E-14</v>
          </cell>
        </row>
      </sheetData>
      <sheetData sheetId="1" refreshError="1"/>
      <sheetData sheetId="2" refreshError="1"/>
      <sheetData sheetId="3" refreshError="1">
        <row r="11">
          <cell r="S11">
            <v>9</v>
          </cell>
        </row>
        <row r="18">
          <cell r="E18">
            <v>275</v>
          </cell>
        </row>
        <row r="40">
          <cell r="M40">
            <v>178.24998534650862</v>
          </cell>
        </row>
      </sheetData>
      <sheetData sheetId="4" refreshError="1">
        <row r="21">
          <cell r="C21">
            <v>1</v>
          </cell>
          <cell r="P21">
            <v>1</v>
          </cell>
          <cell r="Q21">
            <v>0.8</v>
          </cell>
          <cell r="R21">
            <v>0.6</v>
          </cell>
          <cell r="S21">
            <v>0.4</v>
          </cell>
          <cell r="T21">
            <v>0.2</v>
          </cell>
          <cell r="U21">
            <v>0</v>
          </cell>
          <cell r="V21">
            <v>-0.2</v>
          </cell>
          <cell r="W21">
            <v>-0.4</v>
          </cell>
          <cell r="X21">
            <v>-0.6</v>
          </cell>
          <cell r="Y21">
            <v>-0.8</v>
          </cell>
          <cell r="Z21">
            <v>-1</v>
          </cell>
        </row>
        <row r="22">
          <cell r="B22" t="str">
            <v>&gt; 50.00</v>
          </cell>
          <cell r="C22">
            <v>1</v>
          </cell>
          <cell r="D22">
            <v>0.96</v>
          </cell>
          <cell r="E22">
            <v>0.91</v>
          </cell>
          <cell r="F22">
            <v>0.86</v>
          </cell>
          <cell r="G22">
            <v>0.82</v>
          </cell>
          <cell r="H22">
            <v>0.77</v>
          </cell>
          <cell r="I22">
            <v>0.72</v>
          </cell>
          <cell r="J22">
            <v>0.68</v>
          </cell>
          <cell r="K22">
            <v>0.65</v>
          </cell>
          <cell r="L22">
            <v>0.65</v>
          </cell>
          <cell r="M22">
            <v>0.65</v>
          </cell>
          <cell r="O22" t="str">
            <v>&gt; 50.00</v>
          </cell>
          <cell r="P22">
            <v>1</v>
          </cell>
          <cell r="Q22">
            <v>0.96</v>
          </cell>
          <cell r="R22">
            <v>0.91</v>
          </cell>
          <cell r="S22">
            <v>0.86</v>
          </cell>
          <cell r="T22">
            <v>0.82</v>
          </cell>
          <cell r="U22">
            <v>0.77</v>
          </cell>
          <cell r="V22">
            <v>0.72</v>
          </cell>
          <cell r="W22">
            <v>0.68</v>
          </cell>
          <cell r="X22">
            <v>0.65</v>
          </cell>
          <cell r="Y22">
            <v>0.65</v>
          </cell>
          <cell r="Z22">
            <v>0.65</v>
          </cell>
        </row>
        <row r="23">
          <cell r="B23">
            <v>50</v>
          </cell>
          <cell r="C23">
            <v>1</v>
          </cell>
          <cell r="D23">
            <v>0.96</v>
          </cell>
          <cell r="E23">
            <v>0.92</v>
          </cell>
          <cell r="F23">
            <v>0.87</v>
          </cell>
          <cell r="G23">
            <v>0.82</v>
          </cell>
          <cell r="H23">
            <v>0.77</v>
          </cell>
          <cell r="I23">
            <v>0.72</v>
          </cell>
          <cell r="J23">
            <v>0.67</v>
          </cell>
          <cell r="K23">
            <v>0.66</v>
          </cell>
          <cell r="L23">
            <v>0.66</v>
          </cell>
          <cell r="M23">
            <v>0.65</v>
          </cell>
          <cell r="O23">
            <v>50</v>
          </cell>
          <cell r="P23">
            <v>1</v>
          </cell>
          <cell r="Q23">
            <v>0.96</v>
          </cell>
          <cell r="R23">
            <v>0.92</v>
          </cell>
          <cell r="S23">
            <v>0.87</v>
          </cell>
          <cell r="T23">
            <v>0.83</v>
          </cell>
          <cell r="U23">
            <v>0.77</v>
          </cell>
          <cell r="V23">
            <v>0.72</v>
          </cell>
          <cell r="W23">
            <v>0.67</v>
          </cell>
          <cell r="X23">
            <v>0.66</v>
          </cell>
          <cell r="Y23">
            <v>0.66</v>
          </cell>
          <cell r="Z23">
            <v>0.65</v>
          </cell>
        </row>
        <row r="24">
          <cell r="B24">
            <v>10</v>
          </cell>
          <cell r="C24">
            <v>0.99</v>
          </cell>
          <cell r="D24">
            <v>0.99</v>
          </cell>
          <cell r="E24">
            <v>0.94</v>
          </cell>
          <cell r="F24">
            <v>0.9</v>
          </cell>
          <cell r="G24">
            <v>0.85</v>
          </cell>
          <cell r="H24">
            <v>0.8</v>
          </cell>
          <cell r="I24">
            <v>0.75</v>
          </cell>
          <cell r="J24">
            <v>0.69</v>
          </cell>
          <cell r="K24">
            <v>0.68</v>
          </cell>
          <cell r="L24">
            <v>0.68</v>
          </cell>
          <cell r="M24">
            <v>0.67</v>
          </cell>
          <cell r="O24">
            <v>10</v>
          </cell>
          <cell r="P24">
            <v>0.99</v>
          </cell>
          <cell r="Q24">
            <v>0.98</v>
          </cell>
          <cell r="R24">
            <v>0.95</v>
          </cell>
          <cell r="S24">
            <v>0.91</v>
          </cell>
          <cell r="T24">
            <v>0.86</v>
          </cell>
          <cell r="U24">
            <v>0.81</v>
          </cell>
          <cell r="V24">
            <v>0.76</v>
          </cell>
          <cell r="W24">
            <v>0.7</v>
          </cell>
          <cell r="X24">
            <v>0.68</v>
          </cell>
          <cell r="Y24">
            <v>0.68</v>
          </cell>
          <cell r="Z24">
            <v>0.67</v>
          </cell>
        </row>
        <row r="25">
          <cell r="B25">
            <v>5</v>
          </cell>
          <cell r="C25">
            <v>0.98</v>
          </cell>
          <cell r="D25">
            <v>0.98</v>
          </cell>
          <cell r="E25">
            <v>0.97</v>
          </cell>
          <cell r="F25">
            <v>0.93</v>
          </cell>
          <cell r="G25">
            <v>0.89</v>
          </cell>
          <cell r="H25">
            <v>0.84</v>
          </cell>
          <cell r="I25">
            <v>0.79</v>
          </cell>
          <cell r="J25">
            <v>0.73</v>
          </cell>
          <cell r="K25">
            <v>0.71</v>
          </cell>
          <cell r="L25">
            <v>0.7</v>
          </cell>
          <cell r="M25">
            <v>0.7</v>
          </cell>
          <cell r="O25">
            <v>5</v>
          </cell>
          <cell r="P25">
            <v>0.99</v>
          </cell>
          <cell r="Q25">
            <v>0.98</v>
          </cell>
          <cell r="R25">
            <v>0.97</v>
          </cell>
          <cell r="S25">
            <v>0.94</v>
          </cell>
          <cell r="T25">
            <v>0.9</v>
          </cell>
          <cell r="U25">
            <v>0.85</v>
          </cell>
          <cell r="V25">
            <v>0.8</v>
          </cell>
          <cell r="W25">
            <v>0.75</v>
          </cell>
          <cell r="X25">
            <v>0.71</v>
          </cell>
          <cell r="Y25">
            <v>0.7</v>
          </cell>
          <cell r="Z25">
            <v>0.7</v>
          </cell>
        </row>
        <row r="26">
          <cell r="B26">
            <v>2</v>
          </cell>
          <cell r="C26">
            <v>0.96</v>
          </cell>
          <cell r="D26">
            <v>0.95</v>
          </cell>
          <cell r="E26">
            <v>0.95</v>
          </cell>
          <cell r="F26">
            <v>0.95</v>
          </cell>
          <cell r="G26">
            <v>0.94</v>
          </cell>
          <cell r="H26">
            <v>0.94</v>
          </cell>
          <cell r="I26">
            <v>0.89</v>
          </cell>
          <cell r="J26">
            <v>0.84</v>
          </cell>
          <cell r="K26">
            <v>0.79</v>
          </cell>
          <cell r="L26">
            <v>0.77</v>
          </cell>
          <cell r="M26">
            <v>0.76</v>
          </cell>
          <cell r="O26">
            <v>2</v>
          </cell>
          <cell r="P26">
            <v>0.98</v>
          </cell>
          <cell r="Q26">
            <v>0.98</v>
          </cell>
          <cell r="R26">
            <v>0.97</v>
          </cell>
          <cell r="S26">
            <v>0.96</v>
          </cell>
          <cell r="T26">
            <v>0.94</v>
          </cell>
          <cell r="U26">
            <v>0.92</v>
          </cell>
          <cell r="V26">
            <v>0.9</v>
          </cell>
          <cell r="W26">
            <v>0.86</v>
          </cell>
          <cell r="X26">
            <v>0.82</v>
          </cell>
          <cell r="Y26">
            <v>0.78</v>
          </cell>
          <cell r="Z26">
            <v>0.76</v>
          </cell>
        </row>
        <row r="27">
          <cell r="B27">
            <v>1.5</v>
          </cell>
          <cell r="C27">
            <v>0.95</v>
          </cell>
          <cell r="D27">
            <v>0.95</v>
          </cell>
          <cell r="E27">
            <v>0.94</v>
          </cell>
          <cell r="F27">
            <v>0.94</v>
          </cell>
          <cell r="G27">
            <v>0.93</v>
          </cell>
          <cell r="H27">
            <v>0.93</v>
          </cell>
          <cell r="I27">
            <v>0.92</v>
          </cell>
          <cell r="J27">
            <v>0.9</v>
          </cell>
          <cell r="K27">
            <v>0.85</v>
          </cell>
          <cell r="L27">
            <v>0.8</v>
          </cell>
          <cell r="M27">
            <v>0.8</v>
          </cell>
          <cell r="O27">
            <v>1.5</v>
          </cell>
          <cell r="P27">
            <v>0.97</v>
          </cell>
          <cell r="Q27">
            <v>0.97</v>
          </cell>
          <cell r="R27">
            <v>0.97</v>
          </cell>
          <cell r="S27">
            <v>0.96</v>
          </cell>
          <cell r="T27">
            <v>0.95</v>
          </cell>
          <cell r="U27">
            <v>0.93</v>
          </cell>
          <cell r="V27">
            <v>0.92</v>
          </cell>
          <cell r="W27">
            <v>0.89</v>
          </cell>
          <cell r="X27">
            <v>0.86</v>
          </cell>
          <cell r="Y27">
            <v>0.83</v>
          </cell>
          <cell r="Z27">
            <v>0.79</v>
          </cell>
        </row>
        <row r="28">
          <cell r="B28">
            <v>1</v>
          </cell>
          <cell r="C28">
            <v>0.93</v>
          </cell>
          <cell r="D28">
            <v>0.92</v>
          </cell>
          <cell r="E28">
            <v>0.92</v>
          </cell>
          <cell r="F28">
            <v>0.92</v>
          </cell>
          <cell r="G28">
            <v>0.92</v>
          </cell>
          <cell r="H28">
            <v>0.91</v>
          </cell>
          <cell r="I28">
            <v>0.91</v>
          </cell>
          <cell r="J28">
            <v>0.91</v>
          </cell>
          <cell r="K28">
            <v>0.91</v>
          </cell>
          <cell r="L28">
            <v>0.92</v>
          </cell>
          <cell r="M28">
            <v>0.92</v>
          </cell>
          <cell r="O28">
            <v>1</v>
          </cell>
          <cell r="P28">
            <v>0.97</v>
          </cell>
          <cell r="Q28">
            <v>0.97</v>
          </cell>
          <cell r="R28">
            <v>0.97</v>
          </cell>
          <cell r="S28">
            <v>0.96</v>
          </cell>
          <cell r="T28">
            <v>0.96</v>
          </cell>
          <cell r="U28">
            <v>0.95</v>
          </cell>
          <cell r="V28">
            <v>0.94</v>
          </cell>
          <cell r="W28">
            <v>0.93</v>
          </cell>
          <cell r="X28">
            <v>0.93</v>
          </cell>
          <cell r="Y28">
            <v>0.91</v>
          </cell>
          <cell r="Z28">
            <v>0.89</v>
          </cell>
        </row>
        <row r="29">
          <cell r="B29">
            <v>0.5</v>
          </cell>
          <cell r="C29">
            <v>0.9</v>
          </cell>
          <cell r="D29">
            <v>0.9</v>
          </cell>
          <cell r="E29">
            <v>0.9</v>
          </cell>
          <cell r="F29">
            <v>0.89</v>
          </cell>
          <cell r="G29">
            <v>0.89</v>
          </cell>
          <cell r="H29">
            <v>0.89</v>
          </cell>
          <cell r="I29">
            <v>0.89</v>
          </cell>
          <cell r="J29">
            <v>0.89</v>
          </cell>
          <cell r="K29">
            <v>0.88</v>
          </cell>
          <cell r="L29">
            <v>0.88</v>
          </cell>
          <cell r="M29">
            <v>0.88</v>
          </cell>
          <cell r="O29">
            <v>0.5</v>
          </cell>
          <cell r="P29">
            <v>0.96</v>
          </cell>
          <cell r="Q29">
            <v>0.96</v>
          </cell>
          <cell r="R29">
            <v>0.96</v>
          </cell>
          <cell r="S29">
            <v>0.96</v>
          </cell>
          <cell r="T29">
            <v>0.96</v>
          </cell>
          <cell r="U29">
            <v>0.95</v>
          </cell>
          <cell r="V29">
            <v>0.94</v>
          </cell>
          <cell r="W29">
            <v>0.94</v>
          </cell>
          <cell r="X29">
            <v>0.94</v>
          </cell>
          <cell r="Y29">
            <v>0.93</v>
          </cell>
          <cell r="Z29">
            <v>0.92</v>
          </cell>
        </row>
        <row r="30">
          <cell r="B30">
            <v>0</v>
          </cell>
          <cell r="C30">
            <v>0.86</v>
          </cell>
          <cell r="D30">
            <v>0.86</v>
          </cell>
          <cell r="E30">
            <v>0.86</v>
          </cell>
          <cell r="F30">
            <v>0.86</v>
          </cell>
          <cell r="G30">
            <v>0.86</v>
          </cell>
          <cell r="H30">
            <v>0.86</v>
          </cell>
          <cell r="I30">
            <v>0.86</v>
          </cell>
          <cell r="J30">
            <v>0.86</v>
          </cell>
          <cell r="K30">
            <v>0.86</v>
          </cell>
          <cell r="L30">
            <v>0.86</v>
          </cell>
          <cell r="M30">
            <v>0.86</v>
          </cell>
          <cell r="O30">
            <v>0</v>
          </cell>
          <cell r="P30">
            <v>0.94</v>
          </cell>
          <cell r="Q30">
            <v>0.94</v>
          </cell>
          <cell r="R30">
            <v>0.94</v>
          </cell>
          <cell r="S30">
            <v>0.94</v>
          </cell>
          <cell r="T30">
            <v>0.94</v>
          </cell>
          <cell r="U30">
            <v>0.94</v>
          </cell>
          <cell r="V30">
            <v>0.94</v>
          </cell>
          <cell r="W30">
            <v>0.94</v>
          </cell>
          <cell r="X30">
            <v>0.94</v>
          </cell>
          <cell r="Y30">
            <v>0.94</v>
          </cell>
          <cell r="Z30">
            <v>0.94</v>
          </cell>
        </row>
        <row r="31">
          <cell r="B31">
            <v>-0.1</v>
          </cell>
          <cell r="C31">
            <v>0.85</v>
          </cell>
          <cell r="D31">
            <v>0.85</v>
          </cell>
          <cell r="E31">
            <v>0.85</v>
          </cell>
          <cell r="F31">
            <v>0.85</v>
          </cell>
          <cell r="G31">
            <v>0.85</v>
          </cell>
          <cell r="H31">
            <v>0.86</v>
          </cell>
          <cell r="I31">
            <v>0.86</v>
          </cell>
          <cell r="J31">
            <v>0.86</v>
          </cell>
          <cell r="K31">
            <v>0.86</v>
          </cell>
          <cell r="L31">
            <v>0.86</v>
          </cell>
          <cell r="M31">
            <v>0.86</v>
          </cell>
          <cell r="O31">
            <v>-0.1</v>
          </cell>
          <cell r="P31">
            <v>0.93</v>
          </cell>
          <cell r="Q31">
            <v>0.93</v>
          </cell>
          <cell r="R31">
            <v>0.93</v>
          </cell>
          <cell r="S31">
            <v>0.93</v>
          </cell>
          <cell r="T31">
            <v>0.94</v>
          </cell>
          <cell r="U31">
            <v>0.94</v>
          </cell>
          <cell r="V31">
            <v>0.94</v>
          </cell>
          <cell r="W31">
            <v>0.94</v>
          </cell>
          <cell r="X31">
            <v>0.94</v>
          </cell>
          <cell r="Y31">
            <v>0.94</v>
          </cell>
          <cell r="Z31">
            <v>0.94</v>
          </cell>
        </row>
        <row r="32">
          <cell r="B32">
            <v>-0.2</v>
          </cell>
          <cell r="C32">
            <v>0.83</v>
          </cell>
          <cell r="D32">
            <v>0.83</v>
          </cell>
          <cell r="E32">
            <v>0.83</v>
          </cell>
          <cell r="F32">
            <v>0.84</v>
          </cell>
          <cell r="G32">
            <v>0.84</v>
          </cell>
          <cell r="H32">
            <v>0.85</v>
          </cell>
          <cell r="I32">
            <v>0.85</v>
          </cell>
          <cell r="J32">
            <v>0.85</v>
          </cell>
          <cell r="K32">
            <v>0.86</v>
          </cell>
          <cell r="L32">
            <v>0.86</v>
          </cell>
          <cell r="M32">
            <v>0.86</v>
          </cell>
          <cell r="O32">
            <v>-0.2</v>
          </cell>
          <cell r="P32">
            <v>0.92</v>
          </cell>
          <cell r="Q32">
            <v>0.92</v>
          </cell>
          <cell r="R32">
            <v>0.92</v>
          </cell>
          <cell r="S32">
            <v>0.92</v>
          </cell>
          <cell r="T32">
            <v>0.93</v>
          </cell>
          <cell r="U32">
            <v>0.93</v>
          </cell>
          <cell r="V32">
            <v>0.93</v>
          </cell>
          <cell r="W32">
            <v>0.93</v>
          </cell>
          <cell r="X32">
            <v>0.94</v>
          </cell>
          <cell r="Y32">
            <v>0.94</v>
          </cell>
          <cell r="Z32">
            <v>0.93</v>
          </cell>
        </row>
        <row r="33">
          <cell r="B33">
            <v>-0.3</v>
          </cell>
          <cell r="C33">
            <v>0.81</v>
          </cell>
          <cell r="D33">
            <v>0.82</v>
          </cell>
          <cell r="E33">
            <v>0.82</v>
          </cell>
          <cell r="F33">
            <v>0.83</v>
          </cell>
          <cell r="G33">
            <v>0.83</v>
          </cell>
          <cell r="H33">
            <v>0.84</v>
          </cell>
          <cell r="I33">
            <v>0.85</v>
          </cell>
          <cell r="J33">
            <v>0.85</v>
          </cell>
          <cell r="K33">
            <v>0.86</v>
          </cell>
          <cell r="L33">
            <v>0.86</v>
          </cell>
          <cell r="M33">
            <v>0.87</v>
          </cell>
          <cell r="O33">
            <v>-0.3</v>
          </cell>
          <cell r="P33">
            <v>0.91</v>
          </cell>
          <cell r="Q33">
            <v>0.91</v>
          </cell>
          <cell r="R33">
            <v>0.92</v>
          </cell>
          <cell r="S33">
            <v>0.92</v>
          </cell>
          <cell r="T33">
            <v>0.93</v>
          </cell>
          <cell r="U33">
            <v>0.93</v>
          </cell>
          <cell r="V33">
            <v>0.93</v>
          </cell>
          <cell r="W33">
            <v>0.93</v>
          </cell>
          <cell r="X33">
            <v>0.94</v>
          </cell>
          <cell r="Y33">
            <v>0.94</v>
          </cell>
          <cell r="Z33">
            <v>0.94</v>
          </cell>
        </row>
        <row r="34">
          <cell r="B34">
            <v>-0.4</v>
          </cell>
          <cell r="C34">
            <v>0.79</v>
          </cell>
          <cell r="D34">
            <v>0.8</v>
          </cell>
          <cell r="E34">
            <v>0.81</v>
          </cell>
          <cell r="F34">
            <v>0.81</v>
          </cell>
          <cell r="G34">
            <v>0.82</v>
          </cell>
          <cell r="H34">
            <v>0.83</v>
          </cell>
          <cell r="I34">
            <v>0.84</v>
          </cell>
          <cell r="J34">
            <v>0.85</v>
          </cell>
          <cell r="K34">
            <v>0.85</v>
          </cell>
          <cell r="L34">
            <v>0.86</v>
          </cell>
          <cell r="M34">
            <v>0.87</v>
          </cell>
          <cell r="O34">
            <v>-0.4</v>
          </cell>
          <cell r="P34">
            <v>0.9</v>
          </cell>
          <cell r="Q34">
            <v>0.9</v>
          </cell>
          <cell r="R34">
            <v>0.91</v>
          </cell>
          <cell r="S34">
            <v>0.91</v>
          </cell>
          <cell r="T34">
            <v>0.92</v>
          </cell>
          <cell r="U34">
            <v>0.92</v>
          </cell>
          <cell r="V34">
            <v>0.92</v>
          </cell>
          <cell r="W34">
            <v>0.92</v>
          </cell>
          <cell r="X34">
            <v>0.93</v>
          </cell>
          <cell r="Y34">
            <v>0.93</v>
          </cell>
          <cell r="Z34">
            <v>0.93</v>
          </cell>
        </row>
        <row r="35">
          <cell r="B35">
            <v>-0.5</v>
          </cell>
          <cell r="C35">
            <v>0.77</v>
          </cell>
          <cell r="D35">
            <v>0.78</v>
          </cell>
          <cell r="E35">
            <v>0.79</v>
          </cell>
          <cell r="F35">
            <v>0.8</v>
          </cell>
          <cell r="G35">
            <v>0.82</v>
          </cell>
          <cell r="H35">
            <v>0.83</v>
          </cell>
          <cell r="I35">
            <v>0.85</v>
          </cell>
          <cell r="J35">
            <v>0.86</v>
          </cell>
          <cell r="K35">
            <v>0.86</v>
          </cell>
          <cell r="L35">
            <v>0.87</v>
          </cell>
          <cell r="M35">
            <v>0.88</v>
          </cell>
          <cell r="O35">
            <v>-0.5</v>
          </cell>
          <cell r="P35">
            <v>0.89</v>
          </cell>
          <cell r="Q35">
            <v>0.9</v>
          </cell>
          <cell r="R35">
            <v>0.91</v>
          </cell>
          <cell r="S35">
            <v>0.91</v>
          </cell>
          <cell r="T35">
            <v>0.92</v>
          </cell>
          <cell r="U35">
            <v>0.92</v>
          </cell>
          <cell r="V35">
            <v>0.92</v>
          </cell>
          <cell r="W35">
            <v>0.92</v>
          </cell>
          <cell r="X35">
            <v>0.92</v>
          </cell>
          <cell r="Y35">
            <v>0.92</v>
          </cell>
          <cell r="Z35">
            <v>0.92</v>
          </cell>
        </row>
        <row r="36">
          <cell r="B36">
            <v>-0.6</v>
          </cell>
          <cell r="C36">
            <v>0.62</v>
          </cell>
          <cell r="D36">
            <v>0.66</v>
          </cell>
          <cell r="E36">
            <v>0.72</v>
          </cell>
          <cell r="F36">
            <v>0.77</v>
          </cell>
          <cell r="G36">
            <v>0.8</v>
          </cell>
          <cell r="H36">
            <v>0.82</v>
          </cell>
          <cell r="I36">
            <v>0.84</v>
          </cell>
          <cell r="J36">
            <v>0.85</v>
          </cell>
          <cell r="K36">
            <v>0.86</v>
          </cell>
          <cell r="L36">
            <v>0.87</v>
          </cell>
          <cell r="M36">
            <v>0.88</v>
          </cell>
          <cell r="O36">
            <v>-0.6</v>
          </cell>
          <cell r="P36">
            <v>0.71</v>
          </cell>
          <cell r="Q36">
            <v>0.77</v>
          </cell>
          <cell r="R36">
            <v>0.84</v>
          </cell>
          <cell r="S36">
            <v>0.87</v>
          </cell>
          <cell r="T36">
            <v>0.89</v>
          </cell>
          <cell r="U36">
            <v>0.91</v>
          </cell>
          <cell r="V36">
            <v>0.92</v>
          </cell>
          <cell r="W36">
            <v>0.92</v>
          </cell>
          <cell r="X36">
            <v>0.92</v>
          </cell>
          <cell r="Y36">
            <v>0.92</v>
          </cell>
          <cell r="Z36">
            <v>0.92</v>
          </cell>
        </row>
        <row r="37">
          <cell r="B37">
            <v>-0.7</v>
          </cell>
          <cell r="C37">
            <v>0.56000000000000005</v>
          </cell>
          <cell r="D37">
            <v>0.56000000000000005</v>
          </cell>
          <cell r="E37">
            <v>0.61</v>
          </cell>
          <cell r="F37">
            <v>0.67</v>
          </cell>
          <cell r="G37">
            <v>0.73</v>
          </cell>
          <cell r="H37">
            <v>0.79</v>
          </cell>
          <cell r="I37">
            <v>0.83</v>
          </cell>
          <cell r="J37">
            <v>0.85</v>
          </cell>
          <cell r="K37">
            <v>0.87</v>
          </cell>
          <cell r="L37">
            <v>0.88</v>
          </cell>
          <cell r="M37">
            <v>0.89</v>
          </cell>
          <cell r="O37">
            <v>-0.7</v>
          </cell>
          <cell r="P37">
            <v>0.56999999999999995</v>
          </cell>
          <cell r="Q37">
            <v>0.64</v>
          </cell>
          <cell r="R37">
            <v>0.7</v>
          </cell>
          <cell r="S37">
            <v>0.77</v>
          </cell>
          <cell r="T37">
            <v>0.82</v>
          </cell>
          <cell r="U37">
            <v>0.87</v>
          </cell>
          <cell r="V37">
            <v>0.89</v>
          </cell>
          <cell r="W37">
            <v>0.91</v>
          </cell>
          <cell r="X37">
            <v>0.92</v>
          </cell>
          <cell r="Y37">
            <v>0.92</v>
          </cell>
          <cell r="Z37">
            <v>0.91</v>
          </cell>
        </row>
        <row r="38">
          <cell r="B38">
            <v>-0.8</v>
          </cell>
          <cell r="C38">
            <v>0.56000000000000005</v>
          </cell>
          <cell r="D38">
            <v>0.53</v>
          </cell>
          <cell r="E38">
            <v>0.54</v>
          </cell>
          <cell r="F38">
            <v>0.59</v>
          </cell>
          <cell r="G38">
            <v>0.65</v>
          </cell>
          <cell r="H38">
            <v>0.71</v>
          </cell>
          <cell r="I38">
            <v>0.77</v>
          </cell>
          <cell r="J38">
            <v>0.83</v>
          </cell>
          <cell r="K38">
            <v>0.89</v>
          </cell>
          <cell r="L38">
            <v>0.9</v>
          </cell>
          <cell r="M38">
            <v>0.9</v>
          </cell>
          <cell r="O38">
            <v>-0.8</v>
          </cell>
          <cell r="P38">
            <v>0.47</v>
          </cell>
          <cell r="Q38">
            <v>0.52</v>
          </cell>
          <cell r="R38">
            <v>0.59</v>
          </cell>
          <cell r="S38">
            <v>0.67</v>
          </cell>
          <cell r="T38">
            <v>0.73</v>
          </cell>
          <cell r="U38">
            <v>0.8</v>
          </cell>
          <cell r="V38">
            <v>0.86</v>
          </cell>
          <cell r="W38">
            <v>0.9</v>
          </cell>
          <cell r="X38">
            <v>0.92</v>
          </cell>
          <cell r="Y38">
            <v>0.92</v>
          </cell>
          <cell r="Z38">
            <v>0.92</v>
          </cell>
        </row>
        <row r="39">
          <cell r="B39">
            <v>-0.9</v>
          </cell>
          <cell r="C39">
            <v>0.59</v>
          </cell>
          <cell r="D39">
            <v>0.56999999999999995</v>
          </cell>
          <cell r="E39">
            <v>0.54</v>
          </cell>
          <cell r="F39">
            <v>0.53</v>
          </cell>
          <cell r="G39">
            <v>0.56999999999999995</v>
          </cell>
          <cell r="H39">
            <v>0.64</v>
          </cell>
          <cell r="I39">
            <v>0.71</v>
          </cell>
          <cell r="J39">
            <v>0.77</v>
          </cell>
          <cell r="K39">
            <v>0.84</v>
          </cell>
          <cell r="L39">
            <v>0.88</v>
          </cell>
          <cell r="M39">
            <v>0.91</v>
          </cell>
          <cell r="O39">
            <v>-0.9</v>
          </cell>
          <cell r="P39">
            <v>0.47</v>
          </cell>
          <cell r="Q39">
            <v>0.46</v>
          </cell>
          <cell r="R39">
            <v>0.5</v>
          </cell>
          <cell r="S39">
            <v>0.57999999999999996</v>
          </cell>
          <cell r="T39">
            <v>0.65</v>
          </cell>
          <cell r="U39">
            <v>0.73</v>
          </cell>
          <cell r="V39">
            <v>0.8</v>
          </cell>
          <cell r="W39">
            <v>0.87</v>
          </cell>
          <cell r="X39">
            <v>0.9</v>
          </cell>
          <cell r="Y39">
            <v>0.9</v>
          </cell>
          <cell r="Z39">
            <v>0.9</v>
          </cell>
        </row>
        <row r="40">
          <cell r="B40">
            <v>-1</v>
          </cell>
          <cell r="C40">
            <v>0.62</v>
          </cell>
          <cell r="D40">
            <v>0.57999999999999996</v>
          </cell>
          <cell r="E40">
            <v>0.54</v>
          </cell>
          <cell r="F40">
            <v>0.52</v>
          </cell>
          <cell r="G40">
            <v>0.54</v>
          </cell>
          <cell r="H40">
            <v>0.59</v>
          </cell>
          <cell r="I40">
            <v>0.66</v>
          </cell>
          <cell r="J40">
            <v>0.72</v>
          </cell>
          <cell r="K40">
            <v>0.8</v>
          </cell>
          <cell r="L40">
            <v>0.85</v>
          </cell>
          <cell r="M40">
            <v>0.92</v>
          </cell>
          <cell r="O40">
            <v>-1</v>
          </cell>
          <cell r="P40">
            <v>0.5</v>
          </cell>
          <cell r="Q40">
            <v>0.48</v>
          </cell>
          <cell r="R40">
            <v>0.46</v>
          </cell>
          <cell r="S40">
            <v>0.51</v>
          </cell>
          <cell r="T40">
            <v>0.57999999999999996</v>
          </cell>
          <cell r="U40">
            <v>0.66</v>
          </cell>
          <cell r="V40">
            <v>0.73</v>
          </cell>
          <cell r="W40">
            <v>0.81</v>
          </cell>
          <cell r="X40">
            <v>0.87</v>
          </cell>
          <cell r="Y40">
            <v>0.89</v>
          </cell>
          <cell r="Z40">
            <v>0.89</v>
          </cell>
        </row>
        <row r="41">
          <cell r="B41">
            <v>-1.1000000000000001</v>
          </cell>
          <cell r="C41">
            <v>0.66</v>
          </cell>
          <cell r="D41">
            <v>0.62</v>
          </cell>
          <cell r="E41">
            <v>0.56999999999999995</v>
          </cell>
          <cell r="F41">
            <v>0.54</v>
          </cell>
          <cell r="G41">
            <v>0.54</v>
          </cell>
          <cell r="H41">
            <v>0.56999999999999995</v>
          </cell>
          <cell r="I41">
            <v>0.63</v>
          </cell>
          <cell r="J41">
            <v>0.68</v>
          </cell>
          <cell r="K41">
            <v>0.76</v>
          </cell>
          <cell r="L41">
            <v>0.83</v>
          </cell>
          <cell r="M41">
            <v>0.89</v>
          </cell>
          <cell r="O41">
            <v>-1.1000000000000001</v>
          </cell>
          <cell r="P41">
            <v>0.54</v>
          </cell>
          <cell r="Q41">
            <v>0.51</v>
          </cell>
          <cell r="R41">
            <v>0.48</v>
          </cell>
          <cell r="S41">
            <v>0.49</v>
          </cell>
          <cell r="T41">
            <v>0.54</v>
          </cell>
          <cell r="U41">
            <v>0.61</v>
          </cell>
          <cell r="V41">
            <v>0.69</v>
          </cell>
          <cell r="W41">
            <v>0.77</v>
          </cell>
          <cell r="X41">
            <v>0.83</v>
          </cell>
          <cell r="Y41">
            <v>0.87</v>
          </cell>
          <cell r="Z41">
            <v>0.88</v>
          </cell>
        </row>
        <row r="42">
          <cell r="B42">
            <v>-1.2</v>
          </cell>
          <cell r="C42">
            <v>0.7</v>
          </cell>
          <cell r="D42">
            <v>0.66</v>
          </cell>
          <cell r="E42">
            <v>0.6</v>
          </cell>
          <cell r="F42">
            <v>0.55000000000000004</v>
          </cell>
          <cell r="G42">
            <v>0.54</v>
          </cell>
          <cell r="H42">
            <v>0.55000000000000004</v>
          </cell>
          <cell r="I42">
            <v>0.6</v>
          </cell>
          <cell r="J42">
            <v>0.65</v>
          </cell>
          <cell r="K42">
            <v>0.73</v>
          </cell>
          <cell r="L42">
            <v>0.8</v>
          </cell>
          <cell r="M42">
            <v>0.87</v>
          </cell>
          <cell r="O42">
            <v>-1.2</v>
          </cell>
          <cell r="P42">
            <v>0.56999999999999995</v>
          </cell>
          <cell r="Q42">
            <v>0.54</v>
          </cell>
          <cell r="R42">
            <v>0.5</v>
          </cell>
          <cell r="S42">
            <v>0.47</v>
          </cell>
          <cell r="T42">
            <v>0.51</v>
          </cell>
          <cell r="U42">
            <v>0.56000000000000005</v>
          </cell>
          <cell r="V42">
            <v>0.64</v>
          </cell>
          <cell r="W42">
            <v>0.73</v>
          </cell>
          <cell r="X42">
            <v>0.8</v>
          </cell>
          <cell r="Y42">
            <v>0.84</v>
          </cell>
          <cell r="Z42">
            <v>0.87</v>
          </cell>
        </row>
        <row r="43">
          <cell r="B43">
            <v>-1.3</v>
          </cell>
          <cell r="C43">
            <v>0.73</v>
          </cell>
          <cell r="D43">
            <v>0.69</v>
          </cell>
          <cell r="E43">
            <v>0.63</v>
          </cell>
          <cell r="F43">
            <v>0.56999999999999995</v>
          </cell>
          <cell r="G43">
            <v>0.55000000000000004</v>
          </cell>
          <cell r="H43">
            <v>0.54</v>
          </cell>
          <cell r="I43">
            <v>0.56999999999999995</v>
          </cell>
          <cell r="J43">
            <v>0.61</v>
          </cell>
          <cell r="K43">
            <v>0.69</v>
          </cell>
          <cell r="L43">
            <v>0.77</v>
          </cell>
          <cell r="M43">
            <v>0.83</v>
          </cell>
          <cell r="O43">
            <v>-1.3</v>
          </cell>
          <cell r="P43">
            <v>0.61</v>
          </cell>
          <cell r="Q43">
            <v>0.56000000000000005</v>
          </cell>
          <cell r="R43">
            <v>0.52</v>
          </cell>
          <cell r="S43">
            <v>0.47</v>
          </cell>
          <cell r="T43">
            <v>0.49</v>
          </cell>
          <cell r="U43">
            <v>0.53</v>
          </cell>
          <cell r="V43">
            <v>0.61</v>
          </cell>
          <cell r="W43">
            <v>0.7</v>
          </cell>
          <cell r="X43">
            <v>0.77</v>
          </cell>
          <cell r="Y43">
            <v>0.82</v>
          </cell>
          <cell r="Z43">
            <v>0.86</v>
          </cell>
        </row>
        <row r="44">
          <cell r="B44">
            <v>-1.4</v>
          </cell>
          <cell r="C44">
            <v>0.74</v>
          </cell>
          <cell r="D44">
            <v>0.7</v>
          </cell>
          <cell r="E44">
            <v>0.64</v>
          </cell>
          <cell r="F44">
            <v>0.57999999999999996</v>
          </cell>
          <cell r="G44">
            <v>0.56000000000000005</v>
          </cell>
          <cell r="H44">
            <v>0.54</v>
          </cell>
          <cell r="I44">
            <v>0.55000000000000004</v>
          </cell>
          <cell r="J44">
            <v>0.6</v>
          </cell>
          <cell r="K44">
            <v>0.66</v>
          </cell>
          <cell r="L44">
            <v>0.74</v>
          </cell>
          <cell r="M44">
            <v>0.81</v>
          </cell>
          <cell r="O44">
            <v>-1.4</v>
          </cell>
          <cell r="P44">
            <v>0.64</v>
          </cell>
          <cell r="Q44">
            <v>0.59</v>
          </cell>
          <cell r="R44">
            <v>0.55000000000000004</v>
          </cell>
          <cell r="S44">
            <v>0.49</v>
          </cell>
          <cell r="T44">
            <v>0.48</v>
          </cell>
          <cell r="U44">
            <v>0.51</v>
          </cell>
          <cell r="V44">
            <v>0.57999999999999996</v>
          </cell>
          <cell r="W44">
            <v>0.67</v>
          </cell>
          <cell r="X44">
            <v>0.74</v>
          </cell>
          <cell r="Y44">
            <v>0.79</v>
          </cell>
          <cell r="Z44">
            <v>0.85</v>
          </cell>
        </row>
        <row r="45">
          <cell r="B45">
            <v>-1.5</v>
          </cell>
          <cell r="C45">
            <v>0.75</v>
          </cell>
          <cell r="D45">
            <v>0.7</v>
          </cell>
          <cell r="E45">
            <v>0.64</v>
          </cell>
          <cell r="F45">
            <v>0.59</v>
          </cell>
          <cell r="G45">
            <v>0.56000000000000005</v>
          </cell>
          <cell r="H45">
            <v>0.54</v>
          </cell>
          <cell r="I45">
            <v>0.55000000000000004</v>
          </cell>
          <cell r="J45">
            <v>0.59</v>
          </cell>
          <cell r="K45">
            <v>0.65</v>
          </cell>
          <cell r="L45">
            <v>0.73</v>
          </cell>
          <cell r="M45">
            <v>0.8</v>
          </cell>
          <cell r="O45">
            <v>-1.5</v>
          </cell>
          <cell r="P45">
            <v>0.67</v>
          </cell>
          <cell r="Q45">
            <v>0.62</v>
          </cell>
          <cell r="R45">
            <v>0.56999999999999995</v>
          </cell>
          <cell r="S45">
            <v>0.51</v>
          </cell>
          <cell r="T45">
            <v>0.47</v>
          </cell>
          <cell r="U45">
            <v>0.49</v>
          </cell>
          <cell r="V45">
            <v>0.56000000000000005</v>
          </cell>
          <cell r="W45">
            <v>0.64</v>
          </cell>
          <cell r="X45">
            <v>0.71</v>
          </cell>
          <cell r="Y45">
            <v>0.77</v>
          </cell>
          <cell r="Z45">
            <v>0.84</v>
          </cell>
        </row>
        <row r="46">
          <cell r="B46">
            <v>-1.6</v>
          </cell>
          <cell r="C46">
            <v>0.76</v>
          </cell>
          <cell r="D46">
            <v>0.72</v>
          </cell>
          <cell r="E46">
            <v>0.65</v>
          </cell>
          <cell r="F46">
            <v>0.6</v>
          </cell>
          <cell r="G46">
            <v>0.56999999999999995</v>
          </cell>
          <cell r="H46">
            <v>0.55000000000000004</v>
          </cell>
          <cell r="I46">
            <v>0.55000000000000004</v>
          </cell>
          <cell r="J46">
            <v>0.57999999999999996</v>
          </cell>
          <cell r="K46">
            <v>0.64</v>
          </cell>
          <cell r="L46">
            <v>0.72</v>
          </cell>
          <cell r="M46">
            <v>0.8</v>
          </cell>
          <cell r="O46">
            <v>-1.6</v>
          </cell>
          <cell r="P46">
            <v>0.69</v>
          </cell>
          <cell r="Q46">
            <v>0.64</v>
          </cell>
          <cell r="R46">
            <v>0.59</v>
          </cell>
          <cell r="S46">
            <v>0.52</v>
          </cell>
          <cell r="T46">
            <v>0.48</v>
          </cell>
          <cell r="U46">
            <v>0.5</v>
          </cell>
          <cell r="V46">
            <v>0.55000000000000004</v>
          </cell>
          <cell r="W46">
            <v>0.63</v>
          </cell>
          <cell r="X46">
            <v>0.69</v>
          </cell>
          <cell r="Y46">
            <v>0.76</v>
          </cell>
          <cell r="Z46">
            <v>0.83</v>
          </cell>
        </row>
        <row r="47">
          <cell r="B47">
            <v>-1.7</v>
          </cell>
          <cell r="C47">
            <v>0.77</v>
          </cell>
          <cell r="D47">
            <v>0.74</v>
          </cell>
          <cell r="E47">
            <v>0.66</v>
          </cell>
          <cell r="F47">
            <v>0.61</v>
          </cell>
          <cell r="G47">
            <v>0.57999999999999996</v>
          </cell>
          <cell r="H47">
            <v>0.56000000000000005</v>
          </cell>
          <cell r="I47">
            <v>0.55000000000000004</v>
          </cell>
          <cell r="J47">
            <v>0.57999999999999996</v>
          </cell>
          <cell r="K47">
            <v>0.63</v>
          </cell>
          <cell r="L47">
            <v>0.7</v>
          </cell>
          <cell r="M47">
            <v>0.78</v>
          </cell>
          <cell r="O47">
            <v>-1.7</v>
          </cell>
          <cell r="P47">
            <v>0.71</v>
          </cell>
          <cell r="Q47">
            <v>0.66</v>
          </cell>
          <cell r="R47">
            <v>0.6</v>
          </cell>
          <cell r="S47">
            <v>0.54</v>
          </cell>
          <cell r="T47">
            <v>0.5</v>
          </cell>
          <cell r="U47">
            <v>0.51</v>
          </cell>
          <cell r="V47">
            <v>0.55000000000000004</v>
          </cell>
          <cell r="W47">
            <v>0.61</v>
          </cell>
          <cell r="X47">
            <v>0.68</v>
          </cell>
          <cell r="Y47">
            <v>0.74</v>
          </cell>
          <cell r="Z47">
            <v>0.82</v>
          </cell>
        </row>
        <row r="48">
          <cell r="B48">
            <v>-1.8</v>
          </cell>
          <cell r="C48">
            <v>0.79</v>
          </cell>
          <cell r="D48">
            <v>0.77</v>
          </cell>
          <cell r="E48">
            <v>0.68</v>
          </cell>
          <cell r="F48">
            <v>0.63</v>
          </cell>
          <cell r="G48">
            <v>0.59</v>
          </cell>
          <cell r="H48">
            <v>0.56000000000000005</v>
          </cell>
          <cell r="I48">
            <v>0.56000000000000005</v>
          </cell>
          <cell r="J48">
            <v>0.56999999999999995</v>
          </cell>
          <cell r="K48">
            <v>0.62</v>
          </cell>
          <cell r="L48">
            <v>0.69</v>
          </cell>
          <cell r="M48">
            <v>0.76</v>
          </cell>
          <cell r="O48">
            <v>-1.8</v>
          </cell>
          <cell r="P48">
            <v>0.74</v>
          </cell>
          <cell r="Q48">
            <v>0.69</v>
          </cell>
          <cell r="R48">
            <v>0.62</v>
          </cell>
          <cell r="S48">
            <v>0.55000000000000004</v>
          </cell>
          <cell r="T48">
            <v>0.51</v>
          </cell>
          <cell r="U48">
            <v>0.51</v>
          </cell>
          <cell r="V48">
            <v>0.54</v>
          </cell>
          <cell r="W48">
            <v>0.6</v>
          </cell>
          <cell r="X48">
            <v>0.66</v>
          </cell>
          <cell r="Y48">
            <v>0.73</v>
          </cell>
          <cell r="Z48">
            <v>0.81</v>
          </cell>
        </row>
        <row r="49">
          <cell r="B49">
            <v>-1.9</v>
          </cell>
          <cell r="C49">
            <v>0.8</v>
          </cell>
          <cell r="D49">
            <v>0.79</v>
          </cell>
          <cell r="E49">
            <v>0.69</v>
          </cell>
          <cell r="F49">
            <v>0.64</v>
          </cell>
          <cell r="G49">
            <v>0.6</v>
          </cell>
          <cell r="H49">
            <v>0.56999999999999995</v>
          </cell>
          <cell r="I49">
            <v>0.56000000000000005</v>
          </cell>
          <cell r="J49">
            <v>0.56999999999999995</v>
          </cell>
          <cell r="K49">
            <v>0.61</v>
          </cell>
          <cell r="L49">
            <v>0.67</v>
          </cell>
          <cell r="M49">
            <v>0.75</v>
          </cell>
          <cell r="O49">
            <v>-1.9</v>
          </cell>
          <cell r="P49">
            <v>0.76</v>
          </cell>
          <cell r="Q49">
            <v>0.71</v>
          </cell>
          <cell r="R49">
            <v>0.63</v>
          </cell>
          <cell r="S49">
            <v>0.56999999999999995</v>
          </cell>
          <cell r="T49">
            <v>0.53</v>
          </cell>
          <cell r="U49">
            <v>0.52</v>
          </cell>
          <cell r="V49">
            <v>0.54</v>
          </cell>
          <cell r="W49">
            <v>0.57999999999999996</v>
          </cell>
          <cell r="X49">
            <v>0.65</v>
          </cell>
          <cell r="Y49">
            <v>0.71</v>
          </cell>
          <cell r="Z49">
            <v>0.8</v>
          </cell>
        </row>
        <row r="50">
          <cell r="B50">
            <v>-2</v>
          </cell>
          <cell r="C50">
            <v>0.81</v>
          </cell>
          <cell r="D50">
            <v>0.81</v>
          </cell>
          <cell r="E50">
            <v>0.7</v>
          </cell>
          <cell r="F50">
            <v>0.65</v>
          </cell>
          <cell r="G50">
            <v>0.61</v>
          </cell>
          <cell r="H50">
            <v>0.57999999999999996</v>
          </cell>
          <cell r="I50">
            <v>0.56000000000000005</v>
          </cell>
          <cell r="J50">
            <v>0.56000000000000005</v>
          </cell>
          <cell r="K50">
            <v>0.6</v>
          </cell>
          <cell r="L50">
            <v>0.66</v>
          </cell>
          <cell r="M50">
            <v>0.74</v>
          </cell>
          <cell r="O50">
            <v>-2</v>
          </cell>
          <cell r="P50">
            <v>0.78</v>
          </cell>
          <cell r="Q50">
            <v>0.73</v>
          </cell>
          <cell r="R50">
            <v>0.65</v>
          </cell>
          <cell r="S50">
            <v>0.57999999999999996</v>
          </cell>
          <cell r="T50">
            <v>0.54</v>
          </cell>
          <cell r="U50">
            <v>0.53</v>
          </cell>
          <cell r="V50">
            <v>0.53</v>
          </cell>
          <cell r="W50">
            <v>0.56999999999999995</v>
          </cell>
          <cell r="X50">
            <v>0.63</v>
          </cell>
          <cell r="Y50">
            <v>0.7</v>
          </cell>
          <cell r="Z50">
            <v>0.79</v>
          </cell>
        </row>
        <row r="51">
          <cell r="B51">
            <v>-5</v>
          </cell>
          <cell r="C51">
            <v>0.93</v>
          </cell>
          <cell r="D51">
            <v>0.89</v>
          </cell>
          <cell r="E51">
            <v>0.83</v>
          </cell>
          <cell r="F51">
            <v>0.77</v>
          </cell>
          <cell r="G51">
            <v>0.72</v>
          </cell>
          <cell r="H51">
            <v>0.67</v>
          </cell>
          <cell r="I51">
            <v>0.64</v>
          </cell>
          <cell r="J51">
            <v>0.61</v>
          </cell>
          <cell r="K51">
            <v>0.6</v>
          </cell>
          <cell r="L51">
            <v>0.62</v>
          </cell>
          <cell r="M51">
            <v>0.65</v>
          </cell>
          <cell r="O51">
            <v>-5</v>
          </cell>
          <cell r="P51">
            <v>0.91</v>
          </cell>
          <cell r="Q51">
            <v>0.86</v>
          </cell>
          <cell r="R51">
            <v>0.8</v>
          </cell>
          <cell r="S51">
            <v>0.74</v>
          </cell>
          <cell r="T51">
            <v>0.7</v>
          </cell>
          <cell r="U51">
            <v>0.65</v>
          </cell>
          <cell r="V51">
            <v>0.62</v>
          </cell>
          <cell r="W51">
            <v>0.59</v>
          </cell>
          <cell r="X51">
            <v>0.57999999999999996</v>
          </cell>
          <cell r="Y51">
            <v>0.61</v>
          </cell>
          <cell r="Z51">
            <v>0.67</v>
          </cell>
        </row>
        <row r="52">
          <cell r="B52">
            <v>-50</v>
          </cell>
          <cell r="C52">
            <v>0.99</v>
          </cell>
          <cell r="D52">
            <v>0.95</v>
          </cell>
          <cell r="E52">
            <v>0.9</v>
          </cell>
          <cell r="F52">
            <v>0.86</v>
          </cell>
          <cell r="G52">
            <v>0.79</v>
          </cell>
          <cell r="H52">
            <v>0.74</v>
          </cell>
          <cell r="I52">
            <v>0.7</v>
          </cell>
          <cell r="J52">
            <v>0.67</v>
          </cell>
          <cell r="K52">
            <v>0.64</v>
          </cell>
          <cell r="L52">
            <v>0.63</v>
          </cell>
          <cell r="M52">
            <v>0.65</v>
          </cell>
          <cell r="O52">
            <v>-50</v>
          </cell>
          <cell r="P52">
            <v>0.99</v>
          </cell>
          <cell r="Q52">
            <v>0.95</v>
          </cell>
          <cell r="R52">
            <v>0.89</v>
          </cell>
          <cell r="S52">
            <v>0.84</v>
          </cell>
          <cell r="T52">
            <v>0.79</v>
          </cell>
          <cell r="U52">
            <v>0.74</v>
          </cell>
          <cell r="V52">
            <v>0.7</v>
          </cell>
          <cell r="W52">
            <v>0.66</v>
          </cell>
          <cell r="X52">
            <v>0.63</v>
          </cell>
          <cell r="Y52">
            <v>0.62</v>
          </cell>
          <cell r="Z52">
            <v>0.65</v>
          </cell>
        </row>
        <row r="53">
          <cell r="B53" t="str">
            <v>&lt; -50.00</v>
          </cell>
          <cell r="C53">
            <v>1</v>
          </cell>
          <cell r="D53">
            <v>0.96</v>
          </cell>
          <cell r="E53">
            <v>0.91</v>
          </cell>
          <cell r="F53">
            <v>0.86</v>
          </cell>
          <cell r="G53">
            <v>0.82</v>
          </cell>
          <cell r="H53">
            <v>0.77</v>
          </cell>
          <cell r="I53">
            <v>0.72</v>
          </cell>
          <cell r="J53">
            <v>0.68</v>
          </cell>
          <cell r="K53">
            <v>0.65</v>
          </cell>
          <cell r="L53">
            <v>0.65</v>
          </cell>
          <cell r="M53">
            <v>0.65</v>
          </cell>
          <cell r="O53" t="str">
            <v>&lt; -50.00</v>
          </cell>
          <cell r="P53">
            <v>1</v>
          </cell>
          <cell r="Q53">
            <v>0.96</v>
          </cell>
          <cell r="R53">
            <v>0.91</v>
          </cell>
          <cell r="S53">
            <v>0.86</v>
          </cell>
          <cell r="T53">
            <v>0.82</v>
          </cell>
          <cell r="U53">
            <v>0.77</v>
          </cell>
          <cell r="V53">
            <v>0.72</v>
          </cell>
          <cell r="W53">
            <v>0.68</v>
          </cell>
          <cell r="X53">
            <v>0.65</v>
          </cell>
          <cell r="Y53">
            <v>0.65</v>
          </cell>
          <cell r="Z53">
            <v>0.65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>
        <row r="7">
          <cell r="B7" t="str">
            <v>356x406x634</v>
          </cell>
        </row>
        <row r="8">
          <cell r="B8" t="str">
            <v>356x406x551</v>
          </cell>
        </row>
        <row r="9">
          <cell r="B9" t="str">
            <v>356x406x467</v>
          </cell>
        </row>
        <row r="10">
          <cell r="B10" t="str">
            <v>356x406x393</v>
          </cell>
        </row>
        <row r="11">
          <cell r="B11" t="str">
            <v>356x406x340</v>
          </cell>
        </row>
        <row r="12">
          <cell r="B12" t="str">
            <v>356x406x287</v>
          </cell>
        </row>
        <row r="13">
          <cell r="B13" t="str">
            <v>356x406x235</v>
          </cell>
        </row>
        <row r="14">
          <cell r="B14" t="str">
            <v>356x368x202</v>
          </cell>
        </row>
        <row r="15">
          <cell r="B15" t="str">
            <v>356x368x177</v>
          </cell>
        </row>
        <row r="16">
          <cell r="B16" t="str">
            <v>356x368x153</v>
          </cell>
        </row>
        <row r="17">
          <cell r="B17" t="str">
            <v>356x368x129</v>
          </cell>
        </row>
        <row r="18">
          <cell r="B18" t="str">
            <v>305x305x283</v>
          </cell>
        </row>
        <row r="19">
          <cell r="B19" t="str">
            <v>305x305x240</v>
          </cell>
        </row>
        <row r="20">
          <cell r="B20" t="str">
            <v>305x305x198</v>
          </cell>
        </row>
        <row r="21">
          <cell r="B21" t="str">
            <v>305x305x158</v>
          </cell>
        </row>
        <row r="22">
          <cell r="B22" t="str">
            <v>305x305x137</v>
          </cell>
        </row>
        <row r="23">
          <cell r="B23" t="str">
            <v>305x305x118</v>
          </cell>
        </row>
        <row r="24">
          <cell r="B24" t="str">
            <v>305x305x97</v>
          </cell>
        </row>
        <row r="25">
          <cell r="B25" t="str">
            <v>254x254x167</v>
          </cell>
        </row>
        <row r="26">
          <cell r="B26" t="str">
            <v>254x254x132</v>
          </cell>
        </row>
        <row r="27">
          <cell r="B27" t="str">
            <v>254x254x107</v>
          </cell>
        </row>
        <row r="28">
          <cell r="B28" t="str">
            <v>254x254x89</v>
          </cell>
        </row>
        <row r="29">
          <cell r="B29" t="str">
            <v>254x254x73</v>
          </cell>
        </row>
        <row r="30">
          <cell r="B30" t="str">
            <v>203x203x86</v>
          </cell>
        </row>
        <row r="31">
          <cell r="B31" t="str">
            <v>203x203x71</v>
          </cell>
        </row>
        <row r="32">
          <cell r="B32" t="str">
            <v>203x203x60</v>
          </cell>
        </row>
        <row r="33">
          <cell r="B33" t="str">
            <v>203x203x52</v>
          </cell>
        </row>
        <row r="34">
          <cell r="B34" t="str">
            <v>203x203x46</v>
          </cell>
        </row>
        <row r="35">
          <cell r="B35" t="str">
            <v>152x152x37</v>
          </cell>
        </row>
        <row r="36">
          <cell r="B36" t="str">
            <v>152x152x30</v>
          </cell>
        </row>
        <row r="37">
          <cell r="B37" t="str">
            <v>152x152x23</v>
          </cell>
        </row>
      </sheetData>
      <sheetData sheetId="10" refreshError="1">
        <row r="8">
          <cell r="A8">
            <v>1</v>
          </cell>
          <cell r="B8" t="str">
            <v>254x203x82</v>
          </cell>
          <cell r="C8">
            <v>82</v>
          </cell>
          <cell r="D8">
            <v>254</v>
          </cell>
          <cell r="E8">
            <v>203.2</v>
          </cell>
          <cell r="F8">
            <v>10.199999999999999</v>
          </cell>
          <cell r="G8">
            <v>19.899999999999999</v>
          </cell>
          <cell r="H8">
            <v>19.600000000000001</v>
          </cell>
          <cell r="I8">
            <v>9.6999999999999993</v>
          </cell>
          <cell r="J8">
            <v>166.6</v>
          </cell>
          <cell r="K8">
            <v>5.1100000000000003</v>
          </cell>
          <cell r="L8">
            <v>16.3</v>
          </cell>
          <cell r="M8">
            <v>12020</v>
          </cell>
          <cell r="N8">
            <v>2280</v>
          </cell>
          <cell r="O8">
            <v>10.7</v>
          </cell>
          <cell r="P8">
            <v>4.67</v>
          </cell>
          <cell r="Q8">
            <v>947</v>
          </cell>
          <cell r="R8">
            <v>224</v>
          </cell>
          <cell r="S8">
            <v>1077</v>
          </cell>
          <cell r="T8">
            <v>371</v>
          </cell>
          <cell r="U8">
            <v>0.89</v>
          </cell>
          <cell r="V8">
            <v>11</v>
          </cell>
          <cell r="W8">
            <v>0.312</v>
          </cell>
          <cell r="X8">
            <v>152</v>
          </cell>
          <cell r="Y8">
            <v>105</v>
          </cell>
        </row>
        <row r="9">
          <cell r="A9">
            <v>2</v>
          </cell>
          <cell r="B9" t="str">
            <v>203x152x52</v>
          </cell>
          <cell r="C9">
            <v>52.3</v>
          </cell>
          <cell r="D9">
            <v>203.2</v>
          </cell>
          <cell r="E9">
            <v>152.4</v>
          </cell>
          <cell r="F9">
            <v>8.9</v>
          </cell>
          <cell r="G9">
            <v>16.5</v>
          </cell>
          <cell r="H9">
            <v>15.5</v>
          </cell>
          <cell r="I9">
            <v>7.6</v>
          </cell>
          <cell r="J9">
            <v>133.19999999999999</v>
          </cell>
          <cell r="K9">
            <v>4.62</v>
          </cell>
          <cell r="L9">
            <v>15</v>
          </cell>
          <cell r="M9">
            <v>4798</v>
          </cell>
          <cell r="N9">
            <v>816</v>
          </cell>
          <cell r="O9">
            <v>8.49</v>
          </cell>
          <cell r="P9">
            <v>3.5</v>
          </cell>
          <cell r="Q9">
            <v>472</v>
          </cell>
          <cell r="R9">
            <v>107</v>
          </cell>
          <cell r="S9">
            <v>541</v>
          </cell>
          <cell r="T9">
            <v>176</v>
          </cell>
          <cell r="U9">
            <v>0.89100000000000001</v>
          </cell>
          <cell r="V9">
            <v>10.7</v>
          </cell>
          <cell r="W9">
            <v>7.1099999999999997E-2</v>
          </cell>
          <cell r="X9">
            <v>64.8</v>
          </cell>
          <cell r="Y9">
            <v>66.599999999999994</v>
          </cell>
        </row>
        <row r="10">
          <cell r="A10">
            <v>3</v>
          </cell>
          <cell r="B10" t="str">
            <v>152x127x37</v>
          </cell>
          <cell r="C10">
            <v>37.299999999999997</v>
          </cell>
          <cell r="D10">
            <v>152.4</v>
          </cell>
          <cell r="E10">
            <v>127</v>
          </cell>
          <cell r="F10">
            <v>10.4</v>
          </cell>
          <cell r="G10">
            <v>13.2</v>
          </cell>
          <cell r="H10">
            <v>13.5</v>
          </cell>
          <cell r="I10">
            <v>6.6</v>
          </cell>
          <cell r="J10">
            <v>94.3</v>
          </cell>
          <cell r="K10">
            <v>4.8099999999999996</v>
          </cell>
          <cell r="L10">
            <v>9.07</v>
          </cell>
          <cell r="M10">
            <v>1818</v>
          </cell>
          <cell r="N10">
            <v>378</v>
          </cell>
          <cell r="O10">
            <v>6.19</v>
          </cell>
          <cell r="P10">
            <v>2.82</v>
          </cell>
          <cell r="Q10">
            <v>239</v>
          </cell>
          <cell r="R10">
            <v>59.6</v>
          </cell>
          <cell r="S10">
            <v>279</v>
          </cell>
          <cell r="T10">
            <v>99.8</v>
          </cell>
          <cell r="U10">
            <v>0.86599999999999999</v>
          </cell>
          <cell r="V10">
            <v>9.33</v>
          </cell>
          <cell r="W10">
            <v>1.83E-2</v>
          </cell>
          <cell r="X10">
            <v>33.9</v>
          </cell>
          <cell r="Y10">
            <v>47.5</v>
          </cell>
        </row>
        <row r="11">
          <cell r="A11">
            <v>4</v>
          </cell>
          <cell r="B11" t="str">
            <v>127x114x29</v>
          </cell>
          <cell r="C11">
            <v>29.3</v>
          </cell>
          <cell r="D11">
            <v>127</v>
          </cell>
          <cell r="E11">
            <v>114.3</v>
          </cell>
          <cell r="F11">
            <v>10.199999999999999</v>
          </cell>
          <cell r="G11">
            <v>11.5</v>
          </cell>
          <cell r="H11">
            <v>9.9</v>
          </cell>
          <cell r="I11">
            <v>4.8</v>
          </cell>
          <cell r="J11">
            <v>79.5</v>
          </cell>
          <cell r="K11">
            <v>4.97</v>
          </cell>
          <cell r="L11">
            <v>7.79</v>
          </cell>
          <cell r="M11">
            <v>979</v>
          </cell>
          <cell r="N11">
            <v>242</v>
          </cell>
          <cell r="O11">
            <v>5.12</v>
          </cell>
          <cell r="P11">
            <v>2.54</v>
          </cell>
          <cell r="Q11">
            <v>154</v>
          </cell>
          <cell r="R11">
            <v>42.3</v>
          </cell>
          <cell r="S11">
            <v>181</v>
          </cell>
          <cell r="T11">
            <v>70.8</v>
          </cell>
          <cell r="U11">
            <v>0.85299999999999998</v>
          </cell>
          <cell r="V11">
            <v>8.76</v>
          </cell>
          <cell r="W11">
            <v>8.0700000000000008E-3</v>
          </cell>
          <cell r="X11">
            <v>20.8</v>
          </cell>
          <cell r="Y11">
            <v>37.4</v>
          </cell>
        </row>
        <row r="12">
          <cell r="A12">
            <v>5</v>
          </cell>
          <cell r="B12" t="str">
            <v>127x114x27</v>
          </cell>
          <cell r="C12">
            <v>26.9</v>
          </cell>
          <cell r="D12">
            <v>127</v>
          </cell>
          <cell r="E12">
            <v>114.3</v>
          </cell>
          <cell r="F12">
            <v>7.4</v>
          </cell>
          <cell r="G12">
            <v>11.4</v>
          </cell>
          <cell r="H12">
            <v>9.9</v>
          </cell>
          <cell r="I12">
            <v>5</v>
          </cell>
          <cell r="J12">
            <v>79.5</v>
          </cell>
          <cell r="K12">
            <v>5.01</v>
          </cell>
          <cell r="L12">
            <v>10.7</v>
          </cell>
          <cell r="M12">
            <v>946</v>
          </cell>
          <cell r="N12">
            <v>236</v>
          </cell>
          <cell r="O12">
            <v>5.26</v>
          </cell>
          <cell r="P12">
            <v>2.63</v>
          </cell>
          <cell r="Q12">
            <v>149</v>
          </cell>
          <cell r="R12">
            <v>41.3</v>
          </cell>
          <cell r="S12">
            <v>172</v>
          </cell>
          <cell r="T12">
            <v>68.2</v>
          </cell>
          <cell r="U12">
            <v>0.86799999999999999</v>
          </cell>
          <cell r="V12">
            <v>9.32</v>
          </cell>
          <cell r="W12">
            <v>7.8799999999999999E-3</v>
          </cell>
          <cell r="X12">
            <v>16.899999999999999</v>
          </cell>
          <cell r="Y12">
            <v>34.200000000000003</v>
          </cell>
        </row>
        <row r="13">
          <cell r="A13">
            <v>6</v>
          </cell>
          <cell r="B13" t="str">
            <v>102x102x23</v>
          </cell>
          <cell r="C13">
            <v>23</v>
          </cell>
          <cell r="D13">
            <v>101.6</v>
          </cell>
          <cell r="E13">
            <v>101.6</v>
          </cell>
          <cell r="F13">
            <v>9.5</v>
          </cell>
          <cell r="G13">
            <v>10.3</v>
          </cell>
          <cell r="H13">
            <v>11.1</v>
          </cell>
          <cell r="I13">
            <v>3.2</v>
          </cell>
          <cell r="J13">
            <v>55.2</v>
          </cell>
          <cell r="K13">
            <v>4.93</v>
          </cell>
          <cell r="L13">
            <v>5.81</v>
          </cell>
          <cell r="M13">
            <v>486</v>
          </cell>
          <cell r="N13">
            <v>154</v>
          </cell>
          <cell r="O13">
            <v>4.07</v>
          </cell>
          <cell r="P13">
            <v>2.29</v>
          </cell>
          <cell r="Q13">
            <v>95.6</v>
          </cell>
          <cell r="R13">
            <v>30.3</v>
          </cell>
          <cell r="S13">
            <v>113</v>
          </cell>
          <cell r="T13">
            <v>50.6</v>
          </cell>
          <cell r="U13">
            <v>0.83599999999999997</v>
          </cell>
          <cell r="V13">
            <v>7.43</v>
          </cell>
          <cell r="W13">
            <v>3.2100000000000002E-3</v>
          </cell>
          <cell r="X13">
            <v>14.2</v>
          </cell>
          <cell r="Y13">
            <v>29.3</v>
          </cell>
        </row>
        <row r="14">
          <cell r="A14">
            <v>7</v>
          </cell>
          <cell r="B14" t="str">
            <v>102x44x7</v>
          </cell>
          <cell r="C14">
            <v>7.5</v>
          </cell>
          <cell r="D14">
            <v>101.6</v>
          </cell>
          <cell r="E14">
            <v>44.5</v>
          </cell>
          <cell r="F14">
            <v>4.3</v>
          </cell>
          <cell r="G14">
            <v>6.1</v>
          </cell>
          <cell r="H14">
            <v>6.9</v>
          </cell>
          <cell r="I14">
            <v>3.3</v>
          </cell>
          <cell r="J14">
            <v>74.599999999999994</v>
          </cell>
          <cell r="K14">
            <v>3.65</v>
          </cell>
          <cell r="L14">
            <v>17.3</v>
          </cell>
          <cell r="M14">
            <v>153</v>
          </cell>
          <cell r="N14">
            <v>7.82</v>
          </cell>
          <cell r="O14">
            <v>4.01</v>
          </cell>
          <cell r="P14">
            <v>0.90700000000000003</v>
          </cell>
          <cell r="Q14">
            <v>30.1</v>
          </cell>
          <cell r="R14">
            <v>3.51</v>
          </cell>
          <cell r="S14">
            <v>35.4</v>
          </cell>
          <cell r="T14">
            <v>6.03</v>
          </cell>
          <cell r="U14">
            <v>0.872</v>
          </cell>
          <cell r="V14">
            <v>14.9</v>
          </cell>
          <cell r="W14">
            <v>1.7799999999999999E-4</v>
          </cell>
          <cell r="X14">
            <v>1.25</v>
          </cell>
          <cell r="Y14">
            <v>9.5</v>
          </cell>
        </row>
        <row r="15">
          <cell r="A15">
            <v>8</v>
          </cell>
          <cell r="B15" t="str">
            <v>89x89x19</v>
          </cell>
          <cell r="C15">
            <v>19.5</v>
          </cell>
          <cell r="D15">
            <v>88.9</v>
          </cell>
          <cell r="E15">
            <v>88.9</v>
          </cell>
          <cell r="F15">
            <v>9.5</v>
          </cell>
          <cell r="G15">
            <v>9.9</v>
          </cell>
          <cell r="H15">
            <v>11.1</v>
          </cell>
          <cell r="I15">
            <v>3.2</v>
          </cell>
          <cell r="J15">
            <v>44.2</v>
          </cell>
          <cell r="K15">
            <v>4.49</v>
          </cell>
          <cell r="L15">
            <v>4.6500000000000004</v>
          </cell>
          <cell r="M15">
            <v>307</v>
          </cell>
          <cell r="N15">
            <v>101</v>
          </cell>
          <cell r="O15">
            <v>3.51</v>
          </cell>
          <cell r="P15">
            <v>2.02</v>
          </cell>
          <cell r="Q15">
            <v>69</v>
          </cell>
          <cell r="R15">
            <v>22.8</v>
          </cell>
          <cell r="S15">
            <v>82.7</v>
          </cell>
          <cell r="T15">
            <v>38</v>
          </cell>
          <cell r="U15">
            <v>0.83</v>
          </cell>
          <cell r="V15">
            <v>6.57</v>
          </cell>
          <cell r="W15">
            <v>1.58E-3</v>
          </cell>
          <cell r="X15">
            <v>11.5</v>
          </cell>
          <cell r="Y15">
            <v>24.9</v>
          </cell>
        </row>
        <row r="16">
          <cell r="A16">
            <v>9</v>
          </cell>
          <cell r="B16" t="str">
            <v>76x76x13</v>
          </cell>
          <cell r="C16">
            <v>12.8</v>
          </cell>
          <cell r="D16">
            <v>76.2</v>
          </cell>
          <cell r="E16">
            <v>76.2</v>
          </cell>
          <cell r="F16">
            <v>5.0999999999999996</v>
          </cell>
          <cell r="G16">
            <v>8.4</v>
          </cell>
          <cell r="H16">
            <v>9.4</v>
          </cell>
          <cell r="I16">
            <v>4.5999999999999996</v>
          </cell>
          <cell r="J16">
            <v>38.1</v>
          </cell>
          <cell r="K16">
            <v>4.54</v>
          </cell>
          <cell r="L16">
            <v>7.47</v>
          </cell>
          <cell r="M16">
            <v>158</v>
          </cell>
          <cell r="N16">
            <v>51.8</v>
          </cell>
          <cell r="O16">
            <v>3.12</v>
          </cell>
          <cell r="P16">
            <v>1.79</v>
          </cell>
          <cell r="Q16">
            <v>41.5</v>
          </cell>
          <cell r="R16">
            <v>13.6</v>
          </cell>
          <cell r="S16">
            <v>48.7</v>
          </cell>
          <cell r="T16">
            <v>22.4</v>
          </cell>
          <cell r="U16">
            <v>0.85199999999999998</v>
          </cell>
          <cell r="V16">
            <v>7.22</v>
          </cell>
          <cell r="W16">
            <v>5.9500000000000004E-4</v>
          </cell>
          <cell r="X16">
            <v>4.59</v>
          </cell>
          <cell r="Y16">
            <v>16.2</v>
          </cell>
        </row>
      </sheetData>
      <sheetData sheetId="11" refreshError="1">
        <row r="7">
          <cell r="A7">
            <v>1</v>
          </cell>
          <cell r="B7" t="str">
            <v>430x100x64</v>
          </cell>
          <cell r="C7">
            <v>64.400000000000006</v>
          </cell>
          <cell r="D7">
            <v>430</v>
          </cell>
          <cell r="E7">
            <v>100</v>
          </cell>
          <cell r="F7">
            <v>11</v>
          </cell>
          <cell r="G7">
            <v>19</v>
          </cell>
          <cell r="H7">
            <v>15</v>
          </cell>
          <cell r="I7">
            <v>362</v>
          </cell>
          <cell r="J7">
            <v>5.26</v>
          </cell>
          <cell r="K7">
            <v>32.9</v>
          </cell>
          <cell r="L7">
            <v>21940</v>
          </cell>
          <cell r="M7">
            <v>722</v>
          </cell>
          <cell r="N7">
            <v>16.3</v>
          </cell>
          <cell r="O7">
            <v>2.97</v>
          </cell>
          <cell r="P7">
            <v>1020</v>
          </cell>
          <cell r="Q7">
            <v>97.9</v>
          </cell>
          <cell r="R7">
            <v>2.62</v>
          </cell>
          <cell r="S7">
            <v>1222</v>
          </cell>
          <cell r="T7">
            <v>176</v>
          </cell>
          <cell r="U7">
            <v>0.95399999999999996</v>
          </cell>
          <cell r="V7">
            <v>0.91700000000000004</v>
          </cell>
          <cell r="W7">
            <v>22.5</v>
          </cell>
          <cell r="X7">
            <v>0.219</v>
          </cell>
          <cell r="Y7">
            <v>63</v>
          </cell>
          <cell r="Z7">
            <v>82.1</v>
          </cell>
        </row>
        <row r="8">
          <cell r="A8">
            <v>2</v>
          </cell>
          <cell r="B8" t="str">
            <v>380x100x54</v>
          </cell>
          <cell r="C8">
            <v>54</v>
          </cell>
          <cell r="D8">
            <v>380</v>
          </cell>
          <cell r="E8">
            <v>100</v>
          </cell>
          <cell r="F8">
            <v>9.5</v>
          </cell>
          <cell r="G8">
            <v>17.5</v>
          </cell>
          <cell r="H8">
            <v>15</v>
          </cell>
          <cell r="I8">
            <v>315</v>
          </cell>
          <cell r="J8">
            <v>5.71</v>
          </cell>
          <cell r="K8">
            <v>33.200000000000003</v>
          </cell>
          <cell r="L8">
            <v>15030</v>
          </cell>
          <cell r="M8">
            <v>643</v>
          </cell>
          <cell r="N8">
            <v>14.8</v>
          </cell>
          <cell r="O8">
            <v>3.06</v>
          </cell>
          <cell r="P8">
            <v>791</v>
          </cell>
          <cell r="Q8">
            <v>89.2</v>
          </cell>
          <cell r="R8">
            <v>2.79</v>
          </cell>
          <cell r="S8">
            <v>933</v>
          </cell>
          <cell r="T8">
            <v>161</v>
          </cell>
          <cell r="U8">
            <v>0.90400000000000003</v>
          </cell>
          <cell r="V8">
            <v>0.93200000000000005</v>
          </cell>
          <cell r="W8">
            <v>21.2</v>
          </cell>
          <cell r="X8">
            <v>0.15</v>
          </cell>
          <cell r="Y8">
            <v>45.7</v>
          </cell>
          <cell r="Z8">
            <v>68.7</v>
          </cell>
        </row>
        <row r="9">
          <cell r="A9">
            <v>3</v>
          </cell>
          <cell r="B9" t="str">
            <v>300x100x46</v>
          </cell>
          <cell r="C9">
            <v>45.5</v>
          </cell>
          <cell r="D9">
            <v>300</v>
          </cell>
          <cell r="E9">
            <v>100</v>
          </cell>
          <cell r="F9">
            <v>9</v>
          </cell>
          <cell r="G9">
            <v>16.5</v>
          </cell>
          <cell r="H9">
            <v>15</v>
          </cell>
          <cell r="I9">
            <v>237</v>
          </cell>
          <cell r="J9">
            <v>6.06</v>
          </cell>
          <cell r="K9">
            <v>26.3</v>
          </cell>
          <cell r="L9">
            <v>8229</v>
          </cell>
          <cell r="M9">
            <v>568</v>
          </cell>
          <cell r="N9">
            <v>11.9</v>
          </cell>
          <cell r="O9">
            <v>3.13</v>
          </cell>
          <cell r="P9">
            <v>549</v>
          </cell>
          <cell r="Q9">
            <v>81.7</v>
          </cell>
          <cell r="R9">
            <v>3.05</v>
          </cell>
          <cell r="S9">
            <v>641</v>
          </cell>
          <cell r="T9">
            <v>148</v>
          </cell>
          <cell r="U9">
            <v>1.31</v>
          </cell>
          <cell r="V9">
            <v>0.94399999999999995</v>
          </cell>
          <cell r="W9">
            <v>17</v>
          </cell>
          <cell r="X9">
            <v>8.1000000000000003E-2</v>
          </cell>
          <cell r="Y9">
            <v>36.799999999999997</v>
          </cell>
          <cell r="Z9">
            <v>58</v>
          </cell>
        </row>
        <row r="10">
          <cell r="A10">
            <v>4</v>
          </cell>
          <cell r="B10" t="str">
            <v>300x90x41</v>
          </cell>
          <cell r="C10">
            <v>41.4</v>
          </cell>
          <cell r="D10">
            <v>300</v>
          </cell>
          <cell r="E10">
            <v>90</v>
          </cell>
          <cell r="F10">
            <v>9</v>
          </cell>
          <cell r="G10">
            <v>15.5</v>
          </cell>
          <cell r="H10">
            <v>12</v>
          </cell>
          <cell r="I10">
            <v>245</v>
          </cell>
          <cell r="J10">
            <v>5.81</v>
          </cell>
          <cell r="K10">
            <v>27.2</v>
          </cell>
          <cell r="L10">
            <v>7218</v>
          </cell>
          <cell r="M10">
            <v>404</v>
          </cell>
          <cell r="N10">
            <v>11.7</v>
          </cell>
          <cell r="O10">
            <v>2.77</v>
          </cell>
          <cell r="P10">
            <v>481</v>
          </cell>
          <cell r="Q10">
            <v>63.1</v>
          </cell>
          <cell r="R10">
            <v>2.6</v>
          </cell>
          <cell r="S10">
            <v>568</v>
          </cell>
          <cell r="T10">
            <v>114</v>
          </cell>
          <cell r="U10">
            <v>0.879</v>
          </cell>
          <cell r="V10">
            <v>0.93400000000000005</v>
          </cell>
          <cell r="W10">
            <v>18.399999999999999</v>
          </cell>
          <cell r="X10">
            <v>5.8000000000000003E-2</v>
          </cell>
          <cell r="Y10">
            <v>28.8</v>
          </cell>
          <cell r="Z10">
            <v>52.7</v>
          </cell>
        </row>
        <row r="11">
          <cell r="A11">
            <v>5</v>
          </cell>
          <cell r="B11" t="str">
            <v>260x90x35</v>
          </cell>
          <cell r="C11">
            <v>34.799999999999997</v>
          </cell>
          <cell r="D11">
            <v>260</v>
          </cell>
          <cell r="E11">
            <v>90</v>
          </cell>
          <cell r="F11">
            <v>8</v>
          </cell>
          <cell r="G11">
            <v>14</v>
          </cell>
          <cell r="H11">
            <v>12</v>
          </cell>
          <cell r="I11">
            <v>208</v>
          </cell>
          <cell r="J11">
            <v>6.43</v>
          </cell>
          <cell r="K11">
            <v>26</v>
          </cell>
          <cell r="L11">
            <v>4728</v>
          </cell>
          <cell r="M11">
            <v>353</v>
          </cell>
          <cell r="N11">
            <v>10.3</v>
          </cell>
          <cell r="O11">
            <v>2.82</v>
          </cell>
          <cell r="P11">
            <v>364</v>
          </cell>
          <cell r="Q11">
            <v>56.3</v>
          </cell>
          <cell r="R11">
            <v>2.74</v>
          </cell>
          <cell r="S11">
            <v>425</v>
          </cell>
          <cell r="T11">
            <v>102</v>
          </cell>
          <cell r="U11">
            <v>1.1399999999999999</v>
          </cell>
          <cell r="V11">
            <v>0.94199999999999995</v>
          </cell>
          <cell r="W11">
            <v>17.2</v>
          </cell>
          <cell r="X11">
            <v>3.7999999999999999E-2</v>
          </cell>
          <cell r="Y11">
            <v>20.6</v>
          </cell>
          <cell r="Z11">
            <v>44.4</v>
          </cell>
        </row>
        <row r="12">
          <cell r="A12">
            <v>6</v>
          </cell>
          <cell r="B12" t="str">
            <v>260x75x28</v>
          </cell>
          <cell r="C12">
            <v>27.6</v>
          </cell>
          <cell r="D12">
            <v>260</v>
          </cell>
          <cell r="E12">
            <v>75</v>
          </cell>
          <cell r="F12">
            <v>7</v>
          </cell>
          <cell r="G12">
            <v>12</v>
          </cell>
          <cell r="H12">
            <v>12</v>
          </cell>
          <cell r="I12">
            <v>212</v>
          </cell>
          <cell r="J12">
            <v>6.25</v>
          </cell>
          <cell r="K12">
            <v>30.3</v>
          </cell>
          <cell r="L12">
            <v>3619</v>
          </cell>
          <cell r="M12">
            <v>185</v>
          </cell>
          <cell r="N12">
            <v>10.1</v>
          </cell>
          <cell r="O12">
            <v>2.2999999999999998</v>
          </cell>
          <cell r="P12">
            <v>278</v>
          </cell>
          <cell r="Q12">
            <v>34.4</v>
          </cell>
          <cell r="R12">
            <v>2.1</v>
          </cell>
          <cell r="S12">
            <v>328</v>
          </cell>
          <cell r="T12">
            <v>62</v>
          </cell>
          <cell r="U12">
            <v>0.67600000000000005</v>
          </cell>
          <cell r="V12">
            <v>0.93200000000000005</v>
          </cell>
          <cell r="W12">
            <v>20.5</v>
          </cell>
          <cell r="X12">
            <v>0.02</v>
          </cell>
          <cell r="Y12">
            <v>11.7</v>
          </cell>
          <cell r="Z12">
            <v>35.1</v>
          </cell>
        </row>
        <row r="13">
          <cell r="A13">
            <v>7</v>
          </cell>
          <cell r="B13" t="str">
            <v>230x90x32</v>
          </cell>
          <cell r="C13">
            <v>32.200000000000003</v>
          </cell>
          <cell r="D13">
            <v>230</v>
          </cell>
          <cell r="E13">
            <v>90</v>
          </cell>
          <cell r="F13">
            <v>7.5</v>
          </cell>
          <cell r="G13">
            <v>14</v>
          </cell>
          <cell r="H13">
            <v>12</v>
          </cell>
          <cell r="I13">
            <v>178</v>
          </cell>
          <cell r="J13">
            <v>6.43</v>
          </cell>
          <cell r="K13">
            <v>23.7</v>
          </cell>
          <cell r="L13">
            <v>3518</v>
          </cell>
          <cell r="M13">
            <v>334</v>
          </cell>
          <cell r="N13">
            <v>9.27</v>
          </cell>
          <cell r="O13">
            <v>2.86</v>
          </cell>
          <cell r="P13">
            <v>306</v>
          </cell>
          <cell r="Q13">
            <v>55</v>
          </cell>
          <cell r="R13">
            <v>2.92</v>
          </cell>
          <cell r="S13">
            <v>355</v>
          </cell>
          <cell r="T13">
            <v>98.9</v>
          </cell>
          <cell r="U13">
            <v>1.69</v>
          </cell>
          <cell r="V13">
            <v>0.95</v>
          </cell>
          <cell r="W13">
            <v>15.1</v>
          </cell>
          <cell r="X13">
            <v>2.8000000000000001E-2</v>
          </cell>
          <cell r="Y13">
            <v>19.3</v>
          </cell>
          <cell r="Z13">
            <v>41</v>
          </cell>
        </row>
        <row r="14">
          <cell r="A14">
            <v>8</v>
          </cell>
          <cell r="B14" t="str">
            <v>230x75x26</v>
          </cell>
          <cell r="C14">
            <v>25.7</v>
          </cell>
          <cell r="D14">
            <v>230</v>
          </cell>
          <cell r="E14">
            <v>75</v>
          </cell>
          <cell r="F14">
            <v>6.5</v>
          </cell>
          <cell r="G14">
            <v>12.5</v>
          </cell>
          <cell r="H14">
            <v>12</v>
          </cell>
          <cell r="I14">
            <v>181</v>
          </cell>
          <cell r="J14">
            <v>6</v>
          </cell>
          <cell r="K14">
            <v>27.8</v>
          </cell>
          <cell r="L14">
            <v>2748</v>
          </cell>
          <cell r="M14">
            <v>181</v>
          </cell>
          <cell r="N14">
            <v>9.17</v>
          </cell>
          <cell r="O14">
            <v>2.35</v>
          </cell>
          <cell r="P14">
            <v>239</v>
          </cell>
          <cell r="Q14">
            <v>34.799999999999997</v>
          </cell>
          <cell r="R14">
            <v>2.2999999999999998</v>
          </cell>
          <cell r="S14">
            <v>278</v>
          </cell>
          <cell r="T14">
            <v>63.2</v>
          </cell>
          <cell r="U14">
            <v>1.03</v>
          </cell>
          <cell r="V14">
            <v>0.94699999999999995</v>
          </cell>
          <cell r="W14">
            <v>17.3</v>
          </cell>
          <cell r="X14">
            <v>1.4999999999999999E-2</v>
          </cell>
          <cell r="Y14">
            <v>11.8</v>
          </cell>
          <cell r="Z14">
            <v>32.700000000000003</v>
          </cell>
        </row>
        <row r="15">
          <cell r="A15">
            <v>9</v>
          </cell>
          <cell r="B15" t="str">
            <v>200x90x30</v>
          </cell>
          <cell r="C15">
            <v>29.7</v>
          </cell>
          <cell r="D15">
            <v>200</v>
          </cell>
          <cell r="E15">
            <v>90</v>
          </cell>
          <cell r="F15">
            <v>7</v>
          </cell>
          <cell r="G15">
            <v>14</v>
          </cell>
          <cell r="H15">
            <v>12</v>
          </cell>
          <cell r="I15">
            <v>148</v>
          </cell>
          <cell r="J15">
            <v>6.43</v>
          </cell>
          <cell r="K15">
            <v>21.1</v>
          </cell>
          <cell r="L15">
            <v>2523</v>
          </cell>
          <cell r="M15">
            <v>314</v>
          </cell>
          <cell r="N15">
            <v>8.16</v>
          </cell>
          <cell r="O15">
            <v>2.88</v>
          </cell>
          <cell r="P15">
            <v>252</v>
          </cell>
          <cell r="Q15">
            <v>53.4</v>
          </cell>
          <cell r="R15">
            <v>3.12</v>
          </cell>
          <cell r="S15">
            <v>291</v>
          </cell>
          <cell r="T15">
            <v>94.5</v>
          </cell>
          <cell r="U15">
            <v>2.2400000000000002</v>
          </cell>
          <cell r="V15">
            <v>0.95399999999999996</v>
          </cell>
          <cell r="W15">
            <v>12.9</v>
          </cell>
          <cell r="X15">
            <v>0.02</v>
          </cell>
          <cell r="Y15">
            <v>18.3</v>
          </cell>
          <cell r="Z15">
            <v>37.9</v>
          </cell>
        </row>
        <row r="16">
          <cell r="A16">
            <v>10</v>
          </cell>
          <cell r="B16" t="str">
            <v>200x75x23</v>
          </cell>
          <cell r="C16">
            <v>23.4</v>
          </cell>
          <cell r="D16">
            <v>200</v>
          </cell>
          <cell r="E16">
            <v>75</v>
          </cell>
          <cell r="F16">
            <v>6</v>
          </cell>
          <cell r="G16">
            <v>12.5</v>
          </cell>
          <cell r="H16">
            <v>12</v>
          </cell>
          <cell r="I16">
            <v>151</v>
          </cell>
          <cell r="J16">
            <v>6</v>
          </cell>
          <cell r="K16">
            <v>25.2</v>
          </cell>
          <cell r="L16">
            <v>1963</v>
          </cell>
          <cell r="M16">
            <v>170</v>
          </cell>
          <cell r="N16">
            <v>8.11</v>
          </cell>
          <cell r="O16">
            <v>2.39</v>
          </cell>
          <cell r="P16">
            <v>196</v>
          </cell>
          <cell r="Q16">
            <v>33.799999999999997</v>
          </cell>
          <cell r="R16">
            <v>2.48</v>
          </cell>
          <cell r="S16">
            <v>227</v>
          </cell>
          <cell r="T16">
            <v>60.6</v>
          </cell>
          <cell r="U16">
            <v>1.53</v>
          </cell>
          <cell r="V16">
            <v>0.95599999999999996</v>
          </cell>
          <cell r="W16">
            <v>14.8</v>
          </cell>
          <cell r="X16">
            <v>1.0999999999999999E-2</v>
          </cell>
          <cell r="Y16">
            <v>11.1</v>
          </cell>
          <cell r="Z16">
            <v>29.9</v>
          </cell>
        </row>
        <row r="17">
          <cell r="A17">
            <v>11</v>
          </cell>
          <cell r="B17" t="str">
            <v>180x90x26</v>
          </cell>
          <cell r="C17">
            <v>26.1</v>
          </cell>
          <cell r="D17">
            <v>180</v>
          </cell>
          <cell r="E17">
            <v>90</v>
          </cell>
          <cell r="F17">
            <v>6.5</v>
          </cell>
          <cell r="G17">
            <v>12.5</v>
          </cell>
          <cell r="H17">
            <v>12</v>
          </cell>
          <cell r="I17">
            <v>131</v>
          </cell>
          <cell r="J17">
            <v>7.2</v>
          </cell>
          <cell r="K17">
            <v>20.2</v>
          </cell>
          <cell r="L17">
            <v>1817</v>
          </cell>
          <cell r="M17">
            <v>277</v>
          </cell>
          <cell r="N17">
            <v>7.4</v>
          </cell>
          <cell r="O17">
            <v>2.89</v>
          </cell>
          <cell r="P17">
            <v>202</v>
          </cell>
          <cell r="Q17">
            <v>47.4</v>
          </cell>
          <cell r="R17">
            <v>3.17</v>
          </cell>
          <cell r="S17">
            <v>232</v>
          </cell>
          <cell r="T17">
            <v>83.5</v>
          </cell>
          <cell r="U17">
            <v>2.36</v>
          </cell>
          <cell r="V17">
            <v>0.94899999999999995</v>
          </cell>
          <cell r="W17">
            <v>12.8</v>
          </cell>
          <cell r="X17">
            <v>1.4E-2</v>
          </cell>
          <cell r="Y17">
            <v>13.3</v>
          </cell>
          <cell r="Z17">
            <v>33.200000000000003</v>
          </cell>
        </row>
        <row r="18">
          <cell r="A18">
            <v>12</v>
          </cell>
          <cell r="B18" t="str">
            <v>180x75x20</v>
          </cell>
          <cell r="C18">
            <v>20.3</v>
          </cell>
          <cell r="D18">
            <v>180</v>
          </cell>
          <cell r="E18">
            <v>75</v>
          </cell>
          <cell r="F18">
            <v>6</v>
          </cell>
          <cell r="G18">
            <v>10.5</v>
          </cell>
          <cell r="H18">
            <v>12</v>
          </cell>
          <cell r="I18">
            <v>135</v>
          </cell>
          <cell r="J18">
            <v>7.14</v>
          </cell>
          <cell r="K18">
            <v>22.5</v>
          </cell>
          <cell r="L18">
            <v>1370</v>
          </cell>
          <cell r="M18">
            <v>146</v>
          </cell>
          <cell r="N18">
            <v>7.27</v>
          </cell>
          <cell r="O18">
            <v>2.38</v>
          </cell>
          <cell r="P18">
            <v>152</v>
          </cell>
          <cell r="Q18">
            <v>28.8</v>
          </cell>
          <cell r="R18">
            <v>2.41</v>
          </cell>
          <cell r="S18">
            <v>176</v>
          </cell>
          <cell r="T18">
            <v>51.8</v>
          </cell>
          <cell r="U18">
            <v>1.34</v>
          </cell>
          <cell r="V18">
            <v>0.94599999999999995</v>
          </cell>
          <cell r="W18">
            <v>15.3</v>
          </cell>
          <cell r="X18">
            <v>8.0000000000000002E-3</v>
          </cell>
          <cell r="Y18">
            <v>7.34</v>
          </cell>
          <cell r="Z18">
            <v>25.9</v>
          </cell>
        </row>
        <row r="19">
          <cell r="A19">
            <v>13</v>
          </cell>
          <cell r="B19" t="str">
            <v>150x90x24</v>
          </cell>
          <cell r="C19">
            <v>23.9</v>
          </cell>
          <cell r="D19">
            <v>150</v>
          </cell>
          <cell r="E19">
            <v>90</v>
          </cell>
          <cell r="F19">
            <v>6.5</v>
          </cell>
          <cell r="G19">
            <v>12</v>
          </cell>
          <cell r="H19">
            <v>12</v>
          </cell>
          <cell r="I19">
            <v>102</v>
          </cell>
          <cell r="J19">
            <v>7.5</v>
          </cell>
          <cell r="K19">
            <v>15.7</v>
          </cell>
          <cell r="L19">
            <v>1162</v>
          </cell>
          <cell r="M19">
            <v>253</v>
          </cell>
          <cell r="N19">
            <v>6.18</v>
          </cell>
          <cell r="O19">
            <v>2.89</v>
          </cell>
          <cell r="P19">
            <v>155</v>
          </cell>
          <cell r="Q19">
            <v>44.4</v>
          </cell>
          <cell r="R19">
            <v>3.3</v>
          </cell>
          <cell r="S19">
            <v>179</v>
          </cell>
          <cell r="T19">
            <v>76.900000000000006</v>
          </cell>
          <cell r="U19">
            <v>2.66</v>
          </cell>
          <cell r="V19">
            <v>0.93600000000000005</v>
          </cell>
          <cell r="W19">
            <v>10.8</v>
          </cell>
          <cell r="X19">
            <v>8.9999999999999993E-3</v>
          </cell>
          <cell r="Y19">
            <v>11.8</v>
          </cell>
          <cell r="Z19">
            <v>30.4</v>
          </cell>
        </row>
        <row r="20">
          <cell r="A20">
            <v>14</v>
          </cell>
          <cell r="B20" t="str">
            <v>150x75x18</v>
          </cell>
          <cell r="C20">
            <v>17.899999999999999</v>
          </cell>
          <cell r="D20">
            <v>150</v>
          </cell>
          <cell r="E20">
            <v>75</v>
          </cell>
          <cell r="F20">
            <v>5.5</v>
          </cell>
          <cell r="G20">
            <v>10</v>
          </cell>
          <cell r="H20">
            <v>12</v>
          </cell>
          <cell r="I20">
            <v>106</v>
          </cell>
          <cell r="J20">
            <v>7.5</v>
          </cell>
          <cell r="K20">
            <v>19.3</v>
          </cell>
          <cell r="L20">
            <v>861</v>
          </cell>
          <cell r="M20">
            <v>131</v>
          </cell>
          <cell r="N20">
            <v>6.15</v>
          </cell>
          <cell r="O20">
            <v>2.4</v>
          </cell>
          <cell r="P20">
            <v>115</v>
          </cell>
          <cell r="Q20">
            <v>26.6</v>
          </cell>
          <cell r="R20">
            <v>2.58</v>
          </cell>
          <cell r="S20">
            <v>132</v>
          </cell>
          <cell r="T20">
            <v>47.2</v>
          </cell>
          <cell r="U20">
            <v>1.81</v>
          </cell>
          <cell r="V20">
            <v>0.94599999999999995</v>
          </cell>
          <cell r="W20">
            <v>13.1</v>
          </cell>
          <cell r="X20">
            <v>5.0000000000000001E-3</v>
          </cell>
          <cell r="Y20">
            <v>6.1</v>
          </cell>
          <cell r="Z20">
            <v>22.8</v>
          </cell>
        </row>
        <row r="21">
          <cell r="A21">
            <v>15</v>
          </cell>
          <cell r="B21" t="str">
            <v>125x65x15</v>
          </cell>
          <cell r="C21">
            <v>14.8</v>
          </cell>
          <cell r="D21">
            <v>125</v>
          </cell>
          <cell r="E21">
            <v>65</v>
          </cell>
          <cell r="F21">
            <v>5.5</v>
          </cell>
          <cell r="G21">
            <v>9.5</v>
          </cell>
          <cell r="H21">
            <v>12</v>
          </cell>
          <cell r="I21">
            <v>82</v>
          </cell>
          <cell r="J21">
            <v>6.84</v>
          </cell>
          <cell r="K21">
            <v>14.9</v>
          </cell>
          <cell r="L21">
            <v>483</v>
          </cell>
          <cell r="M21">
            <v>80</v>
          </cell>
          <cell r="N21">
            <v>5.07</v>
          </cell>
          <cell r="O21">
            <v>2.06</v>
          </cell>
          <cell r="P21">
            <v>77.3</v>
          </cell>
          <cell r="Q21">
            <v>18.8</v>
          </cell>
          <cell r="R21">
            <v>2.25</v>
          </cell>
          <cell r="S21">
            <v>89.9</v>
          </cell>
          <cell r="T21">
            <v>33.200000000000003</v>
          </cell>
          <cell r="U21">
            <v>1.55</v>
          </cell>
          <cell r="V21">
            <v>0.94199999999999995</v>
          </cell>
          <cell r="W21">
            <v>11.1</v>
          </cell>
          <cell r="X21">
            <v>2E-3</v>
          </cell>
          <cell r="Y21">
            <v>4.72</v>
          </cell>
          <cell r="Z21">
            <v>18.8</v>
          </cell>
        </row>
        <row r="22">
          <cell r="A22">
            <v>16</v>
          </cell>
          <cell r="B22" t="str">
            <v>100x50x10</v>
          </cell>
          <cell r="C22">
            <v>10.199999999999999</v>
          </cell>
          <cell r="D22">
            <v>100</v>
          </cell>
          <cell r="E22">
            <v>50</v>
          </cell>
          <cell r="F22">
            <v>5</v>
          </cell>
          <cell r="G22">
            <v>8.5</v>
          </cell>
          <cell r="H22">
            <v>9</v>
          </cell>
          <cell r="I22">
            <v>65</v>
          </cell>
          <cell r="J22">
            <v>5.88</v>
          </cell>
          <cell r="K22">
            <v>13</v>
          </cell>
          <cell r="L22">
            <v>208</v>
          </cell>
          <cell r="M22">
            <v>32.299999999999997</v>
          </cell>
          <cell r="N22">
            <v>4</v>
          </cell>
          <cell r="O22">
            <v>1.58</v>
          </cell>
          <cell r="P22">
            <v>41.5</v>
          </cell>
          <cell r="Q22">
            <v>9.89</v>
          </cell>
          <cell r="R22">
            <v>1.73</v>
          </cell>
          <cell r="S22">
            <v>48.9</v>
          </cell>
          <cell r="T22">
            <v>17.5</v>
          </cell>
          <cell r="U22">
            <v>1.18</v>
          </cell>
          <cell r="V22">
            <v>0.94199999999999995</v>
          </cell>
          <cell r="W22">
            <v>10</v>
          </cell>
          <cell r="X22">
            <v>0</v>
          </cell>
          <cell r="Y22">
            <v>2.5299999999999998</v>
          </cell>
          <cell r="Z22">
            <v>13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STATIC"/>
      <sheetName val="MODE-x"/>
      <sheetName val="MODE-z"/>
      <sheetName val="STOREYDEFLECTIONS"/>
      <sheetName val="TOTAL STIFFNESS"/>
      <sheetName val="X-DIR-COL-STIFF"/>
      <sheetName val="Z-DIR-COL-STIFF"/>
      <sheetName val="X-DIR-CORE-STIFF"/>
      <sheetName val="Z-DIR-CORE-STIFF"/>
      <sheetName val="X-DIR-COL-SF"/>
      <sheetName val="Z-DIR-COL-SF"/>
      <sheetName val="X-DIR-CORE-SF"/>
      <sheetName val="Z-DIR-CORE-SF"/>
      <sheetName val="REPORT"/>
      <sheetName val="FL-WEIGHTS"/>
      <sheetName val="GF"/>
      <sheetName val="1ST"/>
      <sheetName val="2ND"/>
      <sheetName val="3RD"/>
      <sheetName val="4TH"/>
      <sheetName val="5TH"/>
      <sheetName val="6TH"/>
      <sheetName val="7TH"/>
      <sheetName val="8TH"/>
      <sheetName val="9TH"/>
      <sheetName val="10TH"/>
      <sheetName val="11TH"/>
      <sheetName val="12TH"/>
      <sheetName val="13TH"/>
      <sheetName val="14TH"/>
      <sheetName val="TERRACE"/>
      <sheetName val="STAADFORCE"/>
    </sheetNames>
    <sheetDataSet>
      <sheetData sheetId="0">
        <row r="44">
          <cell r="V44" t="str">
            <v>0.0488 x 65¾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MODE 1 CHECK"/>
      <sheetName val="MODE 2 check"/>
      <sheetName val="STATIC"/>
      <sheetName val="MODE 1"/>
      <sheetName val="MODE 2"/>
      <sheetName val="summary"/>
      <sheetName val="GR"/>
      <sheetName val="zone-4"/>
    </sheetNames>
    <sheetDataSet>
      <sheetData sheetId="0" refreshError="1"/>
      <sheetData sheetId="1" refreshError="1"/>
      <sheetData sheetId="2" refreshError="1">
        <row r="26">
          <cell r="V26">
            <v>1</v>
          </cell>
        </row>
        <row r="35">
          <cell r="V35">
            <v>64.3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externalLinkPath" Target="BIAL%20-%20IS800-2007-Design.xl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G575"/>
  <sheetViews>
    <sheetView tabSelected="1" view="pageBreakPreview" topLeftCell="A175" zoomScale="145" zoomScaleNormal="160" zoomScaleSheetLayoutView="145" zoomScalePageLayoutView="55" workbookViewId="0">
      <selection activeCell="F194" sqref="F194:G194"/>
    </sheetView>
  </sheetViews>
  <sheetFormatPr defaultColWidth="2.7109375" defaultRowHeight="12.75" customHeight="1"/>
  <cols>
    <col min="1" max="1" width="4" style="54" customWidth="1"/>
    <col min="2" max="2" width="31.42578125" style="54" customWidth="1"/>
    <col min="3" max="3" width="5.85546875" style="54" customWidth="1"/>
    <col min="4" max="4" width="4.42578125" style="55" bestFit="1" customWidth="1"/>
    <col min="5" max="5" width="3.28515625" style="56" customWidth="1"/>
    <col min="6" max="6" width="6.7109375" style="54" customWidth="1"/>
    <col min="7" max="7" width="6.7109375" style="54" bestFit="1" customWidth="1"/>
    <col min="8" max="8" width="6.140625" style="57" bestFit="1" customWidth="1"/>
    <col min="9" max="9" width="6.140625" style="54" bestFit="1" customWidth="1"/>
    <col min="10" max="10" width="16.140625" style="54" customWidth="1"/>
    <col min="11" max="11" width="8.28515625" style="54" bestFit="1" customWidth="1"/>
    <col min="12" max="12" width="4" style="54" bestFit="1" customWidth="1"/>
    <col min="13" max="13" width="2.7109375" style="54"/>
    <col min="14" max="14" width="4.85546875" style="54" bestFit="1" customWidth="1"/>
    <col min="15" max="15" width="9.28515625" style="54" bestFit="1" customWidth="1"/>
    <col min="16" max="16" width="7.5703125" style="54" bestFit="1" customWidth="1"/>
    <col min="17" max="17" width="9.42578125" style="54" bestFit="1" customWidth="1"/>
    <col min="18" max="18" width="3.5703125" style="54" bestFit="1" customWidth="1"/>
    <col min="19" max="19" width="2.7109375" style="54"/>
    <col min="20" max="20" width="13.5703125" style="54" customWidth="1"/>
    <col min="21" max="21" width="5.7109375" style="54" customWidth="1"/>
    <col min="22" max="22" width="6.85546875" style="54" customWidth="1"/>
    <col min="23" max="24" width="10" style="54" bestFit="1" customWidth="1"/>
    <col min="25" max="25" width="7.5703125" style="54" customWidth="1"/>
    <col min="26" max="26" width="7.42578125" style="54" customWidth="1"/>
    <col min="27" max="27" width="6.140625" style="54" customWidth="1"/>
    <col min="28" max="28" width="6.28515625" style="54" bestFit="1" customWidth="1"/>
    <col min="29" max="29" width="6.7109375" style="54" customWidth="1"/>
    <col min="30" max="32" width="2.7109375" style="54"/>
    <col min="33" max="33" width="10.7109375" style="54" bestFit="1" customWidth="1"/>
    <col min="34" max="36" width="4.42578125" style="54" bestFit="1" customWidth="1"/>
    <col min="37" max="38" width="6.85546875" style="54" bestFit="1" customWidth="1"/>
    <col min="39" max="41" width="6" style="54" bestFit="1" customWidth="1"/>
    <col min="42" max="42" width="6.85546875" style="54" bestFit="1" customWidth="1"/>
    <col min="43" max="43" width="3" style="54" bestFit="1" customWidth="1"/>
    <col min="44" max="44" width="4.42578125" style="54" bestFit="1" customWidth="1"/>
    <col min="45" max="16384" width="2.7109375" style="54"/>
  </cols>
  <sheetData>
    <row r="1" spans="1:42" s="2" customFormat="1" ht="12.75" customHeight="1">
      <c r="A1" s="294"/>
      <c r="B1" s="295"/>
      <c r="C1" s="300" t="s">
        <v>0</v>
      </c>
      <c r="D1" s="301"/>
      <c r="E1" s="301"/>
      <c r="F1" s="301"/>
      <c r="G1" s="301"/>
      <c r="H1" s="301"/>
      <c r="I1" s="302"/>
      <c r="J1" s="1" t="s">
        <v>1</v>
      </c>
      <c r="K1" s="1" t="s">
        <v>2</v>
      </c>
      <c r="N1" s="2">
        <v>4.3499999999999996</v>
      </c>
      <c r="O1" s="2" t="s">
        <v>3</v>
      </c>
    </row>
    <row r="2" spans="1:42" s="2" customFormat="1" ht="12.75" customHeight="1">
      <c r="A2" s="296"/>
      <c r="B2" s="297"/>
      <c r="C2" s="303"/>
      <c r="D2" s="304"/>
      <c r="E2" s="304"/>
      <c r="F2" s="304"/>
      <c r="G2" s="304"/>
      <c r="H2" s="304"/>
      <c r="I2" s="305"/>
      <c r="J2" s="1" t="s">
        <v>4</v>
      </c>
      <c r="K2" s="1" t="s">
        <v>2</v>
      </c>
      <c r="O2" s="2" t="s">
        <v>5</v>
      </c>
    </row>
    <row r="3" spans="1:42" s="2" customFormat="1" ht="12.75" customHeight="1">
      <c r="A3" s="296"/>
      <c r="B3" s="297"/>
      <c r="C3" s="300" t="s">
        <v>6</v>
      </c>
      <c r="D3" s="301"/>
      <c r="E3" s="301"/>
      <c r="F3" s="301"/>
      <c r="G3" s="301"/>
      <c r="H3" s="301"/>
      <c r="I3" s="302"/>
      <c r="J3" s="1" t="s">
        <v>7</v>
      </c>
      <c r="K3" s="1" t="s">
        <v>8</v>
      </c>
      <c r="O3" s="2" t="s">
        <v>9</v>
      </c>
    </row>
    <row r="4" spans="1:42" s="2" customFormat="1" ht="12.75" customHeight="1">
      <c r="A4" s="296"/>
      <c r="B4" s="297"/>
      <c r="C4" s="303"/>
      <c r="D4" s="304"/>
      <c r="E4" s="304"/>
      <c r="F4" s="304"/>
      <c r="G4" s="304"/>
      <c r="H4" s="304"/>
      <c r="I4" s="305"/>
      <c r="J4" s="1" t="s">
        <v>10</v>
      </c>
      <c r="K4" s="3">
        <v>42205</v>
      </c>
      <c r="O4" s="2" t="s">
        <v>11</v>
      </c>
    </row>
    <row r="5" spans="1:42" s="2" customFormat="1" ht="12.75" customHeight="1">
      <c r="A5" s="296"/>
      <c r="B5" s="297"/>
      <c r="C5" s="1" t="s">
        <v>12</v>
      </c>
      <c r="D5" s="4"/>
      <c r="E5" s="5"/>
      <c r="F5" s="1" t="s">
        <v>13</v>
      </c>
      <c r="G5" s="1"/>
      <c r="H5" s="1"/>
      <c r="I5" s="1"/>
      <c r="J5" s="1"/>
      <c r="K5" s="1"/>
    </row>
    <row r="6" spans="1:42" s="2" customFormat="1" ht="12.75" customHeight="1">
      <c r="A6" s="296"/>
      <c r="B6" s="297"/>
      <c r="C6" s="1" t="s">
        <v>14</v>
      </c>
      <c r="D6" s="4"/>
      <c r="E6" s="5"/>
      <c r="F6" s="1" t="s">
        <v>15</v>
      </c>
      <c r="G6" s="1"/>
      <c r="H6" s="1"/>
      <c r="I6" s="1"/>
      <c r="J6" s="1"/>
      <c r="K6" s="1"/>
      <c r="O6" s="2" t="s">
        <v>16</v>
      </c>
    </row>
    <row r="7" spans="1:42" s="2" customFormat="1" ht="12.75" customHeight="1">
      <c r="A7" s="298"/>
      <c r="B7" s="299"/>
      <c r="C7" s="1" t="s">
        <v>17</v>
      </c>
      <c r="D7" s="4"/>
      <c r="E7" s="5"/>
      <c r="F7" s="1" t="s">
        <v>18</v>
      </c>
      <c r="G7" s="1"/>
      <c r="H7" s="1"/>
      <c r="I7" s="1"/>
      <c r="J7" s="6" t="s">
        <v>19</v>
      </c>
      <c r="K7" s="6" t="s">
        <v>20</v>
      </c>
      <c r="O7" s="7"/>
    </row>
    <row r="8" spans="1:42" s="2" customFormat="1" ht="12.75" customHeight="1">
      <c r="A8" s="306" t="s">
        <v>21</v>
      </c>
      <c r="B8" s="300" t="s">
        <v>22</v>
      </c>
      <c r="C8" s="308"/>
      <c r="D8" s="308"/>
      <c r="E8" s="308"/>
      <c r="F8" s="308"/>
      <c r="G8" s="308"/>
      <c r="H8" s="308"/>
      <c r="I8" s="309"/>
      <c r="J8" s="300" t="s">
        <v>23</v>
      </c>
      <c r="K8" s="309"/>
    </row>
    <row r="9" spans="1:42" s="2" customFormat="1">
      <c r="A9" s="307"/>
      <c r="B9" s="310"/>
      <c r="C9" s="270"/>
      <c r="D9" s="270"/>
      <c r="E9" s="270"/>
      <c r="F9" s="270"/>
      <c r="G9" s="270"/>
      <c r="H9" s="270"/>
      <c r="I9" s="271"/>
      <c r="J9" s="310"/>
      <c r="K9" s="271"/>
      <c r="U9" s="8"/>
      <c r="V9" s="8"/>
      <c r="W9" s="8"/>
      <c r="X9" s="8"/>
      <c r="Y9" s="8"/>
      <c r="Z9" s="8"/>
      <c r="AA9" s="8"/>
      <c r="AB9" s="8"/>
      <c r="AC9" s="8"/>
      <c r="AH9" s="8" t="s">
        <v>24</v>
      </c>
      <c r="AI9" s="8" t="s">
        <v>25</v>
      </c>
      <c r="AJ9" s="8" t="s">
        <v>26</v>
      </c>
      <c r="AK9" s="8" t="s">
        <v>27</v>
      </c>
      <c r="AL9" s="8" t="s">
        <v>28</v>
      </c>
      <c r="AM9" s="8" t="s">
        <v>29</v>
      </c>
      <c r="AN9" s="8" t="s">
        <v>30</v>
      </c>
      <c r="AO9" s="8" t="s">
        <v>31</v>
      </c>
      <c r="AP9" s="8" t="s">
        <v>32</v>
      </c>
    </row>
    <row r="10" spans="1:42" s="2" customFormat="1">
      <c r="A10" s="9"/>
      <c r="B10" s="10"/>
      <c r="C10" s="10"/>
      <c r="D10" s="11"/>
      <c r="E10" s="12"/>
      <c r="F10" s="10"/>
      <c r="G10" s="10"/>
      <c r="H10" s="13"/>
      <c r="I10" s="14"/>
      <c r="J10" s="15"/>
      <c r="K10" s="14"/>
      <c r="T10" s="16" t="s">
        <v>24</v>
      </c>
      <c r="U10" s="16" t="s">
        <v>33</v>
      </c>
      <c r="V10" s="16" t="s">
        <v>34</v>
      </c>
      <c r="W10" s="16" t="s">
        <v>27</v>
      </c>
      <c r="X10" s="16" t="s">
        <v>28</v>
      </c>
      <c r="Y10" s="16" t="s">
        <v>29</v>
      </c>
      <c r="Z10" s="16" t="s">
        <v>30</v>
      </c>
      <c r="AA10" s="16" t="s">
        <v>31</v>
      </c>
      <c r="AB10" s="16" t="s">
        <v>32</v>
      </c>
      <c r="AC10" s="17"/>
      <c r="AG10" s="18" t="s">
        <v>35</v>
      </c>
      <c r="AH10" s="19">
        <v>1010</v>
      </c>
      <c r="AI10" s="19">
        <v>121</v>
      </c>
      <c r="AJ10" s="19">
        <v>447</v>
      </c>
      <c r="AK10" s="20">
        <v>-10.942</v>
      </c>
      <c r="AL10" s="21">
        <v>25.082000000000001</v>
      </c>
      <c r="AM10" s="21">
        <v>-0.27500000000000002</v>
      </c>
      <c r="AN10" s="21">
        <v>0</v>
      </c>
      <c r="AO10" s="21">
        <v>0.23100000000000001</v>
      </c>
      <c r="AP10" s="21">
        <v>-3.4000000000000002E-2</v>
      </c>
    </row>
    <row r="11" spans="1:42" s="2" customFormat="1">
      <c r="A11" s="22" t="s">
        <v>36</v>
      </c>
      <c r="B11" s="23" t="s">
        <v>37</v>
      </c>
      <c r="D11" s="19"/>
      <c r="E11" s="24"/>
      <c r="H11" s="25"/>
      <c r="I11" s="26"/>
      <c r="J11" s="27"/>
      <c r="K11" s="26"/>
      <c r="O11" s="21">
        <v>52.109000000000002</v>
      </c>
      <c r="T11" s="16">
        <v>654</v>
      </c>
      <c r="U11" s="16">
        <v>123</v>
      </c>
      <c r="V11" s="28">
        <v>1</v>
      </c>
      <c r="W11" s="28">
        <v>18.5</v>
      </c>
      <c r="X11" s="28">
        <v>1.6040000000000001</v>
      </c>
      <c r="Y11" s="28">
        <v>-5.2999999999999999E-2</v>
      </c>
      <c r="Z11" s="28">
        <v>0</v>
      </c>
      <c r="AA11" s="28">
        <v>-4.2000000000000003E-2</v>
      </c>
      <c r="AB11" s="28">
        <v>-0.503</v>
      </c>
      <c r="AC11" s="17"/>
      <c r="AG11" s="18" t="s">
        <v>38</v>
      </c>
      <c r="AH11" s="19">
        <v>1010</v>
      </c>
      <c r="AI11" s="19">
        <v>121</v>
      </c>
      <c r="AJ11" s="19">
        <v>583</v>
      </c>
      <c r="AK11" s="20">
        <v>11.09</v>
      </c>
      <c r="AL11" s="21">
        <v>-24.827000000000002</v>
      </c>
      <c r="AM11" s="21">
        <v>0.27500000000000002</v>
      </c>
      <c r="AN11" s="21">
        <v>0</v>
      </c>
      <c r="AO11" s="21">
        <v>9.8000000000000004E-2</v>
      </c>
      <c r="AP11" s="21">
        <v>29.98</v>
      </c>
    </row>
    <row r="12" spans="1:42" s="2" customFormat="1">
      <c r="A12" s="22"/>
      <c r="B12" s="2" t="s">
        <v>39</v>
      </c>
      <c r="D12" s="29"/>
      <c r="E12" s="24" t="s">
        <v>40</v>
      </c>
      <c r="F12" s="291">
        <f>T11</f>
        <v>654</v>
      </c>
      <c r="G12" s="291"/>
      <c r="H12" s="30"/>
      <c r="I12" s="31"/>
      <c r="J12" s="27" t="s">
        <v>41</v>
      </c>
      <c r="K12" s="26"/>
      <c r="O12" s="21">
        <v>5.8000000000000003E-2</v>
      </c>
      <c r="T12" s="32"/>
      <c r="U12" s="17"/>
      <c r="V12" s="17"/>
      <c r="W12" s="17"/>
      <c r="X12" s="17"/>
      <c r="Y12" s="33"/>
      <c r="Z12" s="17"/>
      <c r="AA12" s="17"/>
      <c r="AB12" s="17"/>
      <c r="AC12" s="17"/>
      <c r="AG12" s="18" t="s">
        <v>42</v>
      </c>
      <c r="AH12" s="19">
        <v>380</v>
      </c>
      <c r="AI12" s="19">
        <v>105</v>
      </c>
      <c r="AJ12" s="19">
        <v>171</v>
      </c>
      <c r="AK12" s="21">
        <v>8.8170000000000002</v>
      </c>
      <c r="AL12" s="20">
        <v>-26.422999999999998</v>
      </c>
      <c r="AM12" s="21">
        <v>0.307</v>
      </c>
      <c r="AN12" s="21">
        <v>-1E-3</v>
      </c>
      <c r="AO12" s="21">
        <v>0.16500000000000001</v>
      </c>
      <c r="AP12" s="21">
        <v>31.911000000000001</v>
      </c>
    </row>
    <row r="13" spans="1:42" s="2" customFormat="1">
      <c r="A13" s="22"/>
      <c r="B13" s="2" t="s">
        <v>43</v>
      </c>
      <c r="D13" s="29"/>
      <c r="E13" s="24" t="s">
        <v>40</v>
      </c>
      <c r="F13" s="291" t="s">
        <v>44</v>
      </c>
      <c r="G13" s="291"/>
      <c r="H13" s="30"/>
      <c r="I13" s="34"/>
      <c r="J13" s="27" t="str">
        <f>F6</f>
        <v>G-xxxx-STD-xxx-Rx</v>
      </c>
      <c r="K13" s="26"/>
      <c r="T13" s="32"/>
      <c r="U13" s="17"/>
      <c r="V13" s="17"/>
      <c r="W13" s="17"/>
      <c r="X13" s="17"/>
      <c r="Y13" s="33"/>
      <c r="Z13" s="17"/>
      <c r="AA13" s="17"/>
      <c r="AB13" s="17"/>
      <c r="AC13" s="17"/>
      <c r="AG13" s="18" t="s">
        <v>45</v>
      </c>
      <c r="AH13" s="19">
        <v>380</v>
      </c>
      <c r="AI13" s="19">
        <v>380</v>
      </c>
      <c r="AJ13" s="19">
        <v>380</v>
      </c>
      <c r="AK13" s="21">
        <v>380</v>
      </c>
      <c r="AL13" s="20">
        <v>26.718</v>
      </c>
      <c r="AM13" s="21">
        <v>380</v>
      </c>
      <c r="AN13" s="21">
        <v>380</v>
      </c>
      <c r="AO13" s="21">
        <v>380</v>
      </c>
      <c r="AP13" s="21">
        <v>380</v>
      </c>
    </row>
    <row r="14" spans="1:42" s="2" customFormat="1">
      <c r="A14" s="22"/>
      <c r="B14" s="2" t="s">
        <v>46</v>
      </c>
      <c r="D14" s="35"/>
      <c r="E14" s="24" t="s">
        <v>40</v>
      </c>
      <c r="F14" s="291">
        <f>U11</f>
        <v>123</v>
      </c>
      <c r="G14" s="291"/>
      <c r="H14" s="36"/>
      <c r="I14" s="37"/>
      <c r="J14" s="27"/>
      <c r="K14" s="26"/>
      <c r="T14" s="32"/>
      <c r="U14" s="17"/>
      <c r="V14" s="17"/>
      <c r="W14" s="17"/>
      <c r="X14" s="17"/>
      <c r="Y14" s="17"/>
      <c r="Z14" s="33"/>
      <c r="AA14" s="17"/>
      <c r="AB14" s="17"/>
      <c r="AC14" s="17"/>
      <c r="AG14" s="18" t="s">
        <v>47</v>
      </c>
      <c r="AH14" s="19">
        <v>1010</v>
      </c>
      <c r="AI14" s="19">
        <v>120</v>
      </c>
      <c r="AJ14" s="19">
        <v>583</v>
      </c>
      <c r="AK14" s="21">
        <v>9.4570000000000007</v>
      </c>
      <c r="AL14" s="21">
        <v>-24.882000000000001</v>
      </c>
      <c r="AM14" s="20">
        <v>-0.63300000000000001</v>
      </c>
      <c r="AN14" s="21">
        <v>0</v>
      </c>
      <c r="AO14" s="21">
        <v>-0.50700000000000001</v>
      </c>
      <c r="AP14" s="21">
        <v>30.035</v>
      </c>
    </row>
    <row r="15" spans="1:42" s="2" customFormat="1">
      <c r="A15" s="38"/>
      <c r="B15" s="2" t="s">
        <v>48</v>
      </c>
      <c r="D15" s="19"/>
      <c r="E15" s="24" t="s">
        <v>40</v>
      </c>
      <c r="F15" s="39" t="s">
        <v>49</v>
      </c>
      <c r="G15" s="39"/>
      <c r="H15" s="40"/>
      <c r="I15" s="41"/>
      <c r="J15" s="27"/>
      <c r="K15" s="26"/>
      <c r="T15" s="32"/>
      <c r="U15" s="17"/>
      <c r="V15" s="17"/>
      <c r="W15" s="17"/>
      <c r="X15" s="17"/>
      <c r="Y15" s="17"/>
      <c r="Z15" s="33"/>
      <c r="AA15" s="17"/>
      <c r="AB15" s="17"/>
      <c r="AC15" s="17"/>
      <c r="AG15" s="18" t="s">
        <v>50</v>
      </c>
      <c r="AH15" s="19">
        <v>1010</v>
      </c>
      <c r="AI15" s="19">
        <v>120</v>
      </c>
      <c r="AJ15" s="19">
        <v>447</v>
      </c>
      <c r="AK15" s="21">
        <v>-9.31</v>
      </c>
      <c r="AL15" s="21">
        <v>25.138000000000002</v>
      </c>
      <c r="AM15" s="20">
        <v>0.63300000000000001</v>
      </c>
      <c r="AN15" s="21">
        <v>0</v>
      </c>
      <c r="AO15" s="21">
        <v>-0.253</v>
      </c>
      <c r="AP15" s="21">
        <v>-2.1999999999999999E-2</v>
      </c>
    </row>
    <row r="16" spans="1:42" s="2" customFormat="1" ht="14.25">
      <c r="A16" s="38"/>
      <c r="B16" s="42" t="s">
        <v>51</v>
      </c>
      <c r="D16" s="19" t="s">
        <v>52</v>
      </c>
      <c r="E16" s="24" t="s">
        <v>40</v>
      </c>
      <c r="F16" s="286">
        <f>W11</f>
        <v>18.5</v>
      </c>
      <c r="G16" s="286"/>
      <c r="H16" s="43" t="s">
        <v>53</v>
      </c>
      <c r="I16" s="44"/>
      <c r="J16" s="27"/>
      <c r="K16" s="26"/>
      <c r="T16" s="32"/>
      <c r="U16" s="17"/>
      <c r="V16" s="17"/>
      <c r="W16" s="17"/>
      <c r="X16" s="17"/>
      <c r="Y16" s="17"/>
      <c r="Z16" s="17"/>
      <c r="AA16" s="33"/>
      <c r="AB16" s="17"/>
      <c r="AC16" s="17"/>
      <c r="AG16" s="18" t="s">
        <v>54</v>
      </c>
      <c r="AH16" s="19">
        <v>1009</v>
      </c>
      <c r="AI16" s="19">
        <v>120</v>
      </c>
      <c r="AJ16" s="19">
        <v>580</v>
      </c>
      <c r="AK16" s="21">
        <v>11.067</v>
      </c>
      <c r="AL16" s="21">
        <v>-24.786999999999999</v>
      </c>
      <c r="AM16" s="21">
        <v>-0.43</v>
      </c>
      <c r="AN16" s="20">
        <v>-1.2E-2</v>
      </c>
      <c r="AO16" s="21">
        <v>-0.29899999999999999</v>
      </c>
      <c r="AP16" s="21">
        <v>29.936</v>
      </c>
    </row>
    <row r="17" spans="1:42" s="2" customFormat="1" ht="14.25">
      <c r="A17" s="38"/>
      <c r="B17" s="42" t="s">
        <v>55</v>
      </c>
      <c r="D17" s="19" t="s">
        <v>56</v>
      </c>
      <c r="E17" s="24" t="s">
        <v>40</v>
      </c>
      <c r="F17" s="286">
        <f>X11</f>
        <v>1.6040000000000001</v>
      </c>
      <c r="G17" s="286"/>
      <c r="H17" s="43" t="s">
        <v>53</v>
      </c>
      <c r="I17" s="44"/>
      <c r="J17" s="27"/>
      <c r="K17" s="26"/>
      <c r="T17" s="32"/>
      <c r="U17" s="17"/>
      <c r="V17" s="17"/>
      <c r="W17" s="17"/>
      <c r="X17" s="17"/>
      <c r="Y17" s="17"/>
      <c r="Z17" s="17"/>
      <c r="AA17" s="33"/>
      <c r="AB17" s="17"/>
      <c r="AC17" s="17"/>
      <c r="AG17" s="18" t="s">
        <v>57</v>
      </c>
      <c r="AH17" s="19">
        <v>1009</v>
      </c>
      <c r="AI17" s="19">
        <v>120</v>
      </c>
      <c r="AJ17" s="19">
        <v>446</v>
      </c>
      <c r="AK17" s="21">
        <v>-10.919</v>
      </c>
      <c r="AL17" s="21">
        <v>25.042000000000002</v>
      </c>
      <c r="AM17" s="21">
        <v>0.43</v>
      </c>
      <c r="AN17" s="20">
        <v>1.2E-2</v>
      </c>
      <c r="AO17" s="21">
        <v>-0.216</v>
      </c>
      <c r="AP17" s="21">
        <v>-3.7999999999999999E-2</v>
      </c>
    </row>
    <row r="18" spans="1:42" s="2" customFormat="1" ht="14.25">
      <c r="A18" s="38"/>
      <c r="B18" s="42" t="s">
        <v>58</v>
      </c>
      <c r="D18" s="19" t="s">
        <v>59</v>
      </c>
      <c r="E18" s="24" t="s">
        <v>40</v>
      </c>
      <c r="F18" s="286">
        <f>Y11</f>
        <v>-5.2999999999999999E-2</v>
      </c>
      <c r="G18" s="286"/>
      <c r="H18" s="43" t="s">
        <v>53</v>
      </c>
      <c r="I18" s="44"/>
      <c r="J18" s="27"/>
      <c r="K18" s="26"/>
      <c r="T18" s="32"/>
      <c r="U18" s="17"/>
      <c r="V18" s="17"/>
      <c r="W18" s="17"/>
      <c r="X18" s="17"/>
      <c r="Y18" s="17"/>
      <c r="Z18" s="17"/>
      <c r="AA18" s="17"/>
      <c r="AB18" s="33"/>
      <c r="AC18" s="17"/>
      <c r="AG18" s="18" t="s">
        <v>60</v>
      </c>
      <c r="AH18" s="19">
        <v>1010</v>
      </c>
      <c r="AI18" s="19">
        <v>120</v>
      </c>
      <c r="AJ18" s="19">
        <v>583</v>
      </c>
      <c r="AK18" s="21">
        <v>9.4570000000000007</v>
      </c>
      <c r="AL18" s="21">
        <v>-24.882000000000001</v>
      </c>
      <c r="AM18" s="21">
        <v>-0.63300000000000001</v>
      </c>
      <c r="AN18" s="21">
        <v>0</v>
      </c>
      <c r="AO18" s="20">
        <v>-0.50700000000000001</v>
      </c>
      <c r="AP18" s="21">
        <v>30.035</v>
      </c>
    </row>
    <row r="19" spans="1:42" s="2" customFormat="1" ht="14.25">
      <c r="A19" s="38"/>
      <c r="B19" s="42" t="s">
        <v>61</v>
      </c>
      <c r="D19" s="19" t="s">
        <v>62</v>
      </c>
      <c r="E19" s="24" t="s">
        <v>40</v>
      </c>
      <c r="F19" s="286">
        <f>Z11</f>
        <v>0</v>
      </c>
      <c r="G19" s="286"/>
      <c r="H19" s="43" t="s">
        <v>63</v>
      </c>
      <c r="I19" s="44"/>
      <c r="J19" s="27"/>
      <c r="K19" s="26"/>
      <c r="T19" s="32"/>
      <c r="U19" s="17"/>
      <c r="V19" s="17"/>
      <c r="W19" s="17"/>
      <c r="X19" s="17"/>
      <c r="Y19" s="17"/>
      <c r="Z19" s="17"/>
      <c r="AA19" s="17"/>
      <c r="AB19" s="33"/>
      <c r="AC19" s="17"/>
      <c r="AG19" s="18" t="s">
        <v>64</v>
      </c>
      <c r="AH19" s="19">
        <v>381</v>
      </c>
      <c r="AI19" s="19">
        <v>113</v>
      </c>
      <c r="AJ19" s="19">
        <v>173</v>
      </c>
      <c r="AK19" s="21">
        <v>-4.7990000000000004</v>
      </c>
      <c r="AL19" s="21">
        <v>22.178000000000001</v>
      </c>
      <c r="AM19" s="21">
        <v>0.57699999999999996</v>
      </c>
      <c r="AN19" s="21">
        <v>0</v>
      </c>
      <c r="AO19" s="20">
        <v>0.49399999999999999</v>
      </c>
      <c r="AP19" s="21">
        <v>-26.411000000000001</v>
      </c>
    </row>
    <row r="20" spans="1:42" s="2" customFormat="1" ht="14.25">
      <c r="A20" s="38"/>
      <c r="B20" s="42" t="s">
        <v>65</v>
      </c>
      <c r="D20" s="19" t="s">
        <v>66</v>
      </c>
      <c r="E20" s="24" t="s">
        <v>40</v>
      </c>
      <c r="F20" s="286">
        <f>AA11</f>
        <v>-4.2000000000000003E-2</v>
      </c>
      <c r="G20" s="286"/>
      <c r="H20" s="43" t="s">
        <v>63</v>
      </c>
      <c r="I20" s="44"/>
      <c r="J20" s="27"/>
      <c r="K20" s="26"/>
      <c r="T20" s="32"/>
      <c r="U20" s="17"/>
      <c r="V20" s="17"/>
      <c r="W20" s="17"/>
      <c r="X20" s="17"/>
      <c r="Y20" s="17"/>
      <c r="Z20" s="17"/>
      <c r="AA20" s="17"/>
      <c r="AB20" s="17"/>
      <c r="AC20" s="33"/>
      <c r="AG20" s="18" t="s">
        <v>67</v>
      </c>
      <c r="AH20" s="19">
        <v>3260</v>
      </c>
      <c r="AI20" s="19">
        <v>112</v>
      </c>
      <c r="AJ20" s="19">
        <v>173</v>
      </c>
      <c r="AK20" s="21">
        <v>-8.8670000000000009</v>
      </c>
      <c r="AL20" s="21">
        <v>-26.422000000000001</v>
      </c>
      <c r="AM20" s="21">
        <v>-0.57399999999999995</v>
      </c>
      <c r="AN20" s="21">
        <v>1E-3</v>
      </c>
      <c r="AO20" s="21">
        <v>0.49299999999999999</v>
      </c>
      <c r="AP20" s="20">
        <v>-31.914000000000001</v>
      </c>
    </row>
    <row r="21" spans="1:42" s="2" customFormat="1" ht="14.25">
      <c r="A21" s="38"/>
      <c r="B21" s="42" t="s">
        <v>68</v>
      </c>
      <c r="D21" s="19" t="s">
        <v>69</v>
      </c>
      <c r="E21" s="24" t="s">
        <v>40</v>
      </c>
      <c r="F21" s="286">
        <f>AB11</f>
        <v>-0.503</v>
      </c>
      <c r="G21" s="286"/>
      <c r="H21" s="43" t="s">
        <v>63</v>
      </c>
      <c r="I21" s="44"/>
      <c r="J21" s="27"/>
      <c r="K21" s="26"/>
      <c r="T21" s="32"/>
      <c r="U21" s="17"/>
      <c r="V21" s="17"/>
      <c r="W21" s="17"/>
      <c r="X21" s="17"/>
      <c r="Y21" s="17"/>
      <c r="Z21" s="17"/>
      <c r="AA21" s="17"/>
      <c r="AB21" s="17"/>
      <c r="AC21" s="33"/>
      <c r="AG21" s="18" t="s">
        <v>70</v>
      </c>
      <c r="AH21" s="19">
        <v>381</v>
      </c>
      <c r="AI21" s="19">
        <v>105</v>
      </c>
      <c r="AJ21" s="19">
        <v>173</v>
      </c>
      <c r="AK21" s="21">
        <v>10.243</v>
      </c>
      <c r="AL21" s="21">
        <v>-26.363</v>
      </c>
      <c r="AM21" s="21">
        <v>0.187</v>
      </c>
      <c r="AN21" s="21">
        <v>1E-3</v>
      </c>
      <c r="AO21" s="21">
        <v>1.4E-2</v>
      </c>
      <c r="AP21" s="20">
        <v>31.914000000000001</v>
      </c>
    </row>
    <row r="22" spans="1:42" s="2" customFormat="1">
      <c r="A22" s="38"/>
      <c r="B22" s="42"/>
      <c r="D22" s="19"/>
      <c r="E22" s="24"/>
      <c r="F22" s="292"/>
      <c r="G22" s="292"/>
      <c r="H22" s="43"/>
      <c r="I22" s="44"/>
      <c r="J22" s="27"/>
      <c r="K22" s="26"/>
      <c r="P22" s="18" t="s">
        <v>71</v>
      </c>
      <c r="T22" s="45"/>
      <c r="U22" s="45"/>
    </row>
    <row r="23" spans="1:42" s="2" customFormat="1">
      <c r="A23" s="22" t="s">
        <v>72</v>
      </c>
      <c r="B23" s="23" t="s">
        <v>73</v>
      </c>
      <c r="D23" s="19"/>
      <c r="E23" s="24"/>
      <c r="F23" s="46"/>
      <c r="G23" s="46"/>
      <c r="H23" s="25"/>
      <c r="I23" s="47"/>
      <c r="J23" s="27"/>
      <c r="K23" s="26"/>
      <c r="P23" s="2">
        <v>1</v>
      </c>
      <c r="Q23" s="2" t="s">
        <v>74</v>
      </c>
      <c r="T23" s="45"/>
      <c r="U23" s="45"/>
    </row>
    <row r="24" spans="1:42" s="2" customFormat="1">
      <c r="A24" s="22"/>
      <c r="B24" s="2" t="s">
        <v>75</v>
      </c>
      <c r="D24" s="19"/>
      <c r="E24" s="24" t="s">
        <v>40</v>
      </c>
      <c r="F24" s="293" t="s">
        <v>76</v>
      </c>
      <c r="G24" s="293"/>
      <c r="H24" s="293"/>
      <c r="I24" s="47"/>
      <c r="J24" s="27"/>
      <c r="K24" s="26"/>
      <c r="P24" s="2">
        <v>2</v>
      </c>
      <c r="Q24" s="2" t="s">
        <v>77</v>
      </c>
      <c r="V24" s="45"/>
      <c r="W24" s="45"/>
      <c r="X24" s="45"/>
      <c r="Y24" s="45"/>
      <c r="Z24" s="45"/>
    </row>
    <row r="25" spans="1:42" s="2" customFormat="1">
      <c r="A25" s="22"/>
      <c r="B25" s="2" t="s">
        <v>78</v>
      </c>
      <c r="D25" s="19"/>
      <c r="E25" s="24" t="s">
        <v>40</v>
      </c>
      <c r="F25" s="39" t="str">
        <f>CONCATENATE("LIPC-",F26," x ",F27," x ",F28," x ",F29)</f>
        <v>LIPC-70 x 50 x 15 x 1.2</v>
      </c>
      <c r="G25" s="48"/>
      <c r="H25" s="48"/>
      <c r="I25" s="47"/>
      <c r="J25" s="27"/>
      <c r="K25" s="26"/>
      <c r="P25" s="2">
        <v>3</v>
      </c>
      <c r="Q25" s="2" t="s">
        <v>76</v>
      </c>
      <c r="T25" s="49"/>
      <c r="U25" s="16"/>
      <c r="V25" s="16"/>
      <c r="W25" s="16"/>
      <c r="X25" s="16"/>
      <c r="Y25" s="16"/>
      <c r="Z25" s="16"/>
      <c r="AA25" s="16"/>
      <c r="AB25" s="16"/>
    </row>
    <row r="26" spans="1:42" s="2" customFormat="1">
      <c r="A26" s="38"/>
      <c r="B26" s="2" t="s">
        <v>79</v>
      </c>
      <c r="D26" s="19" t="s">
        <v>80</v>
      </c>
      <c r="E26" s="24" t="s">
        <v>40</v>
      </c>
      <c r="F26" s="291">
        <v>70</v>
      </c>
      <c r="G26" s="291"/>
      <c r="H26" s="25" t="s">
        <v>81</v>
      </c>
      <c r="I26" s="47"/>
      <c r="J26" s="27"/>
      <c r="K26" s="26"/>
      <c r="M26" s="19"/>
      <c r="P26" s="2">
        <v>4</v>
      </c>
      <c r="Q26" s="2" t="s">
        <v>82</v>
      </c>
      <c r="T26" s="49"/>
      <c r="U26" s="16"/>
      <c r="V26" s="16"/>
      <c r="W26" s="16"/>
      <c r="X26" s="16"/>
      <c r="Y26" s="16"/>
      <c r="Z26" s="16"/>
      <c r="AA26" s="16"/>
      <c r="AB26" s="16"/>
    </row>
    <row r="27" spans="1:42" s="2" customFormat="1">
      <c r="A27" s="38"/>
      <c r="B27" s="2" t="s">
        <v>83</v>
      </c>
      <c r="D27" s="19" t="s">
        <v>84</v>
      </c>
      <c r="E27" s="24" t="s">
        <v>40</v>
      </c>
      <c r="F27" s="291">
        <v>50</v>
      </c>
      <c r="G27" s="291"/>
      <c r="H27" s="25" t="s">
        <v>81</v>
      </c>
      <c r="I27" s="47"/>
      <c r="J27" s="27"/>
      <c r="K27" s="26"/>
      <c r="M27" s="19"/>
      <c r="P27" s="2">
        <v>5</v>
      </c>
      <c r="Q27" s="2" t="s">
        <v>85</v>
      </c>
      <c r="T27" s="49"/>
      <c r="U27" s="16"/>
      <c r="V27" s="16"/>
      <c r="W27" s="16"/>
      <c r="X27" s="16"/>
      <c r="Y27" s="16"/>
      <c r="Z27" s="16"/>
      <c r="AA27" s="16"/>
      <c r="AB27" s="16"/>
    </row>
    <row r="28" spans="1:42" s="2" customFormat="1">
      <c r="A28" s="38"/>
      <c r="B28" s="2" t="s">
        <v>86</v>
      </c>
      <c r="D28" s="19" t="s">
        <v>87</v>
      </c>
      <c r="E28" s="24" t="s">
        <v>40</v>
      </c>
      <c r="F28" s="291">
        <v>15</v>
      </c>
      <c r="G28" s="291"/>
      <c r="H28" s="25" t="s">
        <v>81</v>
      </c>
      <c r="I28" s="47"/>
      <c r="J28" s="27"/>
      <c r="K28" s="26"/>
      <c r="M28" s="19"/>
      <c r="P28" s="2">
        <v>6</v>
      </c>
      <c r="Q28" s="2" t="s">
        <v>88</v>
      </c>
      <c r="U28" s="18"/>
      <c r="V28" s="18"/>
      <c r="W28" s="18"/>
      <c r="X28" s="16"/>
      <c r="Y28" s="16"/>
      <c r="Z28" s="16"/>
      <c r="AA28" s="16"/>
      <c r="AB28" s="16"/>
    </row>
    <row r="29" spans="1:42" s="2" customFormat="1">
      <c r="A29" s="38"/>
      <c r="B29" s="2" t="s">
        <v>89</v>
      </c>
      <c r="D29" s="19" t="s">
        <v>90</v>
      </c>
      <c r="E29" s="24" t="s">
        <v>40</v>
      </c>
      <c r="F29" s="286">
        <v>1.2</v>
      </c>
      <c r="G29" s="286"/>
      <c r="H29" s="25" t="s">
        <v>81</v>
      </c>
      <c r="I29" s="47"/>
      <c r="J29" s="27"/>
      <c r="K29" s="26"/>
      <c r="M29" s="19"/>
      <c r="P29" s="2">
        <v>7</v>
      </c>
      <c r="Q29" s="2" t="s">
        <v>91</v>
      </c>
      <c r="X29" s="16"/>
      <c r="Y29" s="16"/>
      <c r="Z29" s="16"/>
      <c r="AA29" s="16"/>
      <c r="AB29" s="16"/>
    </row>
    <row r="30" spans="1:42" s="2" customFormat="1" ht="14.25">
      <c r="A30" s="38"/>
      <c r="B30" s="2" t="s">
        <v>92</v>
      </c>
      <c r="D30" s="19" t="s">
        <v>93</v>
      </c>
      <c r="E30" s="24" t="s">
        <v>40</v>
      </c>
      <c r="F30" s="286">
        <f>1.5*F29</f>
        <v>1.7999999999999998</v>
      </c>
      <c r="G30" s="286"/>
      <c r="H30" s="25" t="s">
        <v>81</v>
      </c>
      <c r="I30" s="47"/>
      <c r="J30" s="27"/>
      <c r="K30" s="26"/>
      <c r="M30" s="19"/>
      <c r="P30" s="2">
        <v>8</v>
      </c>
      <c r="X30" s="16"/>
      <c r="Y30" s="16"/>
      <c r="Z30" s="16"/>
      <c r="AA30" s="16"/>
      <c r="AB30" s="16"/>
    </row>
    <row r="31" spans="1:42" s="2" customFormat="1" ht="15.75">
      <c r="A31" s="38"/>
      <c r="B31" s="2" t="s">
        <v>94</v>
      </c>
      <c r="D31" s="19" t="s">
        <v>95</v>
      </c>
      <c r="E31" s="24" t="s">
        <v>40</v>
      </c>
      <c r="F31" s="286">
        <f>2.305</f>
        <v>2.3050000000000002</v>
      </c>
      <c r="G31" s="286"/>
      <c r="H31" s="25" t="s">
        <v>96</v>
      </c>
      <c r="I31" s="47"/>
      <c r="J31" s="27"/>
      <c r="K31" s="26"/>
      <c r="M31" s="19"/>
      <c r="P31" s="2">
        <v>9</v>
      </c>
      <c r="X31" s="16"/>
      <c r="Y31" s="16"/>
      <c r="Z31" s="16"/>
      <c r="AA31" s="16"/>
      <c r="AB31" s="16"/>
    </row>
    <row r="32" spans="1:42" s="2" customFormat="1" ht="16.5">
      <c r="A32" s="38"/>
      <c r="B32" s="2" t="s">
        <v>97</v>
      </c>
      <c r="D32" s="19" t="s">
        <v>98</v>
      </c>
      <c r="E32" s="24" t="s">
        <v>40</v>
      </c>
      <c r="F32" s="289">
        <f>19.2852496435209</f>
        <v>19.285249643520899</v>
      </c>
      <c r="G32" s="289"/>
      <c r="H32" s="25" t="s">
        <v>99</v>
      </c>
      <c r="I32" s="47"/>
      <c r="J32" s="27"/>
      <c r="K32" s="26"/>
      <c r="P32" s="2">
        <v>10</v>
      </c>
      <c r="W32" s="50"/>
      <c r="X32" s="45"/>
      <c r="Y32" s="45"/>
      <c r="Z32" s="45"/>
    </row>
    <row r="33" spans="1:32" s="2" customFormat="1" ht="16.5">
      <c r="A33" s="38"/>
      <c r="B33" s="2" t="s">
        <v>100</v>
      </c>
      <c r="D33" s="19" t="s">
        <v>101</v>
      </c>
      <c r="E33" s="24" t="s">
        <v>40</v>
      </c>
      <c r="F33" s="289">
        <v>8.384336399583054</v>
      </c>
      <c r="G33" s="289"/>
      <c r="H33" s="25" t="s">
        <v>99</v>
      </c>
      <c r="I33" s="47"/>
      <c r="J33" s="27"/>
      <c r="K33" s="26"/>
      <c r="W33" s="50"/>
      <c r="X33" s="45"/>
      <c r="Y33" s="45"/>
      <c r="Z33" s="45"/>
    </row>
    <row r="34" spans="1:32" s="2" customFormat="1" ht="14.25">
      <c r="A34" s="38"/>
      <c r="B34" s="2" t="s">
        <v>102</v>
      </c>
      <c r="D34" s="19" t="s">
        <v>103</v>
      </c>
      <c r="E34" s="24" t="s">
        <v>40</v>
      </c>
      <c r="F34" s="289">
        <v>2.0055178445008952</v>
      </c>
      <c r="G34" s="289"/>
      <c r="H34" s="25" t="s">
        <v>104</v>
      </c>
      <c r="I34" s="47"/>
      <c r="J34" s="27"/>
      <c r="K34" s="26"/>
      <c r="W34" s="50"/>
      <c r="X34" s="45"/>
      <c r="Y34" s="45"/>
      <c r="Z34" s="45"/>
    </row>
    <row r="35" spans="1:32" s="2" customFormat="1" ht="14.25">
      <c r="A35" s="38"/>
      <c r="B35" s="2" t="s">
        <v>105</v>
      </c>
      <c r="D35" s="19" t="s">
        <v>106</v>
      </c>
      <c r="E35" s="24" t="s">
        <v>40</v>
      </c>
      <c r="F35" s="290">
        <f>SQRT(F32/$F$31)</f>
        <v>2.8925253093623757</v>
      </c>
      <c r="G35" s="290"/>
      <c r="H35" s="25" t="s">
        <v>104</v>
      </c>
      <c r="I35" s="47"/>
      <c r="J35" s="27"/>
      <c r="K35" s="26"/>
      <c r="W35" s="50"/>
      <c r="X35" s="45"/>
      <c r="Y35" s="45"/>
      <c r="Z35" s="45"/>
    </row>
    <row r="36" spans="1:32" s="2" customFormat="1" ht="14.25">
      <c r="A36" s="38"/>
      <c r="B36" s="2" t="s">
        <v>107</v>
      </c>
      <c r="D36" s="19" t="s">
        <v>108</v>
      </c>
      <c r="E36" s="24" t="s">
        <v>40</v>
      </c>
      <c r="F36" s="290">
        <f>SQRT(F33/$F$31)</f>
        <v>1.9072116134943562</v>
      </c>
      <c r="G36" s="290"/>
      <c r="H36" s="25" t="s">
        <v>104</v>
      </c>
      <c r="I36" s="47"/>
      <c r="J36" s="27"/>
      <c r="K36" s="26"/>
      <c r="T36" s="45"/>
      <c r="U36" s="45"/>
      <c r="V36" s="45"/>
      <c r="W36" s="45"/>
      <c r="X36" s="45"/>
      <c r="Y36" s="45"/>
      <c r="Z36" s="45"/>
    </row>
    <row r="37" spans="1:32" s="2" customFormat="1" ht="16.5">
      <c r="A37" s="38"/>
      <c r="B37" s="2" t="s">
        <v>109</v>
      </c>
      <c r="D37" s="19" t="s">
        <v>110</v>
      </c>
      <c r="E37" s="24" t="s">
        <v>40</v>
      </c>
      <c r="F37" s="290">
        <f>F32/(0.1*F26/2)</f>
        <v>5.510071326720257</v>
      </c>
      <c r="G37" s="290"/>
      <c r="H37" s="25" t="s">
        <v>111</v>
      </c>
      <c r="I37" s="47"/>
      <c r="J37" s="27"/>
      <c r="K37" s="26"/>
      <c r="T37" s="45"/>
      <c r="U37" s="45"/>
      <c r="V37" s="45"/>
      <c r="W37" s="45"/>
      <c r="X37" s="45"/>
      <c r="Y37" s="45"/>
      <c r="Z37" s="45"/>
      <c r="AA37" s="51"/>
      <c r="AB37" s="51"/>
    </row>
    <row r="38" spans="1:32" s="2" customFormat="1" ht="16.5">
      <c r="A38" s="38"/>
      <c r="B38" s="2" t="s">
        <v>112</v>
      </c>
      <c r="D38" s="19" t="s">
        <v>113</v>
      </c>
      <c r="E38" s="24" t="s">
        <v>40</v>
      </c>
      <c r="F38" s="290">
        <f>F33/(0.1*(F27-F34))</f>
        <v>1.7469375692852211</v>
      </c>
      <c r="G38" s="290"/>
      <c r="H38" s="25" t="s">
        <v>111</v>
      </c>
      <c r="I38" s="47"/>
      <c r="J38" s="27"/>
      <c r="K38" s="26"/>
      <c r="T38" s="45"/>
      <c r="U38" s="45"/>
      <c r="V38" s="45"/>
      <c r="W38" s="45"/>
      <c r="X38" s="45"/>
      <c r="Y38" s="45"/>
      <c r="Z38" s="45"/>
      <c r="AA38" s="51"/>
      <c r="AB38" s="51"/>
    </row>
    <row r="39" spans="1:32" s="2" customFormat="1" ht="16.5">
      <c r="A39" s="38"/>
      <c r="B39" s="2" t="s">
        <v>114</v>
      </c>
      <c r="D39" s="19" t="s">
        <v>115</v>
      </c>
      <c r="E39" s="24" t="s">
        <v>40</v>
      </c>
      <c r="F39" s="289">
        <v>6.0312189398400022</v>
      </c>
      <c r="G39" s="289"/>
      <c r="H39" s="25" t="s">
        <v>111</v>
      </c>
      <c r="I39" s="47"/>
      <c r="J39" s="27"/>
      <c r="K39" s="26"/>
      <c r="T39" s="45"/>
      <c r="U39" s="45"/>
      <c r="V39" s="45"/>
      <c r="W39" s="45"/>
      <c r="X39" s="45"/>
      <c r="Y39" s="45"/>
      <c r="Z39" s="45"/>
      <c r="AA39" s="51"/>
      <c r="AB39" s="51"/>
      <c r="AC39" s="51"/>
    </row>
    <row r="40" spans="1:32" s="2" customFormat="1" ht="16.5">
      <c r="A40" s="38"/>
      <c r="B40" s="2" t="s">
        <v>114</v>
      </c>
      <c r="D40" s="19" t="s">
        <v>116</v>
      </c>
      <c r="E40" s="24" t="s">
        <v>40</v>
      </c>
      <c r="F40" s="289">
        <v>4.3601096392550041</v>
      </c>
      <c r="G40" s="289"/>
      <c r="H40" s="25" t="s">
        <v>111</v>
      </c>
      <c r="I40" s="47"/>
      <c r="J40" s="27"/>
      <c r="K40" s="26"/>
      <c r="T40" s="45"/>
      <c r="U40" s="45"/>
      <c r="V40" s="45"/>
      <c r="W40" s="45"/>
      <c r="X40" s="45"/>
      <c r="Y40" s="45"/>
      <c r="Z40" s="45"/>
      <c r="AA40" s="51"/>
      <c r="AB40" s="51"/>
      <c r="AC40" s="51"/>
    </row>
    <row r="41" spans="1:32" s="2" customFormat="1">
      <c r="A41" s="38"/>
      <c r="B41" s="2" t="s">
        <v>117</v>
      </c>
      <c r="D41" s="19" t="s">
        <v>118</v>
      </c>
      <c r="E41" s="24" t="s">
        <v>40</v>
      </c>
      <c r="F41" s="290">
        <f>F31*100*7850/10^6</f>
        <v>1.8094250000000003</v>
      </c>
      <c r="G41" s="290"/>
      <c r="H41" s="25" t="s">
        <v>119</v>
      </c>
      <c r="I41" s="47"/>
      <c r="J41" s="27"/>
      <c r="K41" s="26"/>
      <c r="T41" s="45"/>
      <c r="U41" s="45"/>
      <c r="V41" s="45"/>
      <c r="W41" s="45"/>
      <c r="X41" s="45"/>
      <c r="Y41" s="45"/>
      <c r="Z41" s="45"/>
      <c r="AA41" s="51"/>
      <c r="AB41" s="51"/>
      <c r="AC41" s="51"/>
    </row>
    <row r="42" spans="1:32" s="2" customFormat="1" ht="16.5">
      <c r="A42" s="38"/>
      <c r="B42" s="2" t="s">
        <v>120</v>
      </c>
      <c r="D42" s="19" t="s">
        <v>121</v>
      </c>
      <c r="E42" s="24" t="s">
        <v>40</v>
      </c>
      <c r="F42" s="289">
        <v>1.1065190400000001E-2</v>
      </c>
      <c r="G42" s="289"/>
      <c r="H42" s="25" t="s">
        <v>99</v>
      </c>
      <c r="I42" s="47"/>
      <c r="J42" s="27"/>
      <c r="K42" s="26"/>
      <c r="T42" s="45"/>
      <c r="U42" s="45"/>
      <c r="V42" s="45"/>
      <c r="W42" s="45"/>
      <c r="X42" s="45"/>
      <c r="Y42" s="45"/>
      <c r="Z42" s="45"/>
      <c r="AA42" s="51"/>
      <c r="AB42" s="51"/>
      <c r="AC42" s="51"/>
    </row>
    <row r="43" spans="1:32" s="2" customFormat="1" ht="16.5">
      <c r="A43" s="38"/>
      <c r="B43" s="2" t="s">
        <v>122</v>
      </c>
      <c r="D43" s="19" t="s">
        <v>123</v>
      </c>
      <c r="E43" s="24" t="s">
        <v>40</v>
      </c>
      <c r="F43" s="289"/>
      <c r="G43" s="289"/>
      <c r="H43" s="25" t="s">
        <v>99</v>
      </c>
      <c r="I43" s="47"/>
      <c r="J43" s="27"/>
      <c r="K43" s="26"/>
      <c r="T43" s="45"/>
      <c r="U43" s="45"/>
      <c r="V43" s="45"/>
      <c r="W43" s="45"/>
      <c r="X43" s="45"/>
      <c r="Y43" s="45"/>
      <c r="Z43" s="45"/>
      <c r="AA43" s="51"/>
      <c r="AB43" s="51"/>
      <c r="AC43" s="51"/>
    </row>
    <row r="44" spans="1:32" s="2" customFormat="1" ht="16.5">
      <c r="A44" s="38"/>
      <c r="B44" s="2" t="s">
        <v>124</v>
      </c>
      <c r="D44" s="19" t="s">
        <v>125</v>
      </c>
      <c r="E44" s="24" t="s">
        <v>40</v>
      </c>
      <c r="F44" s="291">
        <v>550</v>
      </c>
      <c r="G44" s="291"/>
      <c r="H44" s="25" t="s">
        <v>126</v>
      </c>
      <c r="I44" s="47"/>
      <c r="J44" s="27"/>
      <c r="K44" s="26"/>
      <c r="W44" s="51"/>
      <c r="X44" s="51"/>
      <c r="Y44" s="51"/>
      <c r="Z44" s="51"/>
      <c r="AA44" s="51"/>
      <c r="AB44" s="51"/>
      <c r="AC44" s="51"/>
    </row>
    <row r="45" spans="1:32" s="2" customFormat="1" ht="16.5">
      <c r="A45" s="38"/>
      <c r="B45" s="2" t="s">
        <v>127</v>
      </c>
      <c r="D45" s="19" t="s">
        <v>128</v>
      </c>
      <c r="E45" s="24" t="s">
        <v>40</v>
      </c>
      <c r="F45" s="242">
        <f>F44*1.2</f>
        <v>660</v>
      </c>
      <c r="G45" s="242"/>
      <c r="H45" s="25" t="s">
        <v>126</v>
      </c>
      <c r="I45" s="47"/>
      <c r="J45" s="27"/>
      <c r="K45" s="26"/>
      <c r="W45" s="51"/>
      <c r="X45" s="51"/>
      <c r="Y45" s="51"/>
      <c r="Z45" s="51"/>
      <c r="AA45" s="51"/>
      <c r="AB45" s="51"/>
      <c r="AC45" s="51"/>
    </row>
    <row r="46" spans="1:32" s="2" customFormat="1">
      <c r="A46" s="38"/>
      <c r="D46" s="19"/>
      <c r="E46" s="24"/>
      <c r="F46" s="52"/>
      <c r="G46" s="52"/>
      <c r="H46" s="25"/>
      <c r="I46" s="47"/>
      <c r="J46" s="27"/>
      <c r="K46" s="26"/>
      <c r="W46" s="51"/>
      <c r="X46" s="51"/>
      <c r="Y46" s="51"/>
      <c r="Z46" s="51"/>
      <c r="AA46" s="51"/>
      <c r="AB46" s="51"/>
      <c r="AC46" s="51"/>
    </row>
    <row r="47" spans="1:32" s="2" customFormat="1">
      <c r="A47" s="22" t="s">
        <v>129</v>
      </c>
      <c r="B47" s="23" t="s">
        <v>130</v>
      </c>
      <c r="D47" s="19"/>
      <c r="E47" s="24"/>
      <c r="F47" s="46"/>
      <c r="G47" s="46"/>
      <c r="H47" s="25"/>
      <c r="I47" s="47"/>
      <c r="J47" s="27"/>
      <c r="K47" s="26"/>
      <c r="Q47" s="18" t="s">
        <v>131</v>
      </c>
      <c r="T47" s="2" t="s">
        <v>132</v>
      </c>
      <c r="U47" s="2" t="s">
        <v>133</v>
      </c>
      <c r="V47" s="2" t="s">
        <v>134</v>
      </c>
      <c r="W47" s="51" t="s">
        <v>135</v>
      </c>
      <c r="X47" s="51"/>
      <c r="Y47" s="51"/>
      <c r="Z47" s="51"/>
      <c r="AA47" s="51"/>
      <c r="AB47" s="51"/>
      <c r="AC47" s="51"/>
      <c r="AF47" s="53"/>
    </row>
    <row r="48" spans="1:32" s="2" customFormat="1">
      <c r="A48" s="22"/>
      <c r="B48" s="54" t="s">
        <v>136</v>
      </c>
      <c r="C48" s="54"/>
      <c r="D48" s="55" t="s">
        <v>137</v>
      </c>
      <c r="E48" s="56" t="s">
        <v>40</v>
      </c>
      <c r="F48" s="288">
        <v>1000</v>
      </c>
      <c r="G48" s="288"/>
      <c r="H48" s="57" t="s">
        <v>81</v>
      </c>
      <c r="I48" s="58"/>
      <c r="J48" s="27"/>
      <c r="K48" s="26"/>
      <c r="N48" s="2">
        <v>1250</v>
      </c>
      <c r="O48" s="59" t="e">
        <f>#REF!/N48</f>
        <v>#REF!</v>
      </c>
      <c r="T48" s="2" t="s">
        <v>138</v>
      </c>
      <c r="U48" s="2">
        <v>415</v>
      </c>
      <c r="V48" s="2">
        <f>MAX(1.1*U48,485)</f>
        <v>485</v>
      </c>
      <c r="W48" s="60">
        <v>14.5</v>
      </c>
      <c r="X48" s="51" t="s">
        <v>139</v>
      </c>
      <c r="Y48" s="61">
        <v>8</v>
      </c>
      <c r="Z48" s="51"/>
      <c r="AA48" s="51"/>
      <c r="AB48" s="51"/>
      <c r="AC48" s="51"/>
    </row>
    <row r="49" spans="1:32" s="2" customFormat="1">
      <c r="A49" s="22"/>
      <c r="B49" s="54" t="s">
        <v>140</v>
      </c>
      <c r="C49" s="54"/>
      <c r="D49" s="55" t="s">
        <v>141</v>
      </c>
      <c r="E49" s="24" t="s">
        <v>40</v>
      </c>
      <c r="F49" s="286">
        <v>1</v>
      </c>
      <c r="G49" s="286"/>
      <c r="H49" s="57"/>
      <c r="I49" s="58"/>
      <c r="J49" s="27"/>
      <c r="K49" s="26"/>
      <c r="N49" s="2">
        <v>1450</v>
      </c>
      <c r="O49" s="59" t="e">
        <f>#REF!/N49</f>
        <v>#REF!</v>
      </c>
      <c r="T49" s="2" t="s">
        <v>142</v>
      </c>
      <c r="U49" s="2">
        <v>415</v>
      </c>
      <c r="V49" s="2">
        <f>MAX(1.12*U49,500)</f>
        <v>500</v>
      </c>
      <c r="W49" s="60">
        <v>18</v>
      </c>
      <c r="Y49" s="61">
        <v>10</v>
      </c>
    </row>
    <row r="50" spans="1:32" s="2" customFormat="1">
      <c r="A50" s="22"/>
      <c r="B50" s="54" t="s">
        <v>143</v>
      </c>
      <c r="C50" s="54"/>
      <c r="D50" s="55" t="s">
        <v>144</v>
      </c>
      <c r="E50" s="56" t="s">
        <v>40</v>
      </c>
      <c r="F50" s="242">
        <f>F49*$F$48/10</f>
        <v>100</v>
      </c>
      <c r="G50" s="242"/>
      <c r="H50" s="57" t="s">
        <v>104</v>
      </c>
      <c r="I50" s="58"/>
      <c r="J50" s="27"/>
      <c r="K50" s="26"/>
      <c r="N50" s="2">
        <v>1800</v>
      </c>
      <c r="O50" s="59" t="e">
        <f>#REF!/N50</f>
        <v>#REF!</v>
      </c>
      <c r="T50" s="2" t="s">
        <v>145</v>
      </c>
      <c r="U50" s="53">
        <v>500</v>
      </c>
      <c r="V50" s="2">
        <f>MAX(1.08*U50,545)</f>
        <v>545</v>
      </c>
      <c r="W50" s="60">
        <v>12</v>
      </c>
      <c r="X50" s="62"/>
      <c r="Y50" s="61">
        <v>12</v>
      </c>
    </row>
    <row r="51" spans="1:32" s="2" customFormat="1">
      <c r="A51" s="22"/>
      <c r="B51" s="54" t="s">
        <v>146</v>
      </c>
      <c r="C51" s="54"/>
      <c r="D51" s="55" t="s">
        <v>147</v>
      </c>
      <c r="E51" s="24" t="s">
        <v>40</v>
      </c>
      <c r="F51" s="286">
        <v>1</v>
      </c>
      <c r="G51" s="286"/>
      <c r="H51" s="57"/>
      <c r="I51" s="58"/>
      <c r="J51" s="27"/>
      <c r="K51" s="26"/>
      <c r="N51" s="2">
        <v>2160</v>
      </c>
      <c r="O51" s="59" t="e">
        <f>#REF!/N51</f>
        <v>#REF!</v>
      </c>
      <c r="T51" s="2" t="s">
        <v>148</v>
      </c>
      <c r="U51" s="63">
        <v>500</v>
      </c>
      <c r="V51" s="2">
        <f>MAX(1.1*U51,565)</f>
        <v>565</v>
      </c>
      <c r="W51" s="60">
        <v>16</v>
      </c>
      <c r="Y51" s="61">
        <v>16</v>
      </c>
    </row>
    <row r="52" spans="1:32" s="2" customFormat="1">
      <c r="A52" s="64"/>
      <c r="B52" s="54" t="s">
        <v>149</v>
      </c>
      <c r="C52" s="54"/>
      <c r="D52" s="55" t="s">
        <v>150</v>
      </c>
      <c r="E52" s="56" t="s">
        <v>40</v>
      </c>
      <c r="F52" s="242">
        <f>F51*$F$48/10</f>
        <v>100</v>
      </c>
      <c r="G52" s="242"/>
      <c r="H52" s="57" t="s">
        <v>104</v>
      </c>
      <c r="I52" s="58"/>
      <c r="J52" s="65"/>
      <c r="K52" s="66"/>
      <c r="T52" s="2" t="s">
        <v>151</v>
      </c>
      <c r="U52" s="2">
        <v>550</v>
      </c>
      <c r="V52" s="2">
        <f>MAX(1.06*U52,585)</f>
        <v>585</v>
      </c>
      <c r="W52" s="60">
        <v>10</v>
      </c>
      <c r="Y52" s="61">
        <v>20</v>
      </c>
    </row>
    <row r="53" spans="1:32" s="2" customFormat="1">
      <c r="A53" s="67"/>
      <c r="B53" s="54" t="s">
        <v>152</v>
      </c>
      <c r="C53" s="68"/>
      <c r="D53" s="55" t="s">
        <v>153</v>
      </c>
      <c r="E53" s="56" t="s">
        <v>40</v>
      </c>
      <c r="F53" s="286">
        <v>1</v>
      </c>
      <c r="G53" s="286"/>
      <c r="H53" s="69"/>
      <c r="I53" s="70"/>
      <c r="J53" s="65"/>
      <c r="K53" s="66"/>
      <c r="T53" s="2" t="s">
        <v>154</v>
      </c>
      <c r="U53" s="2">
        <v>550</v>
      </c>
      <c r="V53" s="2">
        <f>MAX(1.08*U53,600)</f>
        <v>600</v>
      </c>
      <c r="W53" s="60">
        <v>14.5</v>
      </c>
      <c r="Y53" s="61">
        <v>24</v>
      </c>
    </row>
    <row r="54" spans="1:32" s="2" customFormat="1">
      <c r="A54" s="67"/>
      <c r="B54" s="54" t="s">
        <v>155</v>
      </c>
      <c r="C54" s="68"/>
      <c r="D54" s="55" t="s">
        <v>156</v>
      </c>
      <c r="E54" s="56" t="s">
        <v>40</v>
      </c>
      <c r="F54" s="242">
        <f>F53*$F$48/10</f>
        <v>100</v>
      </c>
      <c r="G54" s="242"/>
      <c r="H54" s="57" t="s">
        <v>104</v>
      </c>
      <c r="I54" s="70"/>
      <c r="J54" s="65"/>
      <c r="K54" s="66"/>
      <c r="T54" s="2" t="s">
        <v>157</v>
      </c>
      <c r="U54" s="2">
        <v>600</v>
      </c>
      <c r="V54" s="2">
        <f>MAX(1.06*U54,660)</f>
        <v>660</v>
      </c>
      <c r="W54" s="60">
        <v>10</v>
      </c>
      <c r="Y54" s="61">
        <v>30</v>
      </c>
    </row>
    <row r="55" spans="1:32" s="2" customFormat="1">
      <c r="A55" s="67"/>
      <c r="B55" s="54"/>
      <c r="C55" s="68"/>
      <c r="D55" s="55"/>
      <c r="E55" s="56"/>
      <c r="F55" s="52"/>
      <c r="G55" s="52"/>
      <c r="H55" s="57"/>
      <c r="I55" s="70"/>
      <c r="J55" s="65"/>
      <c r="K55" s="66"/>
      <c r="W55" s="60"/>
      <c r="Y55" s="61"/>
    </row>
    <row r="56" spans="1:32" s="53" customFormat="1">
      <c r="A56" s="67"/>
      <c r="B56" s="54" t="s">
        <v>158</v>
      </c>
      <c r="C56" s="68"/>
      <c r="D56" s="55"/>
      <c r="E56" s="56" t="s">
        <v>40</v>
      </c>
      <c r="F56" s="287" t="s">
        <v>159</v>
      </c>
      <c r="G56" s="287"/>
      <c r="H56" s="287"/>
      <c r="I56" s="70"/>
      <c r="J56" s="65"/>
      <c r="K56" s="66"/>
      <c r="Q56" s="2"/>
      <c r="R56" s="2"/>
      <c r="S56" s="2"/>
      <c r="T56" s="2"/>
      <c r="U56" s="2"/>
      <c r="V56" s="2"/>
      <c r="W56" s="2"/>
      <c r="X56" s="2"/>
      <c r="Y56" s="61">
        <v>36</v>
      </c>
      <c r="Z56" s="2"/>
      <c r="AA56" s="2"/>
      <c r="AB56" s="2"/>
      <c r="AC56" s="2"/>
      <c r="AD56" s="2"/>
      <c r="AE56" s="2"/>
      <c r="AF56" s="2"/>
    </row>
    <row r="57" spans="1:32" s="53" customFormat="1">
      <c r="A57" s="67"/>
      <c r="B57" s="54" t="s">
        <v>160</v>
      </c>
      <c r="C57" s="68"/>
      <c r="D57" s="55"/>
      <c r="E57" s="56" t="s">
        <v>40</v>
      </c>
      <c r="F57" s="287" t="s">
        <v>161</v>
      </c>
      <c r="G57" s="287"/>
      <c r="H57" s="287"/>
      <c r="I57" s="70"/>
      <c r="J57" s="65"/>
      <c r="K57" s="66"/>
      <c r="Q57" s="2"/>
      <c r="R57" s="2"/>
      <c r="S57" s="2"/>
      <c r="T57" s="2"/>
      <c r="U57" s="2"/>
      <c r="V57" s="2"/>
      <c r="W57" s="2"/>
      <c r="X57" s="2"/>
      <c r="Y57" s="61"/>
      <c r="Z57" s="2"/>
      <c r="AA57" s="2"/>
      <c r="AB57" s="2"/>
      <c r="AC57" s="2"/>
      <c r="AD57" s="2"/>
      <c r="AE57" s="2"/>
      <c r="AF57" s="2"/>
    </row>
    <row r="58" spans="1:32" s="2" customFormat="1">
      <c r="A58" s="67"/>
      <c r="B58" s="54" t="s">
        <v>162</v>
      </c>
      <c r="C58" s="68"/>
      <c r="D58" s="55"/>
      <c r="E58" s="56" t="s">
        <v>40</v>
      </c>
      <c r="F58" s="287" t="s">
        <v>163</v>
      </c>
      <c r="G58" s="287"/>
      <c r="H58" s="287"/>
      <c r="I58" s="70"/>
      <c r="J58" s="65"/>
      <c r="K58" s="66"/>
      <c r="Y58" s="61">
        <v>39</v>
      </c>
      <c r="Z58" s="53"/>
      <c r="AA58" s="53"/>
      <c r="AB58" s="53"/>
      <c r="AC58" s="53"/>
      <c r="AD58" s="53"/>
      <c r="AE58" s="53"/>
    </row>
    <row r="59" spans="1:32" s="2" customFormat="1">
      <c r="A59" s="67"/>
      <c r="B59" s="54" t="s">
        <v>164</v>
      </c>
      <c r="C59" s="68"/>
      <c r="D59" s="55"/>
      <c r="E59" s="56" t="s">
        <v>40</v>
      </c>
      <c r="F59" s="287" t="s">
        <v>165</v>
      </c>
      <c r="G59" s="287"/>
      <c r="H59" s="287"/>
      <c r="I59" s="70"/>
      <c r="J59" s="65"/>
      <c r="K59" s="66"/>
      <c r="Q59" s="18" t="s">
        <v>166</v>
      </c>
      <c r="T59" s="71" t="s">
        <v>167</v>
      </c>
      <c r="U59" s="71"/>
      <c r="V59" s="72" t="s">
        <v>168</v>
      </c>
      <c r="W59" s="71" t="s">
        <v>169</v>
      </c>
      <c r="X59" s="71" t="s">
        <v>170</v>
      </c>
    </row>
    <row r="60" spans="1:32" s="2" customFormat="1">
      <c r="A60" s="73"/>
      <c r="B60" s="74" t="s">
        <v>171</v>
      </c>
      <c r="C60" s="75"/>
      <c r="D60" s="76"/>
      <c r="E60" s="77" t="s">
        <v>40</v>
      </c>
      <c r="F60" s="284" t="s">
        <v>172</v>
      </c>
      <c r="G60" s="284"/>
      <c r="H60" s="284"/>
      <c r="I60" s="78"/>
      <c r="J60" s="79"/>
      <c r="K60" s="80"/>
      <c r="T60" s="2" t="s">
        <v>173</v>
      </c>
      <c r="U60" s="19">
        <v>6</v>
      </c>
      <c r="V60" s="19">
        <v>20.100000000000001</v>
      </c>
      <c r="W60" s="19"/>
      <c r="X60" s="19"/>
    </row>
    <row r="61" spans="1:32" s="2" customFormat="1">
      <c r="A61" s="81"/>
      <c r="B61" s="82"/>
      <c r="C61" s="82"/>
      <c r="D61" s="83"/>
      <c r="E61" s="84"/>
      <c r="F61" s="285"/>
      <c r="G61" s="285"/>
      <c r="H61" s="85"/>
      <c r="I61" s="86"/>
      <c r="J61" s="87"/>
      <c r="K61" s="88"/>
      <c r="T61" s="61" t="s">
        <v>174</v>
      </c>
      <c r="U61" s="89">
        <v>8</v>
      </c>
      <c r="V61" s="89">
        <v>36.6</v>
      </c>
      <c r="W61" s="89">
        <v>29.2</v>
      </c>
      <c r="X61" s="89">
        <v>7.3</v>
      </c>
    </row>
    <row r="62" spans="1:32" s="2" customFormat="1">
      <c r="A62" s="22" t="s">
        <v>175</v>
      </c>
      <c r="B62" s="23" t="s">
        <v>176</v>
      </c>
      <c r="C62" s="54"/>
      <c r="D62" s="55"/>
      <c r="E62" s="56"/>
      <c r="F62" s="90"/>
      <c r="G62" s="90"/>
      <c r="H62" s="57"/>
      <c r="I62" s="58"/>
      <c r="J62" s="65"/>
      <c r="K62" s="66"/>
      <c r="T62" s="61" t="s">
        <v>177</v>
      </c>
      <c r="U62" s="89">
        <v>10</v>
      </c>
      <c r="V62" s="89">
        <v>58</v>
      </c>
      <c r="W62" s="89">
        <v>46.4</v>
      </c>
      <c r="X62" s="89">
        <v>11.6</v>
      </c>
    </row>
    <row r="63" spans="1:32" s="2" customFormat="1">
      <c r="A63" s="22"/>
      <c r="B63" s="53"/>
      <c r="C63" s="53"/>
      <c r="D63" s="19"/>
      <c r="E63" s="53"/>
      <c r="F63" s="53"/>
      <c r="G63" s="53"/>
      <c r="H63" s="53"/>
      <c r="I63" s="91"/>
      <c r="J63" s="65"/>
      <c r="K63" s="66"/>
      <c r="T63" s="61" t="s">
        <v>178</v>
      </c>
      <c r="U63" s="89">
        <v>12</v>
      </c>
      <c r="V63" s="89">
        <v>84.3</v>
      </c>
      <c r="W63" s="89">
        <v>70</v>
      </c>
      <c r="X63" s="89">
        <v>17.5</v>
      </c>
    </row>
    <row r="64" spans="1:32" s="2" customFormat="1">
      <c r="A64" s="67"/>
      <c r="B64" s="2" t="s">
        <v>179</v>
      </c>
      <c r="D64" s="19" t="s">
        <v>180</v>
      </c>
      <c r="E64" s="53" t="s">
        <v>40</v>
      </c>
      <c r="F64" s="240">
        <f>(F27-2*2*F29)/10</f>
        <v>4.5200000000000005</v>
      </c>
      <c r="G64" s="240"/>
      <c r="H64" s="2" t="s">
        <v>104</v>
      </c>
      <c r="I64" s="26"/>
      <c r="J64" s="65"/>
      <c r="K64" s="66"/>
      <c r="T64" s="61" t="s">
        <v>181</v>
      </c>
      <c r="U64" s="89">
        <v>16</v>
      </c>
      <c r="V64" s="89">
        <v>157</v>
      </c>
      <c r="W64" s="89">
        <v>130</v>
      </c>
      <c r="X64" s="89">
        <v>32.5</v>
      </c>
    </row>
    <row r="65" spans="1:32" s="2" customFormat="1">
      <c r="A65" s="67"/>
      <c r="B65" s="2" t="s">
        <v>182</v>
      </c>
      <c r="D65" s="19" t="s">
        <v>183</v>
      </c>
      <c r="E65" s="53" t="s">
        <v>40</v>
      </c>
      <c r="F65" s="240">
        <f>F64/(F29/10)</f>
        <v>37.666666666666671</v>
      </c>
      <c r="G65" s="240"/>
      <c r="I65" s="26"/>
      <c r="J65" s="65" t="s">
        <v>184</v>
      </c>
      <c r="K65" s="66"/>
      <c r="T65" s="61" t="s">
        <v>185</v>
      </c>
      <c r="U65" s="89">
        <v>20</v>
      </c>
      <c r="V65" s="89">
        <v>245</v>
      </c>
      <c r="W65" s="89">
        <v>203</v>
      </c>
      <c r="X65" s="89">
        <v>50.75</v>
      </c>
    </row>
    <row r="66" spans="1:32" s="2" customFormat="1">
      <c r="A66" s="67"/>
      <c r="D66" s="19"/>
      <c r="E66" s="53"/>
      <c r="F66" s="21"/>
      <c r="G66" s="21"/>
      <c r="I66" s="26"/>
      <c r="J66" s="65"/>
      <c r="K66" s="66"/>
      <c r="Q66" s="53"/>
      <c r="R66" s="53"/>
      <c r="S66" s="53"/>
      <c r="T66" s="61" t="s">
        <v>186</v>
      </c>
      <c r="U66" s="89">
        <v>24</v>
      </c>
      <c r="V66" s="89">
        <v>353</v>
      </c>
      <c r="W66" s="89">
        <v>293</v>
      </c>
      <c r="X66" s="89">
        <v>73.25</v>
      </c>
      <c r="Y66" s="53"/>
      <c r="AF66" s="53"/>
    </row>
    <row r="67" spans="1:32" s="2" customFormat="1">
      <c r="A67" s="67"/>
      <c r="B67" s="2" t="s">
        <v>187</v>
      </c>
      <c r="D67" s="19" t="s">
        <v>188</v>
      </c>
      <c r="E67" s="53" t="s">
        <v>40</v>
      </c>
      <c r="F67" s="240" t="s">
        <v>189</v>
      </c>
      <c r="G67" s="240"/>
      <c r="I67" s="26"/>
      <c r="J67" s="65" t="s">
        <v>190</v>
      </c>
      <c r="K67" s="66"/>
      <c r="T67" s="61" t="s">
        <v>191</v>
      </c>
      <c r="U67" s="89">
        <v>30</v>
      </c>
      <c r="V67" s="89">
        <v>561</v>
      </c>
      <c r="W67" s="89">
        <v>466</v>
      </c>
      <c r="X67" s="89">
        <v>116.5</v>
      </c>
    </row>
    <row r="68" spans="1:32" s="2" customFormat="1" ht="15.75">
      <c r="A68" s="67"/>
      <c r="D68" s="19"/>
      <c r="E68" s="53" t="s">
        <v>40</v>
      </c>
      <c r="F68" s="242">
        <f>0.6*F44/9.81*10^2</f>
        <v>3363.9143730886849</v>
      </c>
      <c r="G68" s="242"/>
      <c r="H68" s="2" t="s">
        <v>192</v>
      </c>
      <c r="I68" s="26"/>
      <c r="J68" s="65"/>
      <c r="K68" s="66"/>
      <c r="T68" s="61" t="s">
        <v>193</v>
      </c>
      <c r="U68" s="89">
        <v>36</v>
      </c>
      <c r="V68" s="89">
        <v>817</v>
      </c>
      <c r="W68" s="89">
        <v>678</v>
      </c>
      <c r="X68" s="89">
        <v>169.5</v>
      </c>
    </row>
    <row r="69" spans="1:32" s="2" customFormat="1">
      <c r="A69" s="67"/>
      <c r="B69" s="18" t="s">
        <v>194</v>
      </c>
      <c r="D69" s="19"/>
      <c r="E69" s="53"/>
      <c r="F69" s="242"/>
      <c r="G69" s="242"/>
      <c r="I69" s="26"/>
      <c r="J69" s="65" t="s">
        <v>195</v>
      </c>
      <c r="K69" s="66"/>
      <c r="T69" s="61" t="s">
        <v>196</v>
      </c>
      <c r="U69" s="89">
        <v>39</v>
      </c>
      <c r="V69" s="89">
        <v>976</v>
      </c>
      <c r="W69" s="89">
        <v>810</v>
      </c>
      <c r="X69" s="89">
        <v>202.5</v>
      </c>
    </row>
    <row r="70" spans="1:32" s="2" customFormat="1" ht="14.25">
      <c r="A70" s="92"/>
      <c r="B70" s="2" t="s">
        <v>197</v>
      </c>
      <c r="D70" s="19" t="s">
        <v>198</v>
      </c>
      <c r="E70" s="53" t="s">
        <v>40</v>
      </c>
      <c r="F70" s="242" t="s">
        <v>199</v>
      </c>
      <c r="G70" s="242"/>
      <c r="I70" s="26"/>
      <c r="J70" s="65" t="s">
        <v>195</v>
      </c>
      <c r="K70" s="66"/>
    </row>
    <row r="71" spans="1:32" s="2" customFormat="1">
      <c r="A71" s="64"/>
      <c r="D71" s="19"/>
      <c r="E71" s="53" t="s">
        <v>40</v>
      </c>
      <c r="F71" s="240">
        <f>1435/SQRT($F$68)</f>
        <v>24.741694198623136</v>
      </c>
      <c r="G71" s="240"/>
      <c r="I71" s="26"/>
      <c r="J71" s="65"/>
      <c r="K71" s="66"/>
      <c r="S71" s="54"/>
      <c r="T71" s="54"/>
      <c r="U71" s="54"/>
      <c r="V71" s="54"/>
    </row>
    <row r="72" spans="1:32" s="2" customFormat="1">
      <c r="A72" s="92"/>
      <c r="B72" s="54" t="s">
        <v>200</v>
      </c>
      <c r="C72" s="54"/>
      <c r="D72" s="55" t="s">
        <v>201</v>
      </c>
      <c r="E72" s="56" t="s">
        <v>40</v>
      </c>
      <c r="F72" s="242"/>
      <c r="G72" s="242"/>
      <c r="H72" s="93"/>
      <c r="I72" s="94"/>
      <c r="J72" s="65" t="s">
        <v>195</v>
      </c>
      <c r="K72" s="66"/>
      <c r="Q72" s="2" t="s">
        <v>202</v>
      </c>
      <c r="S72" s="54"/>
      <c r="T72" s="54"/>
      <c r="U72" s="54" t="s">
        <v>203</v>
      </c>
      <c r="V72" s="54" t="s">
        <v>204</v>
      </c>
    </row>
    <row r="73" spans="1:32" s="2" customFormat="1">
      <c r="A73" s="92"/>
      <c r="B73" s="54"/>
      <c r="C73" s="54"/>
      <c r="D73" s="55"/>
      <c r="E73" s="56"/>
      <c r="F73" s="242"/>
      <c r="G73" s="242"/>
      <c r="H73" s="57"/>
      <c r="I73" s="95"/>
      <c r="J73" s="65"/>
      <c r="K73" s="66"/>
      <c r="S73" s="54"/>
      <c r="T73" s="54"/>
      <c r="U73" s="54"/>
      <c r="V73" s="54"/>
    </row>
    <row r="74" spans="1:32" s="2" customFormat="1">
      <c r="A74" s="92"/>
      <c r="B74" s="54"/>
      <c r="C74" s="54"/>
      <c r="D74" s="55"/>
      <c r="E74" s="56"/>
      <c r="F74" s="242"/>
      <c r="G74" s="242"/>
      <c r="H74" s="57"/>
      <c r="I74" s="95"/>
      <c r="J74" s="65"/>
      <c r="K74" s="66"/>
      <c r="S74" s="54"/>
      <c r="T74" s="54"/>
      <c r="U74" s="54"/>
      <c r="V74" s="54" t="s">
        <v>205</v>
      </c>
      <c r="W74" s="2" t="s">
        <v>206</v>
      </c>
      <c r="X74" s="2" t="s">
        <v>207</v>
      </c>
    </row>
    <row r="75" spans="1:32" s="53" customFormat="1">
      <c r="A75" s="92"/>
      <c r="B75" s="54"/>
      <c r="C75" s="54"/>
      <c r="D75" s="55" t="s">
        <v>201</v>
      </c>
      <c r="E75" s="56" t="s">
        <v>40</v>
      </c>
      <c r="F75" s="240">
        <f>(2120/SQRT($F$68))*(1-(465/($F$65*SQRT($F$68))))</f>
        <v>28.772062226906215</v>
      </c>
      <c r="G75" s="240"/>
      <c r="H75" s="57"/>
      <c r="I75" s="95"/>
      <c r="J75" s="65"/>
      <c r="K75" s="66"/>
      <c r="Q75" s="2"/>
      <c r="R75" s="2"/>
      <c r="S75" s="2"/>
      <c r="T75" s="2" t="s">
        <v>208</v>
      </c>
      <c r="U75" s="2">
        <v>410</v>
      </c>
      <c r="V75" s="2">
        <v>250</v>
      </c>
      <c r="W75" s="2">
        <v>240</v>
      </c>
      <c r="X75" s="2">
        <v>230</v>
      </c>
      <c r="Y75" s="2">
        <v>23</v>
      </c>
      <c r="Z75" s="45"/>
      <c r="AA75" s="96">
        <f>V75/U75</f>
        <v>0.6097560975609756</v>
      </c>
      <c r="AB75" s="2"/>
      <c r="AC75" s="2"/>
      <c r="AD75" s="2"/>
      <c r="AE75" s="2"/>
      <c r="AF75" s="2"/>
    </row>
    <row r="76" spans="1:32" s="2" customFormat="1">
      <c r="A76" s="92"/>
      <c r="B76" s="54"/>
      <c r="C76" s="54"/>
      <c r="D76" s="55" t="s">
        <v>209</v>
      </c>
      <c r="E76" s="56" t="s">
        <v>40</v>
      </c>
      <c r="F76" s="240">
        <f>F75*(F29/10)</f>
        <v>3.4526474672287457</v>
      </c>
      <c r="G76" s="240"/>
      <c r="H76" s="57" t="s">
        <v>104</v>
      </c>
      <c r="I76" s="95"/>
      <c r="J76" s="65"/>
      <c r="K76" s="66"/>
      <c r="S76" s="54"/>
      <c r="T76" s="54" t="s">
        <v>210</v>
      </c>
      <c r="U76" s="54">
        <v>430</v>
      </c>
      <c r="V76" s="54">
        <v>275</v>
      </c>
      <c r="W76" s="2">
        <v>265</v>
      </c>
      <c r="X76" s="2">
        <v>255</v>
      </c>
      <c r="Y76" s="2">
        <v>22</v>
      </c>
      <c r="Z76" s="45"/>
      <c r="AA76" s="96">
        <f t="shared" ref="AA76:AA86" si="0">V76/U76</f>
        <v>0.63953488372093026</v>
      </c>
      <c r="AC76" s="53"/>
      <c r="AD76" s="53"/>
      <c r="AE76" s="53"/>
    </row>
    <row r="77" spans="1:32" s="2" customFormat="1">
      <c r="A77" s="92"/>
      <c r="B77" s="54"/>
      <c r="C77" s="54"/>
      <c r="D77" s="55"/>
      <c r="E77" s="56"/>
      <c r="F77" s="242"/>
      <c r="G77" s="242"/>
      <c r="H77" s="57"/>
      <c r="I77" s="95"/>
      <c r="J77" s="65"/>
      <c r="K77" s="66"/>
      <c r="S77" s="54"/>
      <c r="T77" s="54" t="s">
        <v>211</v>
      </c>
      <c r="U77" s="54">
        <v>440</v>
      </c>
      <c r="V77" s="54">
        <v>300</v>
      </c>
      <c r="W77" s="2">
        <v>290</v>
      </c>
      <c r="X77" s="2">
        <v>280</v>
      </c>
      <c r="Y77" s="2">
        <v>22</v>
      </c>
      <c r="Z77" s="45"/>
      <c r="AA77" s="96">
        <f t="shared" si="0"/>
        <v>0.68181818181818177</v>
      </c>
    </row>
    <row r="78" spans="1:32" s="2" customFormat="1">
      <c r="A78" s="92"/>
      <c r="B78" s="54" t="s">
        <v>212</v>
      </c>
      <c r="C78" s="54"/>
      <c r="D78" s="55" t="s">
        <v>209</v>
      </c>
      <c r="E78" s="56" t="s">
        <v>40</v>
      </c>
      <c r="F78" s="240">
        <f>IF(F65&lt;=F71,F64,F76)</f>
        <v>3.4526474672287457</v>
      </c>
      <c r="G78" s="240"/>
      <c r="H78" s="57" t="s">
        <v>104</v>
      </c>
      <c r="I78" s="95"/>
      <c r="J78" s="65" t="s">
        <v>213</v>
      </c>
      <c r="K78" s="66"/>
      <c r="S78" s="54"/>
      <c r="T78" s="2" t="s">
        <v>214</v>
      </c>
      <c r="U78" s="54">
        <v>490</v>
      </c>
      <c r="V78" s="54">
        <v>350</v>
      </c>
      <c r="W78" s="2">
        <v>330</v>
      </c>
      <c r="X78" s="2">
        <v>320</v>
      </c>
      <c r="Y78" s="2">
        <v>22</v>
      </c>
      <c r="Z78" s="45"/>
      <c r="AA78" s="96">
        <f t="shared" si="0"/>
        <v>0.7142857142857143</v>
      </c>
    </row>
    <row r="79" spans="1:32" s="2" customFormat="1">
      <c r="A79" s="92"/>
      <c r="B79" s="54"/>
      <c r="C79" s="54"/>
      <c r="D79" s="55"/>
      <c r="E79" s="56"/>
      <c r="F79" s="242"/>
      <c r="G79" s="242"/>
      <c r="H79" s="57"/>
      <c r="I79" s="94"/>
      <c r="J79" s="65"/>
      <c r="K79" s="66"/>
      <c r="S79" s="54"/>
      <c r="T79" s="54" t="s">
        <v>215</v>
      </c>
      <c r="U79" s="54">
        <v>540</v>
      </c>
      <c r="V79" s="54">
        <v>410</v>
      </c>
      <c r="W79" s="2">
        <v>390</v>
      </c>
      <c r="X79" s="2">
        <v>380</v>
      </c>
      <c r="Y79" s="2">
        <v>20</v>
      </c>
      <c r="Z79" s="45"/>
      <c r="AA79" s="96">
        <f t="shared" si="0"/>
        <v>0.7592592592592593</v>
      </c>
    </row>
    <row r="80" spans="1:32" s="2" customFormat="1">
      <c r="A80" s="97"/>
      <c r="B80" s="18" t="s">
        <v>216</v>
      </c>
      <c r="C80" s="54"/>
      <c r="D80" s="55"/>
      <c r="E80" s="56"/>
      <c r="F80" s="242"/>
      <c r="G80" s="242"/>
      <c r="H80" s="98"/>
      <c r="I80" s="99"/>
      <c r="J80" s="65" t="s">
        <v>195</v>
      </c>
      <c r="K80" s="66"/>
      <c r="S80" s="54"/>
      <c r="T80" s="54" t="s">
        <v>217</v>
      </c>
      <c r="U80" s="54">
        <v>570</v>
      </c>
      <c r="V80" s="54">
        <v>450</v>
      </c>
      <c r="W80" s="2">
        <v>430</v>
      </c>
      <c r="X80" s="2">
        <v>420</v>
      </c>
      <c r="Y80" s="2">
        <v>20</v>
      </c>
      <c r="Z80" s="45"/>
      <c r="AA80" s="96">
        <f t="shared" si="0"/>
        <v>0.78947368421052633</v>
      </c>
    </row>
    <row r="81" spans="1:32" s="2" customFormat="1" ht="14.25">
      <c r="A81" s="100"/>
      <c r="B81" s="2" t="s">
        <v>197</v>
      </c>
      <c r="D81" s="19" t="s">
        <v>198</v>
      </c>
      <c r="E81" s="53" t="s">
        <v>40</v>
      </c>
      <c r="F81" s="242" t="s">
        <v>218</v>
      </c>
      <c r="G81" s="242"/>
      <c r="I81" s="26"/>
      <c r="J81" s="65" t="s">
        <v>195</v>
      </c>
      <c r="K81" s="66"/>
      <c r="T81" s="54" t="s">
        <v>219</v>
      </c>
      <c r="U81" s="2">
        <v>650</v>
      </c>
      <c r="V81" s="2">
        <v>550</v>
      </c>
      <c r="W81" s="2">
        <v>530</v>
      </c>
      <c r="X81" s="2">
        <v>520</v>
      </c>
      <c r="Y81" s="2">
        <v>12</v>
      </c>
      <c r="Z81" s="45"/>
      <c r="AA81" s="96">
        <f t="shared" si="0"/>
        <v>0.84615384615384615</v>
      </c>
    </row>
    <row r="82" spans="1:32" s="2" customFormat="1">
      <c r="A82" s="100"/>
      <c r="D82" s="19"/>
      <c r="E82" s="53" t="s">
        <v>40</v>
      </c>
      <c r="F82" s="240">
        <f>1850/SQRT($F$68)</f>
        <v>31.896957677667462</v>
      </c>
      <c r="G82" s="240"/>
      <c r="I82" s="26"/>
      <c r="J82" s="65"/>
      <c r="K82" s="66"/>
      <c r="S82" s="54"/>
      <c r="T82" s="2" t="s">
        <v>220</v>
      </c>
      <c r="U82" s="54">
        <v>730</v>
      </c>
      <c r="V82" s="54">
        <v>600</v>
      </c>
      <c r="W82" s="2">
        <v>580</v>
      </c>
      <c r="X82" s="2">
        <v>570</v>
      </c>
      <c r="Y82" s="2">
        <v>12</v>
      </c>
      <c r="Z82" s="45"/>
      <c r="AA82" s="96">
        <f t="shared" si="0"/>
        <v>0.82191780821917804</v>
      </c>
    </row>
    <row r="83" spans="1:32" s="2" customFormat="1">
      <c r="A83" s="100"/>
      <c r="B83" s="54" t="s">
        <v>200</v>
      </c>
      <c r="C83" s="54"/>
      <c r="D83" s="55" t="s">
        <v>201</v>
      </c>
      <c r="E83" s="56" t="s">
        <v>40</v>
      </c>
      <c r="F83" s="242"/>
      <c r="G83" s="242"/>
      <c r="H83" s="93"/>
      <c r="I83" s="94"/>
      <c r="J83" s="65" t="s">
        <v>195</v>
      </c>
      <c r="K83" s="66"/>
      <c r="S83" s="54"/>
      <c r="T83" s="54" t="s">
        <v>221</v>
      </c>
      <c r="U83" s="54">
        <v>780</v>
      </c>
      <c r="V83" s="54">
        <v>650</v>
      </c>
      <c r="W83" s="2">
        <v>630</v>
      </c>
      <c r="X83" s="2">
        <v>620</v>
      </c>
      <c r="Y83" s="2">
        <v>12</v>
      </c>
      <c r="AA83" s="96">
        <f t="shared" si="0"/>
        <v>0.83333333333333337</v>
      </c>
      <c r="AF83" s="53"/>
    </row>
    <row r="84" spans="1:32" s="2" customFormat="1">
      <c r="A84" s="100"/>
      <c r="B84" s="54"/>
      <c r="C84" s="54"/>
      <c r="D84" s="55"/>
      <c r="E84" s="56"/>
      <c r="F84" s="242"/>
      <c r="G84" s="242"/>
      <c r="H84" s="57"/>
      <c r="I84" s="95"/>
      <c r="J84" s="65"/>
      <c r="K84" s="66"/>
      <c r="T84" s="54" t="s">
        <v>222</v>
      </c>
      <c r="U84" s="54">
        <v>330</v>
      </c>
      <c r="V84" s="54">
        <v>210</v>
      </c>
      <c r="W84" s="54">
        <v>210</v>
      </c>
      <c r="X84" s="54">
        <v>210</v>
      </c>
      <c r="Y84" s="2">
        <v>12</v>
      </c>
      <c r="Z84" s="2">
        <v>20</v>
      </c>
      <c r="AA84" s="96">
        <f t="shared" si="0"/>
        <v>0.63636363636363635</v>
      </c>
    </row>
    <row r="85" spans="1:32" s="2" customFormat="1">
      <c r="A85" s="100"/>
      <c r="B85" s="54"/>
      <c r="C85" s="54"/>
      <c r="D85" s="55"/>
      <c r="E85" s="56"/>
      <c r="F85" s="242"/>
      <c r="G85" s="242"/>
      <c r="H85" s="57"/>
      <c r="I85" s="95"/>
      <c r="J85" s="65"/>
      <c r="K85" s="66"/>
      <c r="T85" s="54" t="s">
        <v>223</v>
      </c>
      <c r="U85" s="54">
        <v>410</v>
      </c>
      <c r="V85" s="54">
        <v>240</v>
      </c>
      <c r="W85" s="54">
        <v>240</v>
      </c>
      <c r="X85" s="54">
        <v>240</v>
      </c>
      <c r="Y85" s="2">
        <v>10</v>
      </c>
      <c r="Z85" s="2">
        <v>15</v>
      </c>
      <c r="AA85" s="96">
        <f t="shared" si="0"/>
        <v>0.58536585365853655</v>
      </c>
    </row>
    <row r="86" spans="1:32" s="2" customFormat="1">
      <c r="A86" s="100"/>
      <c r="B86" s="54"/>
      <c r="C86" s="54"/>
      <c r="D86" s="55" t="s">
        <v>201</v>
      </c>
      <c r="E86" s="56" t="s">
        <v>40</v>
      </c>
      <c r="F86" s="240">
        <f>(2710/SQRT($F$68))*(1-(600/($F$65*SQRT($F$68))))</f>
        <v>33.89202141547397</v>
      </c>
      <c r="G86" s="240"/>
      <c r="H86" s="57"/>
      <c r="I86" s="95"/>
      <c r="J86" s="65"/>
      <c r="K86" s="66"/>
      <c r="T86" s="2" t="s">
        <v>224</v>
      </c>
      <c r="U86" s="2">
        <v>450</v>
      </c>
      <c r="V86" s="2">
        <v>310</v>
      </c>
      <c r="W86" s="2">
        <v>310</v>
      </c>
      <c r="X86" s="2">
        <v>310</v>
      </c>
      <c r="Y86" s="2">
        <v>8</v>
      </c>
      <c r="Z86" s="2">
        <v>10</v>
      </c>
      <c r="AA86" s="96">
        <f t="shared" si="0"/>
        <v>0.68888888888888888</v>
      </c>
      <c r="AF86" s="53"/>
    </row>
    <row r="87" spans="1:32" s="2" customFormat="1">
      <c r="A87" s="100"/>
      <c r="B87" s="54"/>
      <c r="C87" s="54"/>
      <c r="D87" s="55" t="s">
        <v>209</v>
      </c>
      <c r="E87" s="56" t="s">
        <v>40</v>
      </c>
      <c r="F87" s="240">
        <f>F86*(F29/10)</f>
        <v>4.0670425698568762</v>
      </c>
      <c r="G87" s="240"/>
      <c r="H87" s="57" t="s">
        <v>104</v>
      </c>
      <c r="I87" s="95"/>
      <c r="J87" s="65"/>
      <c r="K87" s="66"/>
      <c r="AF87" s="53"/>
    </row>
    <row r="88" spans="1:32" s="2" customFormat="1">
      <c r="A88" s="92"/>
      <c r="B88" s="101"/>
      <c r="C88" s="68"/>
      <c r="D88" s="102"/>
      <c r="E88" s="103"/>
      <c r="F88" s="104"/>
      <c r="G88" s="68"/>
      <c r="H88" s="69"/>
      <c r="I88" s="70"/>
      <c r="J88" s="65"/>
      <c r="K88" s="66"/>
    </row>
    <row r="89" spans="1:32" s="2" customFormat="1">
      <c r="A89" s="92"/>
      <c r="B89" s="54" t="s">
        <v>212</v>
      </c>
      <c r="C89" s="54"/>
      <c r="D89" s="55" t="s">
        <v>209</v>
      </c>
      <c r="E89" s="56" t="s">
        <v>40</v>
      </c>
      <c r="F89" s="240">
        <f>IF(F65&lt;=F82,F64,F87)</f>
        <v>4.0670425698568762</v>
      </c>
      <c r="G89" s="240"/>
      <c r="H89" s="57" t="s">
        <v>104</v>
      </c>
      <c r="I89" s="95"/>
      <c r="J89" s="65" t="s">
        <v>213</v>
      </c>
      <c r="K89" s="66"/>
      <c r="P89" s="105"/>
      <c r="Q89" s="106"/>
      <c r="R89" s="107"/>
      <c r="S89" s="107"/>
      <c r="T89" s="106"/>
      <c r="U89" s="105"/>
    </row>
    <row r="90" spans="1:32" s="2" customFormat="1">
      <c r="A90" s="67"/>
      <c r="B90" s="54"/>
      <c r="C90" s="54"/>
      <c r="D90" s="55"/>
      <c r="E90" s="56"/>
      <c r="F90" s="282"/>
      <c r="G90" s="282"/>
      <c r="H90" s="57"/>
      <c r="I90" s="66"/>
      <c r="J90" s="65"/>
      <c r="K90" s="66"/>
      <c r="L90" s="66"/>
      <c r="P90" s="105"/>
      <c r="Q90" s="106"/>
      <c r="R90" s="106"/>
      <c r="S90" s="106"/>
      <c r="T90" s="106"/>
      <c r="U90" s="105"/>
    </row>
    <row r="91" spans="1:32" s="2" customFormat="1">
      <c r="A91" s="67"/>
      <c r="B91" s="108" t="s">
        <v>225</v>
      </c>
      <c r="C91" s="54"/>
      <c r="D91" s="55"/>
      <c r="E91" s="56"/>
      <c r="F91" s="283"/>
      <c r="G91" s="283"/>
      <c r="H91" s="57"/>
      <c r="I91" s="66"/>
      <c r="J91" s="65"/>
      <c r="K91" s="66"/>
      <c r="L91" s="66"/>
      <c r="P91" s="106"/>
      <c r="Q91" s="106"/>
      <c r="R91" s="106"/>
      <c r="S91" s="106"/>
      <c r="T91" s="106"/>
      <c r="U91" s="106"/>
    </row>
    <row r="92" spans="1:32" s="53" customFormat="1" ht="14.25">
      <c r="A92" s="67"/>
      <c r="B92" s="54" t="s">
        <v>226</v>
      </c>
      <c r="C92" s="54"/>
      <c r="D92" s="55" t="s">
        <v>227</v>
      </c>
      <c r="E92" s="56" t="s">
        <v>40</v>
      </c>
      <c r="F92" s="282"/>
      <c r="G92" s="282"/>
      <c r="H92" s="57"/>
      <c r="I92" s="66"/>
      <c r="J92" s="65" t="s">
        <v>228</v>
      </c>
      <c r="K92" s="66"/>
      <c r="P92" s="106"/>
      <c r="Q92" s="106"/>
      <c r="R92" s="106"/>
      <c r="S92" s="109"/>
      <c r="T92" s="106" t="s">
        <v>229</v>
      </c>
      <c r="U92" s="106">
        <v>60</v>
      </c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</row>
    <row r="93" spans="1:32" s="2" customFormat="1">
      <c r="A93" s="67"/>
      <c r="B93" s="54"/>
      <c r="C93" s="54"/>
      <c r="D93" s="55"/>
      <c r="E93" s="56"/>
      <c r="F93" s="55"/>
      <c r="G93" s="55" t="s">
        <v>230</v>
      </c>
      <c r="H93" s="57"/>
      <c r="I93" s="66"/>
      <c r="J93" s="65"/>
      <c r="K93" s="66"/>
      <c r="P93" s="106"/>
      <c r="Q93" s="106"/>
      <c r="R93" s="106"/>
      <c r="S93" s="109"/>
      <c r="T93" s="106" t="s">
        <v>231</v>
      </c>
      <c r="U93" s="106">
        <v>90</v>
      </c>
      <c r="V93" s="53"/>
      <c r="W93" s="53"/>
      <c r="X93" s="53"/>
      <c r="Y93" s="53"/>
      <c r="Z93" s="53"/>
      <c r="AA93" s="53"/>
      <c r="AB93" s="53"/>
      <c r="AC93" s="53"/>
      <c r="AD93" s="53"/>
      <c r="AE93" s="53"/>
    </row>
    <row r="94" spans="1:32" s="2" customFormat="1" ht="15.75">
      <c r="A94" s="67"/>
      <c r="B94" s="54"/>
      <c r="C94" s="54"/>
      <c r="D94" s="55"/>
      <c r="E94" s="56" t="s">
        <v>40</v>
      </c>
      <c r="F94" s="57"/>
      <c r="G94" s="57" t="s">
        <v>232</v>
      </c>
      <c r="I94" s="66"/>
      <c r="J94" s="65"/>
      <c r="K94" s="66"/>
      <c r="P94" s="106"/>
      <c r="Q94" s="106"/>
      <c r="R94" s="106"/>
      <c r="S94" s="109"/>
      <c r="T94" s="106" t="s">
        <v>233</v>
      </c>
      <c r="U94" s="106">
        <v>500</v>
      </c>
    </row>
    <row r="95" spans="1:32" s="53" customFormat="1" ht="15.75">
      <c r="A95" s="67"/>
      <c r="B95" s="54"/>
      <c r="C95" s="54"/>
      <c r="D95" s="55"/>
      <c r="E95" s="56" t="s">
        <v>40</v>
      </c>
      <c r="F95" s="243">
        <f>MAX(1.83*(F29/10)^4*(SQRT(F65^2-(281200/(F44/9.81*100)))),9.2*(F29/10)^4)</f>
        <v>1.4038406704809192E-2</v>
      </c>
      <c r="G95" s="243"/>
      <c r="H95" s="57" t="s">
        <v>99</v>
      </c>
      <c r="I95" s="66"/>
      <c r="J95" s="65"/>
      <c r="K95" s="66"/>
      <c r="P95" s="106"/>
      <c r="Q95" s="106"/>
      <c r="R95" s="106"/>
      <c r="S95" s="109"/>
      <c r="T95" s="106" t="s">
        <v>234</v>
      </c>
      <c r="U95" s="106">
        <v>60</v>
      </c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</row>
    <row r="96" spans="1:32" s="53" customFormat="1" ht="16.5">
      <c r="A96" s="67"/>
      <c r="B96" s="54" t="s">
        <v>235</v>
      </c>
      <c r="C96" s="54"/>
      <c r="D96" s="55" t="s">
        <v>236</v>
      </c>
      <c r="E96" s="56" t="s">
        <v>40</v>
      </c>
      <c r="F96" s="243">
        <f>F29*(F28-2*F29)^3/12/10^4</f>
        <v>2.0003759999999995E-2</v>
      </c>
      <c r="G96" s="243"/>
      <c r="H96" s="57" t="s">
        <v>99</v>
      </c>
      <c r="I96" s="66"/>
      <c r="J96" s="65"/>
      <c r="K96" s="66"/>
      <c r="P96" s="106"/>
      <c r="Q96" s="106"/>
      <c r="R96" s="106"/>
      <c r="S96" s="109"/>
      <c r="T96" s="106"/>
      <c r="U96" s="106"/>
      <c r="AF96" s="2"/>
    </row>
    <row r="97" spans="1:32" s="2" customFormat="1">
      <c r="A97" s="67"/>
      <c r="B97" s="54"/>
      <c r="C97" s="54"/>
      <c r="D97" s="55"/>
      <c r="E97" s="110"/>
      <c r="F97" s="241" t="str">
        <f>IF(F96&gt;=F95,"SAFE","UNSAFE")</f>
        <v>SAFE</v>
      </c>
      <c r="G97" s="241"/>
      <c r="H97" s="57"/>
      <c r="I97" s="66"/>
      <c r="J97" s="65"/>
      <c r="K97" s="66"/>
      <c r="P97" s="106"/>
      <c r="Q97" s="106"/>
      <c r="R97" s="106"/>
      <c r="S97" s="109"/>
      <c r="T97" s="106" t="s">
        <v>237</v>
      </c>
      <c r="U97" s="106">
        <v>150</v>
      </c>
      <c r="V97" s="53"/>
      <c r="W97" s="53"/>
      <c r="X97" s="53"/>
      <c r="Y97" s="53"/>
      <c r="Z97" s="53"/>
      <c r="AA97" s="53"/>
      <c r="AB97" s="53"/>
      <c r="AC97" s="53"/>
      <c r="AD97" s="53"/>
      <c r="AE97" s="53"/>
    </row>
    <row r="98" spans="1:32" s="2" customFormat="1">
      <c r="A98" s="67"/>
      <c r="B98" s="54"/>
      <c r="C98" s="54"/>
      <c r="D98" s="55"/>
      <c r="E98" s="56"/>
      <c r="F98" s="240"/>
      <c r="G98" s="240"/>
      <c r="H98" s="57"/>
      <c r="I98" s="66"/>
      <c r="J98" s="65"/>
      <c r="K98" s="66"/>
      <c r="P98" s="106"/>
      <c r="Q98" s="106"/>
      <c r="R98" s="106"/>
      <c r="S98" s="109"/>
      <c r="T98" s="106" t="s">
        <v>238</v>
      </c>
      <c r="U98" s="106">
        <v>200</v>
      </c>
    </row>
    <row r="99" spans="1:32" s="2" customFormat="1" ht="14.25">
      <c r="A99" s="67"/>
      <c r="B99" s="54" t="s">
        <v>239</v>
      </c>
      <c r="C99" s="54"/>
      <c r="D99" s="55" t="s">
        <v>240</v>
      </c>
      <c r="E99" s="110" t="s">
        <v>40</v>
      </c>
      <c r="F99" s="240"/>
      <c r="G99" s="240"/>
      <c r="H99" s="57"/>
      <c r="I99" s="66"/>
      <c r="J99" s="65" t="s">
        <v>228</v>
      </c>
      <c r="K99" s="66"/>
      <c r="P99" s="106"/>
      <c r="Q99" s="106"/>
      <c r="R99" s="106"/>
      <c r="S99" s="109"/>
      <c r="T99" s="106"/>
      <c r="U99" s="106"/>
    </row>
    <row r="100" spans="1:32" s="2" customFormat="1">
      <c r="A100" s="67"/>
      <c r="B100" s="54"/>
      <c r="C100" s="54"/>
      <c r="D100" s="55"/>
      <c r="E100" s="56"/>
      <c r="F100" s="240" t="s">
        <v>230</v>
      </c>
      <c r="G100" s="240"/>
      <c r="H100" s="57"/>
      <c r="I100" s="66"/>
      <c r="J100" s="65"/>
      <c r="K100" s="66"/>
      <c r="P100" s="106"/>
      <c r="Q100" s="106"/>
      <c r="R100" s="106"/>
      <c r="S100" s="109"/>
      <c r="T100" s="106" t="s">
        <v>241</v>
      </c>
      <c r="U100" s="106"/>
    </row>
    <row r="101" spans="1:32" s="2" customFormat="1">
      <c r="A101" s="67"/>
      <c r="B101" s="54"/>
      <c r="C101" s="54"/>
      <c r="D101" s="55"/>
      <c r="E101" s="56"/>
      <c r="F101" s="240" t="s">
        <v>242</v>
      </c>
      <c r="G101" s="240"/>
      <c r="H101" s="57"/>
      <c r="I101" s="66"/>
      <c r="J101" s="111"/>
      <c r="K101" s="66"/>
      <c r="P101" s="106"/>
      <c r="Q101" s="106"/>
      <c r="R101" s="106"/>
      <c r="S101" s="109"/>
      <c r="T101" s="106" t="s">
        <v>159</v>
      </c>
      <c r="U101" s="106"/>
    </row>
    <row r="102" spans="1:32" s="2" customFormat="1">
      <c r="A102" s="67"/>
      <c r="B102" s="54"/>
      <c r="C102" s="54"/>
      <c r="D102" s="55"/>
      <c r="E102" s="56" t="s">
        <v>40</v>
      </c>
      <c r="F102" s="240">
        <f>MAX(2.8*(F29/10)*(F65^2-(281200/(F44/9.81*100)))^(1/6),4.8*(F29/10))</f>
        <v>1.1195750016730883</v>
      </c>
      <c r="G102" s="240"/>
      <c r="H102" s="57" t="s">
        <v>104</v>
      </c>
      <c r="I102" s="66"/>
      <c r="J102" s="111"/>
      <c r="K102" s="66"/>
      <c r="P102" s="106"/>
      <c r="Q102" s="106"/>
      <c r="R102" s="106"/>
      <c r="S102" s="109"/>
      <c r="T102" s="106"/>
      <c r="U102" s="106"/>
    </row>
    <row r="103" spans="1:32" s="2" customFormat="1">
      <c r="A103" s="67"/>
      <c r="B103" s="54"/>
      <c r="C103" s="54"/>
      <c r="D103" s="55"/>
      <c r="E103" s="56"/>
      <c r="F103" s="240"/>
      <c r="G103" s="240"/>
      <c r="H103" s="57"/>
      <c r="I103" s="66"/>
      <c r="J103" s="65"/>
      <c r="K103" s="66"/>
      <c r="P103" s="106"/>
      <c r="Q103" s="106"/>
      <c r="R103" s="106"/>
      <c r="S103" s="109"/>
      <c r="T103" s="106" t="s">
        <v>161</v>
      </c>
      <c r="U103" s="106"/>
    </row>
    <row r="104" spans="1:32" s="2" customFormat="1" ht="14.25">
      <c r="A104" s="67"/>
      <c r="B104" s="54" t="s">
        <v>243</v>
      </c>
      <c r="C104" s="54"/>
      <c r="D104" s="55" t="s">
        <v>244</v>
      </c>
      <c r="E104" s="56" t="s">
        <v>40</v>
      </c>
      <c r="F104" s="240">
        <f>(F28-2*F29)/10</f>
        <v>1.26</v>
      </c>
      <c r="G104" s="240"/>
      <c r="H104" s="57" t="s">
        <v>104</v>
      </c>
      <c r="I104" s="66"/>
      <c r="J104" s="65"/>
      <c r="K104" s="66"/>
      <c r="P104" s="106"/>
      <c r="Q104" s="106"/>
      <c r="R104" s="106"/>
      <c r="S104" s="109"/>
      <c r="T104" s="106" t="s">
        <v>245</v>
      </c>
      <c r="U104" s="106"/>
    </row>
    <row r="105" spans="1:32" s="2" customFormat="1">
      <c r="A105" s="97"/>
      <c r="B105" s="54"/>
      <c r="C105" s="112"/>
      <c r="D105" s="55"/>
      <c r="E105" s="56"/>
      <c r="F105" s="241" t="str">
        <f>IF(F104&gt;=F102,"SAFE","UNSAFE")</f>
        <v>SAFE</v>
      </c>
      <c r="G105" s="241"/>
      <c r="H105" s="113"/>
      <c r="I105" s="70"/>
      <c r="J105" s="65"/>
      <c r="K105" s="66"/>
      <c r="P105" s="106"/>
      <c r="Q105" s="106"/>
      <c r="R105" s="106"/>
      <c r="S105" s="109"/>
      <c r="T105" s="106"/>
      <c r="U105" s="106"/>
    </row>
    <row r="106" spans="1:32" s="2" customFormat="1">
      <c r="A106" s="64"/>
      <c r="B106" s="114"/>
      <c r="C106" s="112"/>
      <c r="D106" s="55"/>
      <c r="E106" s="56"/>
      <c r="F106" s="240"/>
      <c r="G106" s="240"/>
      <c r="H106" s="113"/>
      <c r="I106" s="70"/>
      <c r="J106" s="65"/>
      <c r="K106" s="66"/>
      <c r="P106" s="106"/>
      <c r="Q106" s="106"/>
      <c r="R106" s="106"/>
      <c r="S106" s="109"/>
      <c r="T106" s="106"/>
      <c r="U106" s="106"/>
    </row>
    <row r="107" spans="1:32" s="2" customFormat="1">
      <c r="A107" s="65"/>
      <c r="B107" s="54" t="s">
        <v>246</v>
      </c>
      <c r="C107" s="54"/>
      <c r="D107" s="55"/>
      <c r="E107" s="110" t="s">
        <v>40</v>
      </c>
      <c r="F107" s="281" t="s">
        <v>229</v>
      </c>
      <c r="G107" s="270"/>
      <c r="H107" s="270"/>
      <c r="I107" s="271"/>
      <c r="J107" s="65" t="s">
        <v>247</v>
      </c>
      <c r="K107" s="66"/>
      <c r="P107" s="106"/>
      <c r="Q107" s="106"/>
      <c r="R107" s="106"/>
      <c r="S107" s="109"/>
      <c r="T107" s="2" t="s">
        <v>163</v>
      </c>
    </row>
    <row r="108" spans="1:32" s="2" customFormat="1">
      <c r="A108" s="65"/>
      <c r="B108" s="54"/>
      <c r="C108" s="54"/>
      <c r="D108" s="55"/>
      <c r="E108" s="56" t="s">
        <v>40</v>
      </c>
      <c r="F108" s="242">
        <f>VLOOKUP(F107,T92:U95,2,FALSE)</f>
        <v>60</v>
      </c>
      <c r="G108" s="242"/>
      <c r="H108" s="57"/>
      <c r="I108" s="115"/>
      <c r="J108" s="65" t="s">
        <v>247</v>
      </c>
      <c r="K108" s="66"/>
      <c r="P108" s="106"/>
      <c r="R108" s="106"/>
      <c r="S108" s="109"/>
      <c r="T108" s="2" t="s">
        <v>248</v>
      </c>
      <c r="AF108" s="54"/>
    </row>
    <row r="109" spans="1:32" s="2" customFormat="1">
      <c r="A109" s="65"/>
      <c r="B109" s="116"/>
      <c r="C109" s="68"/>
      <c r="D109" s="117"/>
      <c r="E109" s="118"/>
      <c r="F109" s="241" t="str">
        <f>IF(F108&gt;=F65,"SAFE","UNSAFE")</f>
        <v>SAFE</v>
      </c>
      <c r="G109" s="241"/>
      <c r="H109" s="57"/>
      <c r="I109" s="115"/>
      <c r="J109" s="65"/>
      <c r="K109" s="66"/>
      <c r="P109" s="106"/>
      <c r="R109" s="106"/>
      <c r="S109" s="109"/>
      <c r="T109" s="2" t="s">
        <v>249</v>
      </c>
      <c r="AF109" s="54"/>
    </row>
    <row r="110" spans="1:32" s="2" customFormat="1">
      <c r="A110" s="65"/>
      <c r="B110" s="68"/>
      <c r="C110" s="68"/>
      <c r="D110" s="117"/>
      <c r="E110" s="118"/>
      <c r="F110" s="240"/>
      <c r="G110" s="240"/>
      <c r="H110" s="57"/>
      <c r="I110" s="119"/>
      <c r="J110" s="65"/>
      <c r="K110" s="66"/>
      <c r="P110" s="106"/>
      <c r="Q110" s="106"/>
      <c r="R110" s="106"/>
      <c r="S110" s="109"/>
      <c r="T110" s="106"/>
      <c r="U110" s="106"/>
      <c r="AF110" s="54"/>
    </row>
    <row r="111" spans="1:32" s="2" customFormat="1">
      <c r="A111" s="65"/>
      <c r="B111" s="68" t="s">
        <v>250</v>
      </c>
      <c r="C111" s="68"/>
      <c r="D111" s="117"/>
      <c r="E111" s="118" t="s">
        <v>40</v>
      </c>
      <c r="F111" s="280" t="s">
        <v>237</v>
      </c>
      <c r="G111" s="280"/>
      <c r="H111" s="120"/>
      <c r="I111" s="115"/>
      <c r="J111" s="65" t="s">
        <v>251</v>
      </c>
      <c r="K111" s="66"/>
      <c r="P111" s="106"/>
      <c r="Q111" s="106"/>
      <c r="R111" s="106"/>
      <c r="S111" s="109"/>
      <c r="T111" s="106"/>
      <c r="U111" s="106"/>
      <c r="AF111" s="54"/>
    </row>
    <row r="112" spans="1:32" s="2" customFormat="1" ht="14.25">
      <c r="A112" s="65"/>
      <c r="B112" s="68"/>
      <c r="C112" s="68"/>
      <c r="D112" s="117" t="s">
        <v>252</v>
      </c>
      <c r="E112" s="118" t="s">
        <v>40</v>
      </c>
      <c r="F112" s="242">
        <f>VLOOKUP(F111,T97:U98,2,FALSE)</f>
        <v>150</v>
      </c>
      <c r="G112" s="242"/>
      <c r="H112" s="57"/>
      <c r="I112" s="121"/>
      <c r="J112" s="65" t="s">
        <v>251</v>
      </c>
      <c r="K112" s="66"/>
      <c r="P112" s="106"/>
      <c r="Q112" s="106"/>
      <c r="R112" s="106"/>
      <c r="S112" s="109"/>
      <c r="T112" s="106"/>
      <c r="U112" s="122" t="s">
        <v>253</v>
      </c>
      <c r="V112" s="122" t="s">
        <v>254</v>
      </c>
      <c r="AF112" s="54"/>
    </row>
    <row r="113" spans="1:32" s="2" customFormat="1">
      <c r="A113" s="65"/>
      <c r="B113" s="68"/>
      <c r="C113" s="68"/>
      <c r="D113" s="117"/>
      <c r="E113" s="118"/>
      <c r="F113" s="279"/>
      <c r="G113" s="279"/>
      <c r="H113" s="120"/>
      <c r="I113" s="121"/>
      <c r="J113" s="65"/>
      <c r="K113" s="66"/>
      <c r="P113" s="123"/>
      <c r="Q113" s="106"/>
      <c r="R113" s="106"/>
      <c r="S113" s="109"/>
      <c r="T113" s="122" t="s">
        <v>255</v>
      </c>
      <c r="U113" s="124">
        <f>F35</f>
        <v>2.8925253093623757</v>
      </c>
      <c r="V113" s="125">
        <f>F51</f>
        <v>1</v>
      </c>
      <c r="AF113" s="54"/>
    </row>
    <row r="114" spans="1:32" s="2" customFormat="1" ht="25.5">
      <c r="A114" s="65"/>
      <c r="B114" s="69" t="s">
        <v>256</v>
      </c>
      <c r="C114" s="68"/>
      <c r="D114" s="126" t="s">
        <v>257</v>
      </c>
      <c r="E114" s="127" t="s">
        <v>40</v>
      </c>
      <c r="F114" s="277">
        <f>(F26-2*F29)/10</f>
        <v>6.76</v>
      </c>
      <c r="G114" s="277"/>
      <c r="H114" s="128" t="s">
        <v>104</v>
      </c>
      <c r="I114" s="121"/>
      <c r="J114" s="65"/>
      <c r="K114" s="66"/>
      <c r="P114" s="123"/>
      <c r="Q114" s="106"/>
      <c r="R114" s="106"/>
      <c r="S114" s="109"/>
      <c r="T114" s="18" t="s">
        <v>258</v>
      </c>
      <c r="U114" s="129">
        <f>F36</f>
        <v>1.9072116134943562</v>
      </c>
      <c r="V114" s="21">
        <f>F53</f>
        <v>1</v>
      </c>
      <c r="AF114" s="54"/>
    </row>
    <row r="115" spans="1:32" s="2" customFormat="1">
      <c r="A115" s="65"/>
      <c r="B115" s="69" t="s">
        <v>259</v>
      </c>
      <c r="C115" s="68"/>
      <c r="D115" s="126" t="s">
        <v>90</v>
      </c>
      <c r="E115" s="127" t="s">
        <v>40</v>
      </c>
      <c r="F115" s="278">
        <f>F29/10</f>
        <v>0.12</v>
      </c>
      <c r="G115" s="278"/>
      <c r="H115" s="128" t="s">
        <v>104</v>
      </c>
      <c r="I115" s="121"/>
      <c r="J115" s="65"/>
      <c r="K115" s="66"/>
      <c r="P115" s="130"/>
      <c r="Q115" s="106"/>
      <c r="R115" s="106"/>
      <c r="S115" s="109"/>
      <c r="T115" s="106"/>
      <c r="U115" s="106"/>
      <c r="AF115" s="54"/>
    </row>
    <row r="116" spans="1:32" s="2" customFormat="1">
      <c r="A116" s="65"/>
      <c r="B116" s="68" t="s">
        <v>260</v>
      </c>
      <c r="C116" s="68"/>
      <c r="D116" s="117" t="s">
        <v>261</v>
      </c>
      <c r="E116" s="118" t="s">
        <v>40</v>
      </c>
      <c r="F116" s="273">
        <f>F114/F115</f>
        <v>56.333333333333336</v>
      </c>
      <c r="G116" s="273"/>
      <c r="H116" s="120"/>
      <c r="I116" s="121"/>
      <c r="J116" s="65"/>
      <c r="K116" s="66"/>
      <c r="P116" s="130"/>
      <c r="Q116" s="106"/>
      <c r="R116" s="106"/>
      <c r="S116" s="109"/>
      <c r="T116" s="106"/>
      <c r="U116" s="106" t="s">
        <v>262</v>
      </c>
      <c r="AF116" s="54"/>
    </row>
    <row r="117" spans="1:32">
      <c r="A117" s="65"/>
      <c r="B117" s="68"/>
      <c r="C117" s="68"/>
      <c r="D117" s="117"/>
      <c r="E117" s="118"/>
      <c r="F117" s="241" t="str">
        <f>IF(F116&lt;=F112,"SAFE","UNSAFE")</f>
        <v>SAFE</v>
      </c>
      <c r="G117" s="241"/>
      <c r="H117" s="120"/>
      <c r="I117" s="131"/>
      <c r="J117" s="65"/>
      <c r="K117" s="66"/>
      <c r="N117" s="108"/>
      <c r="P117" s="123"/>
      <c r="Q117" s="106"/>
      <c r="R117" s="106"/>
      <c r="S117" s="109"/>
      <c r="T117" s="106" t="s">
        <v>165</v>
      </c>
      <c r="U117" s="106">
        <v>1</v>
      </c>
      <c r="V117" s="2"/>
      <c r="W117" s="2"/>
      <c r="X117" s="2"/>
      <c r="Y117" s="2"/>
      <c r="Z117" s="2"/>
      <c r="AA117" s="2"/>
      <c r="AB117" s="2"/>
      <c r="AC117" s="2"/>
      <c r="AD117" s="2"/>
      <c r="AE117" s="2"/>
    </row>
    <row r="118" spans="1:32">
      <c r="A118" s="65"/>
      <c r="B118" s="68"/>
      <c r="C118" s="68"/>
      <c r="D118" s="117"/>
      <c r="E118" s="118"/>
      <c r="F118" s="279"/>
      <c r="G118" s="279"/>
      <c r="H118" s="120"/>
      <c r="I118" s="121"/>
      <c r="J118" s="65"/>
      <c r="K118" s="66"/>
      <c r="N118" s="108"/>
      <c r="O118" s="108"/>
      <c r="P118" s="123"/>
      <c r="Q118" s="106"/>
      <c r="R118" s="106"/>
      <c r="S118" s="109"/>
      <c r="T118" s="106" t="s">
        <v>263</v>
      </c>
      <c r="U118" s="106">
        <v>2</v>
      </c>
    </row>
    <row r="119" spans="1:32">
      <c r="A119" s="97"/>
      <c r="B119" s="108" t="s">
        <v>264</v>
      </c>
      <c r="F119" s="132"/>
      <c r="G119" s="133"/>
      <c r="H119" s="134"/>
      <c r="I119" s="135"/>
      <c r="J119" s="65"/>
      <c r="K119" s="66"/>
      <c r="N119" s="108"/>
      <c r="O119" s="108"/>
      <c r="P119" s="123"/>
      <c r="Q119" s="106"/>
      <c r="R119" s="106"/>
      <c r="S119" s="109"/>
      <c r="T119" s="136">
        <f>VLOOKUP(F59,T117:U118,2,FALSE)</f>
        <v>1</v>
      </c>
      <c r="U119" s="106"/>
      <c r="V119" s="108"/>
      <c r="W119" s="108"/>
      <c r="X119" s="108"/>
    </row>
    <row r="120" spans="1:32" ht="16.5">
      <c r="A120" s="97"/>
      <c r="B120" s="68" t="s">
        <v>265</v>
      </c>
      <c r="C120" s="68"/>
      <c r="D120" s="117" t="s">
        <v>266</v>
      </c>
      <c r="E120" s="118" t="s">
        <v>40</v>
      </c>
      <c r="F120" s="273">
        <f>F44/9.81*100</f>
        <v>5606.523955147808</v>
      </c>
      <c r="G120" s="273"/>
      <c r="H120" s="98" t="s">
        <v>192</v>
      </c>
      <c r="I120" s="137"/>
      <c r="J120" s="65" t="s">
        <v>267</v>
      </c>
      <c r="K120" s="66"/>
      <c r="N120" s="108"/>
      <c r="O120" s="108"/>
      <c r="P120" s="106"/>
      <c r="Q120" s="106"/>
      <c r="R120" s="106"/>
      <c r="S120" s="109"/>
      <c r="T120" s="106"/>
      <c r="U120" s="106" t="s">
        <v>262</v>
      </c>
      <c r="V120" s="108" t="s">
        <v>268</v>
      </c>
      <c r="W120" s="108"/>
      <c r="X120" s="108"/>
    </row>
    <row r="121" spans="1:32" ht="14.25">
      <c r="A121" s="138"/>
      <c r="B121" s="139" t="s">
        <v>187</v>
      </c>
      <c r="C121" s="139"/>
      <c r="D121" s="140" t="s">
        <v>269</v>
      </c>
      <c r="E121" s="141" t="s">
        <v>40</v>
      </c>
      <c r="F121" s="275" t="s">
        <v>270</v>
      </c>
      <c r="G121" s="275"/>
      <c r="H121" s="142"/>
      <c r="I121" s="143"/>
      <c r="J121" s="79" t="s">
        <v>190</v>
      </c>
      <c r="K121" s="80"/>
      <c r="N121" s="108"/>
      <c r="O121" s="108"/>
      <c r="P121" s="106"/>
      <c r="Q121" s="106"/>
      <c r="R121" s="106"/>
      <c r="S121" s="109"/>
      <c r="T121" s="106" t="s">
        <v>172</v>
      </c>
      <c r="U121" s="106">
        <v>1</v>
      </c>
      <c r="V121" s="108">
        <v>1.33</v>
      </c>
      <c r="W121" s="108"/>
      <c r="X121" s="108"/>
    </row>
    <row r="122" spans="1:32" ht="15.75">
      <c r="A122" s="144"/>
      <c r="B122" s="145"/>
      <c r="C122" s="146"/>
      <c r="D122" s="147"/>
      <c r="E122" s="148" t="s">
        <v>40</v>
      </c>
      <c r="F122" s="276">
        <f>0.6*F120</f>
        <v>3363.9143730886849</v>
      </c>
      <c r="G122" s="276"/>
      <c r="H122" s="149" t="s">
        <v>192</v>
      </c>
      <c r="I122" s="150"/>
      <c r="J122" s="87"/>
      <c r="K122" s="88"/>
      <c r="N122" s="108"/>
      <c r="O122" s="108"/>
      <c r="P122" s="106"/>
      <c r="Q122" s="106"/>
      <c r="R122" s="106"/>
      <c r="S122" s="109"/>
      <c r="T122" s="106" t="s">
        <v>271</v>
      </c>
      <c r="U122" s="106">
        <v>2</v>
      </c>
      <c r="V122" s="108">
        <v>1</v>
      </c>
      <c r="W122" s="108"/>
      <c r="X122" s="108"/>
    </row>
    <row r="123" spans="1:32">
      <c r="A123" s="97"/>
      <c r="B123" s="151"/>
      <c r="C123" s="101"/>
      <c r="D123" s="152"/>
      <c r="E123" s="153"/>
      <c r="F123" s="273"/>
      <c r="G123" s="273"/>
      <c r="H123" s="154"/>
      <c r="I123" s="99"/>
      <c r="J123" s="65"/>
      <c r="K123" s="66"/>
      <c r="P123" s="106"/>
      <c r="Q123" s="106"/>
      <c r="R123" s="106"/>
      <c r="S123" s="109"/>
      <c r="T123" s="136">
        <f>VLOOKUP(F60,T121:U122,2,FALSE)</f>
        <v>1</v>
      </c>
      <c r="U123" s="106"/>
      <c r="V123" s="108"/>
      <c r="W123" s="108"/>
      <c r="X123" s="108"/>
    </row>
    <row r="124" spans="1:32">
      <c r="A124" s="38"/>
      <c r="B124" s="155" t="s">
        <v>272</v>
      </c>
      <c r="C124" s="151"/>
      <c r="D124" s="152"/>
      <c r="E124" s="153"/>
      <c r="F124" s="273"/>
      <c r="G124" s="273"/>
      <c r="H124" s="98"/>
      <c r="I124" s="99"/>
      <c r="J124" s="27" t="s">
        <v>273</v>
      </c>
      <c r="K124" s="66"/>
      <c r="P124" s="106"/>
      <c r="Q124" s="106"/>
      <c r="R124" s="106"/>
      <c r="S124" s="109"/>
      <c r="T124" s="106"/>
      <c r="U124" s="106"/>
      <c r="V124" s="156"/>
      <c r="W124" s="156"/>
      <c r="X124" s="156"/>
    </row>
    <row r="125" spans="1:32" ht="14.25">
      <c r="A125" s="97"/>
      <c r="B125" s="157" t="s">
        <v>274</v>
      </c>
      <c r="C125" s="151"/>
      <c r="D125" s="158"/>
      <c r="E125" s="159"/>
      <c r="F125" s="273"/>
      <c r="G125" s="273"/>
      <c r="H125" s="160"/>
      <c r="I125" s="99"/>
      <c r="J125" s="65"/>
      <c r="K125" s="66"/>
      <c r="P125" s="106"/>
      <c r="Q125" s="106"/>
      <c r="R125" s="106"/>
      <c r="S125" s="109"/>
      <c r="T125" s="106"/>
      <c r="U125" s="106"/>
    </row>
    <row r="126" spans="1:32" ht="14.25">
      <c r="A126" s="67"/>
      <c r="B126" s="157" t="s">
        <v>275</v>
      </c>
      <c r="C126" s="151"/>
      <c r="D126" s="152" t="s">
        <v>276</v>
      </c>
      <c r="E126" s="159" t="s">
        <v>40</v>
      </c>
      <c r="F126" s="273" t="s">
        <v>270</v>
      </c>
      <c r="G126" s="273"/>
      <c r="H126" s="161"/>
      <c r="I126" s="99"/>
      <c r="J126" s="27" t="s">
        <v>273</v>
      </c>
      <c r="K126" s="66"/>
      <c r="P126" s="106"/>
      <c r="Q126" s="106"/>
      <c r="R126" s="106"/>
      <c r="S126" s="109"/>
      <c r="T126" s="106"/>
      <c r="U126" s="106"/>
    </row>
    <row r="127" spans="1:32" ht="15.75">
      <c r="A127" s="97"/>
      <c r="B127" s="157"/>
      <c r="C127" s="151"/>
      <c r="D127" s="158"/>
      <c r="E127" s="159" t="s">
        <v>40</v>
      </c>
      <c r="F127" s="273">
        <f>0.6*F120</f>
        <v>3363.9143730886849</v>
      </c>
      <c r="G127" s="273"/>
      <c r="H127" s="98" t="s">
        <v>192</v>
      </c>
      <c r="I127" s="99"/>
      <c r="J127" s="65"/>
      <c r="K127" s="66"/>
      <c r="P127" s="106"/>
      <c r="Q127" s="106"/>
      <c r="R127" s="106"/>
      <c r="S127" s="109"/>
      <c r="T127" s="106"/>
      <c r="U127" s="106"/>
    </row>
    <row r="128" spans="1:32" ht="14.25">
      <c r="A128" s="97"/>
      <c r="B128" s="157" t="s">
        <v>277</v>
      </c>
      <c r="C128" s="151"/>
      <c r="D128" s="152" t="s">
        <v>276</v>
      </c>
      <c r="E128" s="159" t="s">
        <v>40</v>
      </c>
      <c r="F128" s="273"/>
      <c r="G128" s="273"/>
      <c r="H128" s="162"/>
      <c r="I128" s="163"/>
      <c r="J128" s="27" t="s">
        <v>273</v>
      </c>
      <c r="K128" s="66"/>
      <c r="P128" s="106"/>
      <c r="Q128" s="106"/>
      <c r="R128" s="106"/>
      <c r="S128" s="106"/>
      <c r="T128" s="164"/>
      <c r="U128" s="106"/>
    </row>
    <row r="129" spans="1:48" ht="15.75">
      <c r="A129" s="97"/>
      <c r="B129" s="157"/>
      <c r="C129" s="151"/>
      <c r="D129" s="152"/>
      <c r="E129" s="153" t="s">
        <v>40</v>
      </c>
      <c r="F129" s="273">
        <f>F120*(0.767-(3.15/10^4)*F65*SQRT(F120))</f>
        <v>-680.70120831560098</v>
      </c>
      <c r="G129" s="273"/>
      <c r="H129" s="98" t="s">
        <v>192</v>
      </c>
      <c r="I129" s="99"/>
      <c r="J129" s="65"/>
      <c r="K129" s="66"/>
      <c r="AF129" s="2"/>
    </row>
    <row r="130" spans="1:48" ht="16.5">
      <c r="A130" s="97"/>
      <c r="B130" s="157" t="s">
        <v>278</v>
      </c>
      <c r="C130" s="151"/>
      <c r="D130" s="152" t="s">
        <v>276</v>
      </c>
      <c r="E130" s="159" t="s">
        <v>40</v>
      </c>
      <c r="F130" s="273" t="s">
        <v>279</v>
      </c>
      <c r="G130" s="273"/>
      <c r="H130" s="165"/>
      <c r="I130" s="66"/>
      <c r="J130" s="27" t="s">
        <v>273</v>
      </c>
      <c r="K130" s="66"/>
      <c r="AF130" s="2"/>
    </row>
    <row r="131" spans="1:48" ht="15.75">
      <c r="A131" s="97"/>
      <c r="B131" s="101"/>
      <c r="C131" s="151"/>
      <c r="D131" s="102"/>
      <c r="E131" s="166" t="s">
        <v>40</v>
      </c>
      <c r="F131" s="240">
        <f>562000/(F65^2)</f>
        <v>396.1155924504659</v>
      </c>
      <c r="G131" s="240"/>
      <c r="H131" s="98" t="s">
        <v>192</v>
      </c>
      <c r="I131" s="115"/>
      <c r="J131" s="65"/>
      <c r="K131" s="66"/>
      <c r="AF131" s="2"/>
    </row>
    <row r="132" spans="1:48">
      <c r="A132" s="97"/>
      <c r="B132" s="157" t="s">
        <v>280</v>
      </c>
      <c r="C132" s="151"/>
      <c r="D132" s="102"/>
      <c r="E132" s="166"/>
      <c r="F132" s="242"/>
      <c r="G132" s="242"/>
      <c r="H132" s="165"/>
      <c r="I132" s="167"/>
      <c r="J132" s="65"/>
      <c r="K132" s="66"/>
      <c r="AF132" s="2"/>
    </row>
    <row r="133" spans="1:48" ht="16.5">
      <c r="A133" s="97"/>
      <c r="B133" s="161" t="s">
        <v>281</v>
      </c>
      <c r="C133" s="151"/>
      <c r="D133" s="152" t="s">
        <v>276</v>
      </c>
      <c r="E133" s="166" t="s">
        <v>40</v>
      </c>
      <c r="F133" s="273" t="s">
        <v>279</v>
      </c>
      <c r="G133" s="273"/>
      <c r="H133" s="168"/>
      <c r="I133" s="121"/>
      <c r="J133" s="27" t="s">
        <v>273</v>
      </c>
      <c r="K133" s="66"/>
      <c r="AF133" s="2"/>
    </row>
    <row r="134" spans="1:48" ht="15.75">
      <c r="A134" s="97"/>
      <c r="B134" s="161"/>
      <c r="C134" s="151"/>
      <c r="D134" s="152"/>
      <c r="E134" s="166" t="s">
        <v>40</v>
      </c>
      <c r="F134" s="240">
        <f>562000/(F65^2)</f>
        <v>396.1155924504659</v>
      </c>
      <c r="G134" s="240"/>
      <c r="H134" s="98" t="s">
        <v>192</v>
      </c>
      <c r="I134" s="121"/>
      <c r="J134" s="65"/>
      <c r="K134" s="66"/>
      <c r="AF134" s="2"/>
    </row>
    <row r="135" spans="1:48" ht="14.25">
      <c r="A135" s="97"/>
      <c r="B135" s="101" t="s">
        <v>282</v>
      </c>
      <c r="C135" s="151"/>
      <c r="D135" s="152" t="s">
        <v>276</v>
      </c>
      <c r="E135" s="166" t="s">
        <v>40</v>
      </c>
      <c r="F135" s="240" t="s">
        <v>283</v>
      </c>
      <c r="G135" s="240"/>
      <c r="H135" s="169"/>
      <c r="I135" s="115"/>
      <c r="J135" s="27" t="s">
        <v>273</v>
      </c>
      <c r="K135" s="66"/>
      <c r="AF135" s="2"/>
    </row>
    <row r="136" spans="1:48" ht="15.75">
      <c r="A136" s="97"/>
      <c r="B136" s="161"/>
      <c r="C136" s="151"/>
      <c r="D136" s="102"/>
      <c r="E136" s="166" t="s">
        <v>40</v>
      </c>
      <c r="F136" s="240">
        <f>1390-(20*F65)</f>
        <v>636.66666666666652</v>
      </c>
      <c r="G136" s="240"/>
      <c r="H136" s="98" t="s">
        <v>192</v>
      </c>
      <c r="I136" s="115"/>
      <c r="J136" s="65"/>
      <c r="K136" s="66"/>
      <c r="AF136" s="2"/>
    </row>
    <row r="137" spans="1:48" ht="16.5">
      <c r="A137" s="170"/>
      <c r="B137" s="101"/>
      <c r="C137" s="151"/>
      <c r="D137" s="117" t="s">
        <v>276</v>
      </c>
      <c r="E137" s="166" t="s">
        <v>40</v>
      </c>
      <c r="F137" s="274">
        <f>IF(F24=Q23,F134,F136)</f>
        <v>636.66666666666652</v>
      </c>
      <c r="G137" s="274"/>
      <c r="H137" s="98" t="s">
        <v>192</v>
      </c>
      <c r="I137" s="115"/>
      <c r="J137" s="65" t="str">
        <f>CONCATENATE("Since ",F24," section")</f>
        <v>Since Lipped Channel section</v>
      </c>
      <c r="K137" s="66"/>
      <c r="AF137" s="2"/>
    </row>
    <row r="138" spans="1:48" s="2" customFormat="1">
      <c r="A138" s="170"/>
      <c r="B138" s="101"/>
      <c r="C138" s="151"/>
      <c r="D138" s="117"/>
      <c r="E138" s="166"/>
      <c r="F138" s="171"/>
      <c r="G138" s="171"/>
      <c r="H138" s="98"/>
      <c r="I138" s="115"/>
      <c r="J138" s="65"/>
      <c r="K138" s="66"/>
      <c r="Q138" s="54"/>
      <c r="R138" s="54"/>
      <c r="S138" s="54"/>
      <c r="T138" s="54"/>
      <c r="U138" s="54"/>
      <c r="V138" s="54"/>
      <c r="W138" s="54"/>
      <c r="X138" s="54"/>
      <c r="Y138" s="54"/>
      <c r="Z138" s="54"/>
      <c r="AA138" s="54"/>
      <c r="AB138" s="54"/>
      <c r="AC138" s="54"/>
      <c r="AD138" s="54"/>
      <c r="AE138" s="54"/>
      <c r="AV138" s="51"/>
    </row>
    <row r="139" spans="1:48" s="2" customFormat="1" ht="16.5">
      <c r="A139" s="170"/>
      <c r="B139" s="157" t="s">
        <v>284</v>
      </c>
      <c r="C139" s="151"/>
      <c r="D139" s="172" t="s">
        <v>276</v>
      </c>
      <c r="E139" s="173" t="s">
        <v>40</v>
      </c>
      <c r="F139" s="249">
        <f>IF(F65&lt;=530/SQRT(F120),F127,IF(AND(F65&gt;530/SQRT(F120),F65&lt;=1210/SQRT(F120)),F129,IF(AND(F65&gt;1210/SQRT(F120),F65&lt;=25),F131,IF(AND(F65&gt;25,F65&lt;60),F137))))</f>
        <v>636.66666666666652</v>
      </c>
      <c r="G139" s="249"/>
      <c r="H139" s="174" t="s">
        <v>192</v>
      </c>
      <c r="I139" s="115"/>
      <c r="J139" s="65"/>
      <c r="K139" s="66"/>
      <c r="AV139" s="51"/>
    </row>
    <row r="140" spans="1:48" s="2" customFormat="1">
      <c r="A140" s="175"/>
      <c r="B140" s="157"/>
      <c r="C140" s="151"/>
      <c r="D140" s="102"/>
      <c r="E140" s="103"/>
      <c r="F140" s="240"/>
      <c r="G140" s="240"/>
      <c r="H140" s="168"/>
      <c r="I140" s="66"/>
      <c r="J140" s="65"/>
      <c r="K140" s="66"/>
      <c r="AV140" s="51"/>
    </row>
    <row r="141" spans="1:48" s="2" customFormat="1">
      <c r="A141" s="175"/>
      <c r="B141" s="162" t="s">
        <v>159</v>
      </c>
      <c r="C141" s="151"/>
      <c r="D141" s="102"/>
      <c r="E141" s="103"/>
      <c r="F141" s="240"/>
      <c r="G141" s="240"/>
      <c r="H141" s="176"/>
      <c r="I141" s="66"/>
      <c r="J141" s="65"/>
      <c r="K141" s="66"/>
      <c r="AV141" s="51"/>
    </row>
    <row r="142" spans="1:48" s="2" customFormat="1">
      <c r="A142" s="175"/>
      <c r="B142" s="264" t="s">
        <v>285</v>
      </c>
      <c r="C142" s="264"/>
      <c r="D142" s="264"/>
      <c r="E142" s="264"/>
      <c r="F142" s="264"/>
      <c r="G142" s="264"/>
      <c r="H142" s="264"/>
      <c r="I142" s="265"/>
      <c r="J142" s="65" t="s">
        <v>286</v>
      </c>
      <c r="K142" s="66"/>
      <c r="AV142" s="51"/>
    </row>
    <row r="143" spans="1:48" s="2" customFormat="1" ht="38.25" customHeight="1">
      <c r="A143" s="175"/>
      <c r="B143" s="264" t="s">
        <v>287</v>
      </c>
      <c r="C143" s="270"/>
      <c r="D143" s="270"/>
      <c r="E143" s="270"/>
      <c r="F143" s="270"/>
      <c r="G143" s="270"/>
      <c r="H143" s="270"/>
      <c r="I143" s="271"/>
      <c r="J143" s="65" t="s">
        <v>288</v>
      </c>
      <c r="K143" s="66"/>
      <c r="AF143" s="53"/>
      <c r="AV143" s="51"/>
    </row>
    <row r="144" spans="1:48" s="2" customFormat="1" ht="16.5">
      <c r="A144" s="97"/>
      <c r="B144" s="101" t="s">
        <v>289</v>
      </c>
      <c r="C144" s="151"/>
      <c r="D144" s="152"/>
      <c r="E144" s="153"/>
      <c r="F144" s="43"/>
      <c r="G144" s="43"/>
      <c r="H144" s="165"/>
      <c r="I144" s="66"/>
      <c r="J144" s="65" t="s">
        <v>288</v>
      </c>
      <c r="K144" s="66"/>
      <c r="O144" s="2" t="e">
        <f>MIN((F$117/(3*$F$92)),(F$116/(3*$F$92))-0.25,(F131/F132),1)</f>
        <v>#VALUE!</v>
      </c>
      <c r="AF144" s="53"/>
      <c r="AV144" s="51"/>
    </row>
    <row r="145" spans="1:59" s="2" customFormat="1" ht="14.25">
      <c r="A145" s="97"/>
      <c r="B145" s="101"/>
      <c r="C145" s="151"/>
      <c r="D145" s="102" t="s">
        <v>290</v>
      </c>
      <c r="E145" s="166" t="s">
        <v>40</v>
      </c>
      <c r="F145" s="242"/>
      <c r="G145" s="242"/>
      <c r="H145" s="165"/>
      <c r="I145" s="115"/>
      <c r="J145" s="65"/>
      <c r="K145" s="66"/>
      <c r="AF145" s="53"/>
    </row>
    <row r="146" spans="1:59" s="2" customFormat="1">
      <c r="A146" s="97"/>
      <c r="B146" s="101"/>
      <c r="C146" s="151"/>
      <c r="D146" s="102"/>
      <c r="E146" s="166"/>
      <c r="F146" s="242"/>
      <c r="G146" s="242"/>
      <c r="H146" s="165"/>
      <c r="I146" s="167"/>
      <c r="J146" s="65"/>
      <c r="K146" s="66"/>
      <c r="T146" s="53"/>
      <c r="U146" s="53"/>
      <c r="V146" s="62"/>
      <c r="W146" s="62"/>
      <c r="X146" s="62"/>
      <c r="Y146" s="53"/>
      <c r="Z146" s="53"/>
      <c r="AA146" s="53"/>
      <c r="AF146" s="53"/>
    </row>
    <row r="147" spans="1:59" s="2" customFormat="1">
      <c r="A147" s="97"/>
      <c r="B147" s="161" t="s">
        <v>291</v>
      </c>
      <c r="C147" s="151"/>
      <c r="D147" s="102"/>
      <c r="E147" s="166"/>
      <c r="F147" s="43"/>
      <c r="G147" s="43"/>
      <c r="H147" s="168"/>
      <c r="I147" s="121"/>
      <c r="J147" s="65"/>
      <c r="K147" s="66"/>
      <c r="O147" s="2" t="s">
        <v>292</v>
      </c>
      <c r="T147" s="53"/>
      <c r="U147" s="53"/>
      <c r="V147" s="62"/>
      <c r="W147" s="62"/>
      <c r="X147" s="62"/>
      <c r="Y147" s="53"/>
      <c r="Z147" s="53"/>
      <c r="AA147" s="53"/>
      <c r="AF147" s="53"/>
      <c r="BA147" s="51"/>
      <c r="BB147" s="51"/>
      <c r="BC147" s="51"/>
      <c r="BE147" s="51"/>
      <c r="BF147" s="51"/>
      <c r="BG147" s="51"/>
    </row>
    <row r="148" spans="1:59" s="2" customFormat="1">
      <c r="A148" s="97"/>
      <c r="B148" s="101" t="s">
        <v>293</v>
      </c>
      <c r="C148" s="151"/>
      <c r="D148" s="102" t="s">
        <v>137</v>
      </c>
      <c r="E148" s="166" t="s">
        <v>40</v>
      </c>
      <c r="F148" s="242">
        <f>MAX(F50,F52,F54)/10</f>
        <v>10</v>
      </c>
      <c r="G148" s="242"/>
      <c r="H148" s="169" t="s">
        <v>104</v>
      </c>
      <c r="I148" s="115"/>
      <c r="J148" s="65"/>
      <c r="K148" s="66"/>
      <c r="O148" s="2" t="s">
        <v>294</v>
      </c>
      <c r="U148" s="53"/>
      <c r="V148" s="62"/>
      <c r="W148" s="62"/>
      <c r="X148" s="62"/>
      <c r="AF148" s="53"/>
      <c r="BA148" s="51"/>
      <c r="BB148" s="51"/>
      <c r="BC148" s="51"/>
      <c r="BE148" s="51"/>
      <c r="BF148" s="51"/>
      <c r="BG148" s="51"/>
    </row>
    <row r="149" spans="1:59" s="2" customFormat="1" ht="15.75">
      <c r="A149" s="97"/>
      <c r="B149" s="264" t="s">
        <v>295</v>
      </c>
      <c r="C149" s="264"/>
      <c r="D149" s="177" t="s">
        <v>296</v>
      </c>
      <c r="E149" s="166" t="s">
        <v>40</v>
      </c>
      <c r="F149" s="272">
        <f>F33</f>
        <v>8.384336399583054</v>
      </c>
      <c r="G149" s="272"/>
      <c r="H149" s="178" t="s">
        <v>99</v>
      </c>
      <c r="I149" s="115"/>
      <c r="J149" s="65"/>
      <c r="K149" s="66"/>
      <c r="U149" s="53"/>
      <c r="V149" s="62"/>
      <c r="W149" s="62"/>
      <c r="X149" s="62"/>
      <c r="AF149" s="53"/>
      <c r="BE149" s="51"/>
      <c r="BF149" s="51"/>
      <c r="BG149" s="51"/>
    </row>
    <row r="150" spans="1:59" s="2" customFormat="1" ht="15.75">
      <c r="A150" s="170"/>
      <c r="B150" s="264" t="s">
        <v>297</v>
      </c>
      <c r="C150" s="264"/>
      <c r="D150" s="177" t="s">
        <v>298</v>
      </c>
      <c r="E150" s="166" t="s">
        <v>40</v>
      </c>
      <c r="F150" s="272">
        <f>F37</f>
        <v>5.510071326720257</v>
      </c>
      <c r="G150" s="272"/>
      <c r="H150" s="178" t="s">
        <v>111</v>
      </c>
      <c r="I150" s="115"/>
      <c r="J150" s="65"/>
      <c r="K150" s="66"/>
      <c r="O150" s="2" t="s">
        <v>299</v>
      </c>
      <c r="U150" s="54"/>
      <c r="AF150" s="53"/>
      <c r="BE150" s="51"/>
      <c r="BF150" s="51"/>
      <c r="BG150" s="51"/>
    </row>
    <row r="151" spans="1:59" s="2" customFormat="1" ht="14.25">
      <c r="A151" s="175"/>
      <c r="B151" s="264" t="s">
        <v>300</v>
      </c>
      <c r="C151" s="264"/>
      <c r="D151" s="177" t="s">
        <v>301</v>
      </c>
      <c r="E151" s="166" t="s">
        <v>40</v>
      </c>
      <c r="F151" s="272">
        <v>1</v>
      </c>
      <c r="G151" s="272"/>
      <c r="H151" s="178"/>
      <c r="I151" s="66"/>
      <c r="J151" s="65"/>
      <c r="K151" s="66"/>
      <c r="O151" s="2" t="s">
        <v>302</v>
      </c>
      <c r="AF151" s="53"/>
    </row>
    <row r="152" spans="1:59" s="53" customFormat="1" ht="15.75">
      <c r="A152" s="175"/>
      <c r="B152" s="161" t="s">
        <v>303</v>
      </c>
      <c r="C152" s="151"/>
      <c r="D152" s="102" t="s">
        <v>304</v>
      </c>
      <c r="E152" s="103" t="s">
        <v>40</v>
      </c>
      <c r="F152" s="242">
        <v>2074000</v>
      </c>
      <c r="G152" s="242"/>
      <c r="H152" s="98" t="s">
        <v>192</v>
      </c>
      <c r="I152" s="66"/>
      <c r="J152" s="65"/>
      <c r="K152" s="66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</row>
    <row r="153" spans="1:59" s="53" customFormat="1">
      <c r="A153" s="175"/>
      <c r="B153" s="161" t="s">
        <v>79</v>
      </c>
      <c r="C153" s="151"/>
      <c r="D153" s="102" t="s">
        <v>305</v>
      </c>
      <c r="E153" s="103" t="s">
        <v>40</v>
      </c>
      <c r="F153" s="240">
        <f>F26/10</f>
        <v>7</v>
      </c>
      <c r="G153" s="240"/>
      <c r="H153" s="98" t="s">
        <v>104</v>
      </c>
      <c r="I153" s="66"/>
      <c r="J153" s="65"/>
      <c r="K153" s="66"/>
      <c r="AF153" s="110"/>
    </row>
    <row r="154" spans="1:59" s="53" customFormat="1">
      <c r="A154" s="175"/>
      <c r="B154" s="161"/>
      <c r="C154" s="151"/>
      <c r="D154" s="179"/>
      <c r="E154" s="166"/>
      <c r="F154" s="20"/>
      <c r="G154" s="20"/>
      <c r="H154" s="180"/>
      <c r="I154" s="66"/>
      <c r="J154" s="65"/>
      <c r="K154" s="66"/>
    </row>
    <row r="155" spans="1:59" s="53" customFormat="1" ht="16.5">
      <c r="A155" s="97"/>
      <c r="B155" s="155"/>
      <c r="C155" s="151"/>
      <c r="D155" s="102" t="s">
        <v>290</v>
      </c>
      <c r="E155" s="103" t="s">
        <v>40</v>
      </c>
      <c r="F155" s="242">
        <f>(2/3*F120)-((F120^2/(5.4*PI()^2*F152*F151))*((F148^2*F150)/(F153*F149)))</f>
        <v>3735.0128560432358</v>
      </c>
      <c r="G155" s="242"/>
      <c r="H155" s="98" t="s">
        <v>192</v>
      </c>
      <c r="I155" s="66"/>
      <c r="J155" s="27"/>
      <c r="K155" s="66"/>
    </row>
    <row r="156" spans="1:59" s="53" customFormat="1">
      <c r="A156" s="97"/>
      <c r="B156" s="101"/>
      <c r="C156" s="151"/>
      <c r="D156" s="102"/>
      <c r="E156" s="166"/>
      <c r="F156" s="242"/>
      <c r="G156" s="242"/>
      <c r="H156" s="169"/>
      <c r="I156" s="115"/>
      <c r="J156" s="65"/>
      <c r="K156" s="66"/>
    </row>
    <row r="157" spans="1:59" s="53" customFormat="1" ht="16.5">
      <c r="A157" s="97"/>
      <c r="B157" s="101" t="s">
        <v>306</v>
      </c>
      <c r="C157" s="151"/>
      <c r="D157" s="102" t="s">
        <v>290</v>
      </c>
      <c r="E157" s="103" t="s">
        <v>40</v>
      </c>
      <c r="F157" s="242"/>
      <c r="G157" s="242"/>
      <c r="H157" s="169"/>
      <c r="I157" s="167"/>
      <c r="J157" s="65" t="s">
        <v>288</v>
      </c>
      <c r="K157" s="66"/>
    </row>
    <row r="158" spans="1:59" s="53" customFormat="1">
      <c r="A158" s="97"/>
      <c r="B158" s="161"/>
      <c r="C158" s="151"/>
      <c r="D158" s="102"/>
      <c r="E158" s="166"/>
      <c r="F158" s="242"/>
      <c r="G158" s="242"/>
      <c r="H158" s="169"/>
      <c r="I158" s="121"/>
      <c r="J158" s="65"/>
      <c r="K158" s="66"/>
    </row>
    <row r="159" spans="1:59" s="53" customFormat="1" ht="15.75">
      <c r="A159" s="97"/>
      <c r="B159" s="101"/>
      <c r="C159" s="151"/>
      <c r="D159" s="102"/>
      <c r="E159" s="103" t="s">
        <v>40</v>
      </c>
      <c r="F159" s="242">
        <f>0.6*PI()^2*F152*F151*((F153*F149)/(F148^2*F150))</f>
        <v>1308185.2919807411</v>
      </c>
      <c r="G159" s="242"/>
      <c r="H159" s="98" t="s">
        <v>192</v>
      </c>
      <c r="I159" s="115"/>
      <c r="J159" s="65"/>
      <c r="K159" s="66"/>
    </row>
    <row r="160" spans="1:59" s="53" customFormat="1">
      <c r="A160" s="97"/>
      <c r="B160" s="161"/>
      <c r="C160" s="151"/>
      <c r="D160" s="19"/>
      <c r="E160" s="166"/>
      <c r="F160" s="242"/>
      <c r="G160" s="242"/>
      <c r="H160" s="169"/>
      <c r="I160" s="115"/>
      <c r="J160" s="65"/>
      <c r="K160" s="66"/>
      <c r="V160" s="62"/>
      <c r="W160" s="62"/>
      <c r="X160" s="62"/>
    </row>
    <row r="161" spans="1:56" s="53" customFormat="1">
      <c r="A161" s="170"/>
      <c r="B161" s="101" t="s">
        <v>307</v>
      </c>
      <c r="C161" s="151"/>
      <c r="D161" s="19"/>
      <c r="F161" s="242"/>
      <c r="G161" s="242"/>
      <c r="H161" s="169"/>
      <c r="I161" s="115"/>
      <c r="J161" s="65"/>
      <c r="K161" s="66"/>
      <c r="O161" s="2"/>
      <c r="V161" s="62"/>
      <c r="W161" s="62"/>
      <c r="X161" s="62"/>
    </row>
    <row r="162" spans="1:56" s="110" customFormat="1" ht="16.5">
      <c r="A162" s="175"/>
      <c r="B162" s="157"/>
      <c r="C162" s="151"/>
      <c r="D162" s="19" t="s">
        <v>308</v>
      </c>
      <c r="E162" s="103" t="s">
        <v>40</v>
      </c>
      <c r="F162" s="240">
        <f>(F148^2*F150)/(F153*F149)</f>
        <v>9.3883762430317912</v>
      </c>
      <c r="G162" s="240"/>
      <c r="H162" s="169"/>
      <c r="I162" s="66"/>
      <c r="J162" s="65"/>
      <c r="K162" s="66"/>
      <c r="O162" s="110">
        <v>90</v>
      </c>
      <c r="Q162" s="53"/>
      <c r="R162" s="53"/>
      <c r="S162" s="53"/>
      <c r="T162" s="16" t="s">
        <v>309</v>
      </c>
      <c r="U162" s="16" t="s">
        <v>310</v>
      </c>
      <c r="V162" s="16"/>
      <c r="W162" s="2"/>
      <c r="X162" s="62"/>
      <c r="Y162" s="53"/>
      <c r="Z162" s="53"/>
      <c r="AA162" s="53"/>
      <c r="AB162" s="53"/>
      <c r="AC162" s="53"/>
      <c r="AD162" s="53"/>
      <c r="AE162" s="53"/>
      <c r="AF162" s="2"/>
    </row>
    <row r="163" spans="1:56" s="53" customFormat="1" ht="16.5">
      <c r="A163" s="175"/>
      <c r="B163" s="161"/>
      <c r="C163" s="151"/>
      <c r="D163" s="102" t="s">
        <v>311</v>
      </c>
      <c r="E163" s="103" t="s">
        <v>40</v>
      </c>
      <c r="F163" s="240">
        <f>(0.36*PI()^2*F152*F151)/F120</f>
        <v>1314.3690259743273</v>
      </c>
      <c r="G163" s="240"/>
      <c r="H163" s="169"/>
      <c r="I163" s="66"/>
      <c r="J163" s="65"/>
      <c r="K163" s="66"/>
      <c r="O163" s="53">
        <v>100</v>
      </c>
      <c r="Q163" s="110"/>
      <c r="R163" s="110"/>
      <c r="S163" s="110"/>
      <c r="T163" s="16">
        <v>10</v>
      </c>
      <c r="U163" s="16">
        <v>227</v>
      </c>
      <c r="V163" s="16"/>
      <c r="W163" s="2"/>
      <c r="X163" s="16">
        <v>318</v>
      </c>
      <c r="Y163" s="110"/>
      <c r="Z163" s="110"/>
      <c r="AA163" s="110"/>
      <c r="AB163" s="110"/>
      <c r="AC163" s="110"/>
      <c r="AD163" s="110"/>
      <c r="AE163" s="110"/>
      <c r="AF163" s="2"/>
    </row>
    <row r="164" spans="1:56" s="53" customFormat="1" ht="16.5">
      <c r="A164" s="175"/>
      <c r="B164" s="161"/>
      <c r="C164" s="151"/>
      <c r="D164" s="102" t="s">
        <v>312</v>
      </c>
      <c r="E164" s="103" t="s">
        <v>40</v>
      </c>
      <c r="F164" s="240">
        <f>(1.8*PI()^2*F152*F151)/F120</f>
        <v>6571.8451298716373</v>
      </c>
      <c r="G164" s="240"/>
      <c r="H164" s="180"/>
      <c r="I164" s="66"/>
      <c r="J164" s="65"/>
      <c r="K164" s="66"/>
      <c r="O164" s="181">
        <v>80</v>
      </c>
      <c r="T164" s="16">
        <f t="shared" ref="T164:T193" si="1">T163+10</f>
        <v>20</v>
      </c>
      <c r="U164" s="16">
        <v>224</v>
      </c>
      <c r="V164" s="16"/>
      <c r="W164" s="2"/>
      <c r="X164" s="16">
        <v>313.5</v>
      </c>
      <c r="AF164" s="2"/>
    </row>
    <row r="165" spans="1:56" s="53" customFormat="1">
      <c r="A165" s="175"/>
      <c r="B165" s="161"/>
      <c r="C165" s="151"/>
      <c r="D165" s="179"/>
      <c r="E165" s="166"/>
      <c r="F165" s="20"/>
      <c r="G165" s="20"/>
      <c r="H165" s="180"/>
      <c r="I165" s="66"/>
      <c r="J165" s="65"/>
      <c r="K165" s="66"/>
      <c r="T165" s="16">
        <f t="shared" si="1"/>
        <v>30</v>
      </c>
      <c r="U165" s="16">
        <v>211</v>
      </c>
      <c r="V165" s="16"/>
      <c r="W165" s="2"/>
      <c r="X165" s="16">
        <v>303</v>
      </c>
      <c r="AF165" s="2"/>
    </row>
    <row r="166" spans="1:56" s="53" customFormat="1" ht="16.5">
      <c r="A166" s="170"/>
      <c r="B166" s="182"/>
      <c r="C166" s="151"/>
      <c r="D166" s="172" t="s">
        <v>313</v>
      </c>
      <c r="E166" s="173" t="s">
        <v>40</v>
      </c>
      <c r="F166" s="266">
        <f>IF(AND(F162&gt;F163,F162&lt;F164),F155,IF(F162&gt;F164,F159,MIN(F155,F159)))</f>
        <v>3735.0128560432358</v>
      </c>
      <c r="G166" s="266"/>
      <c r="H166" s="174" t="s">
        <v>192</v>
      </c>
      <c r="I166" s="115"/>
      <c r="J166" s="65"/>
      <c r="K166" s="66"/>
      <c r="P166" s="2" t="s">
        <v>314</v>
      </c>
      <c r="T166" s="16">
        <f t="shared" si="1"/>
        <v>40</v>
      </c>
      <c r="U166" s="16">
        <v>198</v>
      </c>
      <c r="V166" s="16"/>
      <c r="X166" s="16">
        <v>290.5</v>
      </c>
      <c r="AF166" s="2"/>
    </row>
    <row r="167" spans="1:56" s="53" customFormat="1">
      <c r="A167" s="170"/>
      <c r="B167" s="182"/>
      <c r="C167" s="151"/>
      <c r="D167" s="117"/>
      <c r="E167" s="166"/>
      <c r="F167" s="183"/>
      <c r="G167" s="183"/>
      <c r="H167" s="98"/>
      <c r="I167" s="115"/>
      <c r="J167" s="65"/>
      <c r="K167" s="66"/>
      <c r="O167" s="54" t="s">
        <v>315</v>
      </c>
      <c r="P167" s="110">
        <v>160</v>
      </c>
      <c r="T167" s="16">
        <f t="shared" si="1"/>
        <v>50</v>
      </c>
      <c r="U167" s="16">
        <v>183</v>
      </c>
      <c r="V167" s="16"/>
      <c r="X167" s="16">
        <v>274.5</v>
      </c>
      <c r="AF167" s="2"/>
    </row>
    <row r="168" spans="1:56" s="53" customFormat="1" ht="28.5" customHeight="1">
      <c r="A168" s="170"/>
      <c r="B168" s="264" t="s">
        <v>316</v>
      </c>
      <c r="C168" s="270"/>
      <c r="D168" s="270"/>
      <c r="E168" s="270"/>
      <c r="F168" s="270"/>
      <c r="G168" s="270"/>
      <c r="H168" s="270"/>
      <c r="I168" s="271"/>
      <c r="J168" s="65" t="s">
        <v>317</v>
      </c>
      <c r="K168" s="66"/>
      <c r="O168" s="54" t="s">
        <v>318</v>
      </c>
      <c r="P168" s="53">
        <v>138.5</v>
      </c>
      <c r="Q168" s="54" t="s">
        <v>319</v>
      </c>
      <c r="T168" s="16">
        <f t="shared" si="1"/>
        <v>60</v>
      </c>
      <c r="U168" s="16">
        <v>168</v>
      </c>
      <c r="V168" s="16"/>
      <c r="W168" s="2"/>
      <c r="X168" s="16">
        <v>253</v>
      </c>
    </row>
    <row r="169" spans="1:56" s="53" customFormat="1" ht="16.5">
      <c r="A169" s="170"/>
      <c r="B169" s="101" t="s">
        <v>320</v>
      </c>
      <c r="C169" s="151"/>
      <c r="D169" s="152"/>
      <c r="E169" s="153"/>
      <c r="F169" s="43"/>
      <c r="G169" s="43"/>
      <c r="H169" s="165"/>
      <c r="I169" s="66"/>
      <c r="J169" s="65"/>
      <c r="K169" s="66"/>
      <c r="O169" s="54" t="s">
        <v>20</v>
      </c>
      <c r="P169" s="184" t="e">
        <f>P167+((P168-P167)*(#REF!-#REF!)/(#REF!-#REF!))</f>
        <v>#REF!</v>
      </c>
      <c r="Q169" s="54" t="s">
        <v>321</v>
      </c>
      <c r="T169" s="16">
        <f t="shared" si="1"/>
        <v>70</v>
      </c>
      <c r="U169" s="16">
        <v>152</v>
      </c>
      <c r="V169" s="16"/>
      <c r="W169" s="2"/>
      <c r="X169" s="16">
        <v>226.5</v>
      </c>
    </row>
    <row r="170" spans="1:56" s="53" customFormat="1" ht="14.25">
      <c r="A170" s="170"/>
      <c r="B170" s="101"/>
      <c r="C170" s="151"/>
      <c r="D170" s="102" t="s">
        <v>290</v>
      </c>
      <c r="E170" s="166" t="s">
        <v>40</v>
      </c>
      <c r="F170" s="242"/>
      <c r="G170" s="242"/>
      <c r="H170" s="165"/>
      <c r="I170" s="115"/>
      <c r="J170" s="65" t="s">
        <v>317</v>
      </c>
      <c r="K170" s="66"/>
      <c r="Q170" s="54" t="s">
        <v>322</v>
      </c>
      <c r="T170" s="16">
        <f t="shared" si="1"/>
        <v>80</v>
      </c>
      <c r="U170" s="16">
        <v>136</v>
      </c>
      <c r="V170" s="16"/>
      <c r="W170" s="2"/>
      <c r="X170" s="16">
        <v>197</v>
      </c>
      <c r="AF170" s="2"/>
    </row>
    <row r="171" spans="1:56" s="2" customFormat="1">
      <c r="A171" s="170"/>
      <c r="B171" s="101"/>
      <c r="C171" s="151"/>
      <c r="D171" s="102"/>
      <c r="E171" s="166"/>
      <c r="F171" s="242"/>
      <c r="G171" s="242"/>
      <c r="H171" s="165"/>
      <c r="I171" s="167"/>
      <c r="J171" s="65"/>
      <c r="K171" s="66"/>
      <c r="Q171" s="53"/>
      <c r="R171" s="53"/>
      <c r="S171" s="53"/>
      <c r="T171" s="16">
        <f t="shared" si="1"/>
        <v>90</v>
      </c>
      <c r="U171" s="16">
        <v>121</v>
      </c>
      <c r="V171" s="16"/>
      <c r="X171" s="16">
        <v>169</v>
      </c>
      <c r="Y171" s="53"/>
      <c r="Z171" s="53"/>
      <c r="AA171" s="53"/>
      <c r="AB171" s="53"/>
      <c r="AC171" s="53"/>
      <c r="AD171" s="53"/>
      <c r="AE171" s="53"/>
    </row>
    <row r="172" spans="1:56" s="2" customFormat="1" ht="16.5">
      <c r="A172" s="170"/>
      <c r="B172" s="155"/>
      <c r="C172" s="151"/>
      <c r="D172" s="102" t="s">
        <v>290</v>
      </c>
      <c r="E172" s="103" t="s">
        <v>40</v>
      </c>
      <c r="F172" s="242">
        <f>(2/3*F120)-((F120^2/(2.7*PI()^2*F152*F151))*((F148^2*F150)/(F153*F149)))</f>
        <v>3732.3430753212665</v>
      </c>
      <c r="G172" s="242"/>
      <c r="H172" s="98" t="s">
        <v>192</v>
      </c>
      <c r="I172" s="66"/>
      <c r="J172" s="65"/>
      <c r="K172" s="66"/>
      <c r="T172" s="16">
        <f t="shared" si="1"/>
        <v>100</v>
      </c>
      <c r="U172" s="16">
        <v>107</v>
      </c>
      <c r="V172" s="16"/>
      <c r="X172" s="16">
        <v>144</v>
      </c>
    </row>
    <row r="173" spans="1:56" s="2" customFormat="1">
      <c r="A173" s="170"/>
      <c r="B173" s="101"/>
      <c r="C173" s="151"/>
      <c r="D173" s="102"/>
      <c r="E173" s="166"/>
      <c r="F173" s="242"/>
      <c r="G173" s="242"/>
      <c r="H173" s="169"/>
      <c r="I173" s="115"/>
      <c r="J173" s="65"/>
      <c r="K173" s="66"/>
      <c r="T173" s="16">
        <f t="shared" si="1"/>
        <v>110</v>
      </c>
      <c r="U173" s="16">
        <v>94.6</v>
      </c>
      <c r="V173" s="16"/>
      <c r="X173" s="16">
        <v>123.5</v>
      </c>
    </row>
    <row r="174" spans="1:56" s="2" customFormat="1" ht="16.5">
      <c r="A174" s="170"/>
      <c r="B174" s="101" t="s">
        <v>323</v>
      </c>
      <c r="C174" s="151"/>
      <c r="D174" s="102" t="s">
        <v>290</v>
      </c>
      <c r="E174" s="103" t="s">
        <v>40</v>
      </c>
      <c r="F174" s="242"/>
      <c r="G174" s="242"/>
      <c r="H174" s="169"/>
      <c r="I174" s="167"/>
      <c r="J174" s="65" t="s">
        <v>317</v>
      </c>
      <c r="K174" s="66"/>
      <c r="T174" s="16">
        <f t="shared" si="1"/>
        <v>120</v>
      </c>
      <c r="U174" s="16">
        <v>83.7</v>
      </c>
      <c r="V174" s="16"/>
      <c r="W174" s="53"/>
      <c r="X174" s="16">
        <v>106.5</v>
      </c>
    </row>
    <row r="175" spans="1:56" s="2" customFormat="1">
      <c r="A175" s="185"/>
      <c r="B175" s="186"/>
      <c r="C175" s="187"/>
      <c r="D175" s="188"/>
      <c r="E175" s="189"/>
      <c r="F175" s="268"/>
      <c r="G175" s="268"/>
      <c r="H175" s="190"/>
      <c r="I175" s="191"/>
      <c r="J175" s="79"/>
      <c r="K175" s="80"/>
      <c r="T175" s="16">
        <f t="shared" si="1"/>
        <v>130</v>
      </c>
      <c r="U175" s="16">
        <v>74.3</v>
      </c>
      <c r="V175" s="16"/>
      <c r="W175" s="53"/>
      <c r="X175" s="16">
        <v>92.25</v>
      </c>
    </row>
    <row r="176" spans="1:56" s="2" customFormat="1" ht="15.75">
      <c r="A176" s="192"/>
      <c r="B176" s="146"/>
      <c r="C176" s="193"/>
      <c r="D176" s="194"/>
      <c r="E176" s="195" t="s">
        <v>40</v>
      </c>
      <c r="F176" s="269">
        <f>0.3*PI()^2*F152*F151*((F153*F149)/(F148^2*F150))</f>
        <v>654092.64599037054</v>
      </c>
      <c r="G176" s="269"/>
      <c r="H176" s="149" t="s">
        <v>192</v>
      </c>
      <c r="I176" s="196"/>
      <c r="J176" s="87"/>
      <c r="K176" s="88"/>
      <c r="T176" s="16">
        <f t="shared" si="1"/>
        <v>140</v>
      </c>
      <c r="U176" s="16">
        <v>66.2</v>
      </c>
      <c r="V176" s="16"/>
      <c r="X176" s="16">
        <v>80.7</v>
      </c>
      <c r="AF176" s="53"/>
      <c r="AZ176" s="53"/>
      <c r="BA176" s="53"/>
      <c r="BB176" s="53"/>
      <c r="BC176" s="53"/>
      <c r="BD176" s="53"/>
    </row>
    <row r="177" spans="1:56" s="53" customFormat="1">
      <c r="A177" s="170"/>
      <c r="B177" s="161"/>
      <c r="C177" s="151"/>
      <c r="D177" s="19"/>
      <c r="E177" s="166"/>
      <c r="F177" s="242"/>
      <c r="G177" s="242"/>
      <c r="H177" s="169"/>
      <c r="I177" s="115"/>
      <c r="J177" s="65"/>
      <c r="K177" s="66"/>
      <c r="Q177" s="2"/>
      <c r="R177" s="2"/>
      <c r="S177" s="2"/>
      <c r="T177" s="16">
        <f t="shared" si="1"/>
        <v>150</v>
      </c>
      <c r="U177" s="16">
        <v>59.2</v>
      </c>
      <c r="V177" s="16"/>
      <c r="X177" s="16">
        <v>71.050000000000011</v>
      </c>
      <c r="Y177" s="2"/>
      <c r="Z177" s="2"/>
      <c r="AA177" s="2"/>
      <c r="AB177" s="2"/>
      <c r="AC177" s="2"/>
      <c r="AD177" s="2"/>
      <c r="AE177" s="2"/>
      <c r="AZ177" s="2"/>
      <c r="BA177" s="2"/>
      <c r="BB177" s="2"/>
      <c r="BC177" s="2"/>
      <c r="BD177" s="2"/>
    </row>
    <row r="178" spans="1:56" s="53" customFormat="1">
      <c r="A178" s="170"/>
      <c r="B178" s="101" t="s">
        <v>307</v>
      </c>
      <c r="C178" s="151"/>
      <c r="D178" s="19"/>
      <c r="F178" s="242"/>
      <c r="G178" s="242"/>
      <c r="H178" s="169"/>
      <c r="I178" s="115"/>
      <c r="J178" s="65"/>
      <c r="K178" s="66"/>
      <c r="T178" s="16">
        <f t="shared" si="1"/>
        <v>160</v>
      </c>
      <c r="U178" s="16">
        <v>53.3</v>
      </c>
      <c r="V178" s="16"/>
      <c r="X178" s="16">
        <v>63.05</v>
      </c>
      <c r="AF178" s="2"/>
      <c r="AZ178" s="2"/>
      <c r="BA178" s="2"/>
      <c r="BB178" s="2"/>
      <c r="BC178" s="2"/>
      <c r="BD178" s="2"/>
    </row>
    <row r="179" spans="1:56" s="2" customFormat="1" ht="16.5">
      <c r="A179" s="170"/>
      <c r="B179" s="157"/>
      <c r="C179" s="151"/>
      <c r="D179" s="19" t="s">
        <v>308</v>
      </c>
      <c r="E179" s="103" t="s">
        <v>40</v>
      </c>
      <c r="F179" s="240">
        <f>(F148^2*F150)/(F153*F149)</f>
        <v>9.3883762430317912</v>
      </c>
      <c r="G179" s="240"/>
      <c r="H179" s="169"/>
      <c r="I179" s="66"/>
      <c r="J179" s="65"/>
      <c r="K179" s="66"/>
      <c r="Q179" s="53"/>
      <c r="R179" s="53"/>
      <c r="S179" s="53"/>
      <c r="T179" s="16">
        <f>T178+10</f>
        <v>170</v>
      </c>
      <c r="U179" s="16">
        <v>48.1</v>
      </c>
      <c r="V179" s="16"/>
      <c r="X179" s="16">
        <v>56.3</v>
      </c>
      <c r="Y179" s="53"/>
      <c r="Z179" s="53"/>
      <c r="AA179" s="53"/>
      <c r="AB179" s="53"/>
      <c r="AC179" s="53"/>
      <c r="AD179" s="53"/>
      <c r="AE179" s="53"/>
      <c r="AF179" s="53"/>
    </row>
    <row r="180" spans="1:56" s="2" customFormat="1" ht="16.5">
      <c r="A180" s="170"/>
      <c r="B180" s="161"/>
      <c r="C180" s="151"/>
      <c r="D180" s="102" t="s">
        <v>324</v>
      </c>
      <c r="E180" s="103" t="s">
        <v>40</v>
      </c>
      <c r="F180" s="240">
        <f>(0.36*PI()^2*F152*F151)/F120</f>
        <v>1314.3690259743273</v>
      </c>
      <c r="G180" s="240"/>
      <c r="H180" s="169"/>
      <c r="I180" s="66"/>
      <c r="J180" s="65"/>
      <c r="K180" s="66"/>
      <c r="T180" s="16">
        <f t="shared" si="1"/>
        <v>180</v>
      </c>
      <c r="U180" s="16">
        <v>43.6</v>
      </c>
      <c r="V180" s="16"/>
      <c r="X180" s="16">
        <v>50.55</v>
      </c>
      <c r="AF180" s="53"/>
    </row>
    <row r="181" spans="1:56" s="2" customFormat="1" ht="16.5">
      <c r="A181" s="170"/>
      <c r="B181" s="161"/>
      <c r="C181" s="151"/>
      <c r="D181" s="102" t="s">
        <v>325</v>
      </c>
      <c r="E181" s="103" t="s">
        <v>40</v>
      </c>
      <c r="F181" s="240">
        <f>(1.8*PI()^2*F152*F151)/F120</f>
        <v>6571.8451298716373</v>
      </c>
      <c r="G181" s="240"/>
      <c r="H181" s="180"/>
      <c r="I181" s="66"/>
      <c r="J181" s="65"/>
      <c r="K181" s="66"/>
      <c r="T181" s="16">
        <f t="shared" si="1"/>
        <v>190</v>
      </c>
      <c r="U181" s="16">
        <v>39.700000000000003</v>
      </c>
      <c r="V181" s="16"/>
      <c r="X181" s="16">
        <v>45.650000000000006</v>
      </c>
    </row>
    <row r="182" spans="1:56" s="2" customFormat="1">
      <c r="A182" s="170"/>
      <c r="B182" s="161"/>
      <c r="C182" s="151"/>
      <c r="D182" s="179"/>
      <c r="E182" s="166"/>
      <c r="F182" s="20"/>
      <c r="G182" s="20"/>
      <c r="H182" s="180"/>
      <c r="I182" s="66"/>
      <c r="J182" s="65"/>
      <c r="K182" s="66"/>
      <c r="T182" s="16">
        <f t="shared" si="1"/>
        <v>200</v>
      </c>
      <c r="U182" s="16">
        <v>36.299999999999997</v>
      </c>
      <c r="V182" s="16"/>
      <c r="X182" s="16">
        <v>41.349999999999994</v>
      </c>
    </row>
    <row r="183" spans="1:56" s="2" customFormat="1" ht="16.5">
      <c r="A183" s="170"/>
      <c r="B183" s="182"/>
      <c r="C183" s="151"/>
      <c r="D183" s="172" t="s">
        <v>313</v>
      </c>
      <c r="E183" s="173" t="s">
        <v>40</v>
      </c>
      <c r="F183" s="266">
        <f>IF(AND(F179&gt;F180,F179&lt;F181),F172,IF(F179&gt;F181,F176,MIN(F172,F176)))</f>
        <v>3732.3430753212665</v>
      </c>
      <c r="G183" s="266"/>
      <c r="H183" s="174" t="s">
        <v>192</v>
      </c>
      <c r="I183" s="115"/>
      <c r="J183" s="65"/>
      <c r="K183" s="66"/>
      <c r="T183" s="16">
        <f t="shared" si="1"/>
        <v>210</v>
      </c>
      <c r="U183" s="16">
        <v>33.299999999999997</v>
      </c>
      <c r="V183" s="16"/>
    </row>
    <row r="184" spans="1:56" s="2" customFormat="1">
      <c r="A184" s="170"/>
      <c r="B184" s="182"/>
      <c r="C184" s="151"/>
      <c r="D184" s="55"/>
      <c r="E184" s="110"/>
      <c r="F184" s="110"/>
      <c r="G184" s="110"/>
      <c r="H184" s="110"/>
      <c r="I184" s="115"/>
      <c r="J184" s="65"/>
      <c r="K184" s="66"/>
      <c r="T184" s="16">
        <f t="shared" si="1"/>
        <v>220</v>
      </c>
      <c r="U184" s="16">
        <v>30.6</v>
      </c>
      <c r="V184" s="16"/>
      <c r="AZ184" s="53"/>
      <c r="BA184" s="53"/>
      <c r="BB184" s="53"/>
      <c r="BC184" s="53"/>
      <c r="BD184" s="53"/>
    </row>
    <row r="185" spans="1:56" s="53" customFormat="1" ht="14.25">
      <c r="A185" s="170"/>
      <c r="B185" s="101" t="s">
        <v>326</v>
      </c>
      <c r="C185" s="68"/>
      <c r="D185" s="102" t="s">
        <v>327</v>
      </c>
      <c r="E185" s="103" t="s">
        <v>40</v>
      </c>
      <c r="F185" s="242" t="s">
        <v>328</v>
      </c>
      <c r="G185" s="242"/>
      <c r="H185" s="180"/>
      <c r="I185" s="115"/>
      <c r="J185" s="65"/>
      <c r="K185" s="66"/>
      <c r="Q185" s="2"/>
      <c r="R185" s="2"/>
      <c r="S185" s="2"/>
      <c r="T185" s="16">
        <f t="shared" si="1"/>
        <v>230</v>
      </c>
      <c r="U185" s="16">
        <v>28.3</v>
      </c>
      <c r="V185" s="16"/>
      <c r="W185" s="2"/>
      <c r="X185" s="2"/>
      <c r="Y185" s="2"/>
      <c r="Z185" s="2"/>
      <c r="AA185" s="2"/>
      <c r="AB185" s="2"/>
      <c r="AC185" s="2"/>
      <c r="AD185" s="2"/>
      <c r="AE185" s="2"/>
      <c r="AF185" s="2"/>
    </row>
    <row r="186" spans="1:56" s="53" customFormat="1" ht="16.5">
      <c r="A186" s="170"/>
      <c r="B186" s="155"/>
      <c r="C186" s="68"/>
      <c r="D186" s="197" t="s">
        <v>327</v>
      </c>
      <c r="E186" s="198" t="s">
        <v>40</v>
      </c>
      <c r="F186" s="267">
        <f>ABS(F16*1000/9.81)/F31</f>
        <v>818.1478459493942</v>
      </c>
      <c r="G186" s="267"/>
      <c r="H186" s="174" t="s">
        <v>192</v>
      </c>
      <c r="I186" s="115"/>
      <c r="J186" s="65"/>
      <c r="K186" s="66"/>
      <c r="T186" s="16">
        <f t="shared" si="1"/>
        <v>240</v>
      </c>
      <c r="U186" s="16">
        <v>26.2</v>
      </c>
      <c r="V186" s="16"/>
      <c r="W186" s="2"/>
      <c r="X186" s="2"/>
      <c r="AF186" s="2"/>
    </row>
    <row r="187" spans="1:56" s="2" customFormat="1">
      <c r="A187" s="97"/>
      <c r="B187" s="54"/>
      <c r="C187" s="54"/>
      <c r="D187" s="55"/>
      <c r="E187" s="56"/>
      <c r="F187" s="241" t="str">
        <f>IF(F186&lt;=MIN(F139,F166,F183),"PASS","FAIL")</f>
        <v>FAIL</v>
      </c>
      <c r="G187" s="241"/>
      <c r="H187" s="57"/>
      <c r="I187" s="135"/>
      <c r="J187" s="65"/>
      <c r="K187" s="66"/>
      <c r="Q187" s="53"/>
      <c r="R187" s="53"/>
      <c r="S187" s="53"/>
      <c r="T187" s="16">
        <f t="shared" si="1"/>
        <v>250</v>
      </c>
      <c r="U187" s="16">
        <v>24.3</v>
      </c>
      <c r="V187" s="16"/>
      <c r="Y187" s="53"/>
      <c r="Z187" s="53"/>
      <c r="AA187" s="53"/>
      <c r="AB187" s="53"/>
      <c r="AC187" s="53"/>
      <c r="AD187" s="53"/>
      <c r="AE187" s="53"/>
      <c r="AZ187" s="53"/>
      <c r="BA187" s="53"/>
      <c r="BB187" s="53"/>
      <c r="BC187" s="53"/>
      <c r="BD187" s="53"/>
    </row>
    <row r="188" spans="1:56" s="53" customFormat="1">
      <c r="A188" s="97"/>
      <c r="B188" s="54"/>
      <c r="C188" s="54"/>
      <c r="D188" s="199"/>
      <c r="E188" s="200"/>
      <c r="F188" s="242"/>
      <c r="G188" s="242"/>
      <c r="H188" s="113"/>
      <c r="I188" s="135"/>
      <c r="J188" s="65"/>
      <c r="K188" s="66"/>
      <c r="L188" s="53" t="e">
        <f>#REF!/#REF!</f>
        <v>#REF!</v>
      </c>
      <c r="Q188" s="2"/>
      <c r="R188" s="2"/>
      <c r="S188" s="2"/>
      <c r="T188" s="16"/>
      <c r="U188" s="16"/>
      <c r="V188" s="16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Z188" s="2"/>
      <c r="BA188" s="2"/>
      <c r="BB188" s="2"/>
      <c r="BC188" s="2"/>
      <c r="BD188" s="2"/>
    </row>
    <row r="189" spans="1:56" s="53" customFormat="1">
      <c r="A189" s="65"/>
      <c r="B189" s="108" t="s">
        <v>329</v>
      </c>
      <c r="C189" s="54"/>
      <c r="D189" s="55"/>
      <c r="E189" s="56"/>
      <c r="F189" s="242"/>
      <c r="G189" s="242"/>
      <c r="H189" s="201"/>
      <c r="I189" s="115"/>
      <c r="J189" s="65" t="s">
        <v>330</v>
      </c>
      <c r="K189" s="66"/>
      <c r="T189" s="16"/>
      <c r="U189" s="16"/>
      <c r="V189" s="16"/>
      <c r="W189" s="2"/>
      <c r="X189" s="2"/>
      <c r="AF189" s="2"/>
      <c r="AZ189" s="2"/>
      <c r="BA189" s="2"/>
      <c r="BB189" s="2"/>
      <c r="BC189" s="2"/>
      <c r="BD189" s="2"/>
    </row>
    <row r="190" spans="1:56" s="2" customFormat="1">
      <c r="A190" s="65"/>
      <c r="B190" s="264" t="s">
        <v>331</v>
      </c>
      <c r="C190" s="264"/>
      <c r="D190" s="264"/>
      <c r="E190" s="264"/>
      <c r="F190" s="264"/>
      <c r="G190" s="264"/>
      <c r="H190" s="264"/>
      <c r="I190" s="265"/>
      <c r="J190" s="65"/>
      <c r="K190" s="66"/>
      <c r="Q190" s="53"/>
      <c r="R190" s="53"/>
      <c r="S190" s="53"/>
      <c r="T190" s="16"/>
      <c r="U190" s="16"/>
      <c r="V190" s="16"/>
      <c r="Y190" s="53"/>
      <c r="Z190" s="53"/>
      <c r="AA190" s="53"/>
      <c r="AB190" s="53"/>
      <c r="AC190" s="53"/>
      <c r="AD190" s="53"/>
      <c r="AE190" s="53"/>
    </row>
    <row r="191" spans="1:56" s="2" customFormat="1" ht="14.25">
      <c r="A191" s="65"/>
      <c r="B191" s="101" t="s">
        <v>332</v>
      </c>
      <c r="C191" s="54"/>
      <c r="D191" s="55" t="s">
        <v>333</v>
      </c>
      <c r="E191" s="56" t="s">
        <v>40</v>
      </c>
      <c r="F191" s="43" t="s">
        <v>334</v>
      </c>
      <c r="G191" s="43"/>
      <c r="H191" s="57"/>
      <c r="I191" s="66"/>
      <c r="J191" s="65" t="s">
        <v>335</v>
      </c>
      <c r="K191" s="66"/>
      <c r="T191" s="16"/>
      <c r="U191" s="16"/>
      <c r="V191" s="16"/>
    </row>
    <row r="192" spans="1:56" s="2" customFormat="1">
      <c r="A192" s="65"/>
      <c r="B192" s="54"/>
      <c r="C192" s="54"/>
      <c r="D192" s="55"/>
      <c r="E192" s="56"/>
      <c r="F192" s="51" t="s">
        <v>336</v>
      </c>
      <c r="G192" s="51"/>
      <c r="H192" s="57"/>
      <c r="I192" s="202"/>
      <c r="J192" s="65"/>
      <c r="K192" s="66"/>
      <c r="T192" s="16" t="e">
        <f>#REF!+10</f>
        <v>#REF!</v>
      </c>
      <c r="U192" s="16">
        <v>160.65</v>
      </c>
      <c r="V192" s="16"/>
    </row>
    <row r="193" spans="1:56" s="2" customFormat="1" ht="15.75">
      <c r="A193" s="65"/>
      <c r="B193" s="54"/>
      <c r="C193" s="54"/>
      <c r="D193" s="199"/>
      <c r="E193" s="200" t="s">
        <v>40</v>
      </c>
      <c r="F193" s="240">
        <f>MAX(1275*SQRT(F120)/F116,0.4*F120)</f>
        <v>2242.6095820591231</v>
      </c>
      <c r="G193" s="240"/>
      <c r="H193" s="98" t="s">
        <v>192</v>
      </c>
      <c r="I193" s="203"/>
      <c r="J193" s="65"/>
      <c r="K193" s="66"/>
      <c r="T193" s="16" t="e">
        <f t="shared" si="1"/>
        <v>#REF!</v>
      </c>
      <c r="U193" s="16">
        <v>26.95</v>
      </c>
      <c r="V193" s="16"/>
    </row>
    <row r="194" spans="1:56" s="2" customFormat="1">
      <c r="A194" s="65"/>
      <c r="B194" s="54"/>
      <c r="C194" s="54"/>
      <c r="D194" s="55"/>
      <c r="E194" s="56"/>
      <c r="F194" s="240"/>
      <c r="G194" s="240"/>
      <c r="H194" s="204"/>
      <c r="I194" s="121"/>
      <c r="J194" s="65"/>
      <c r="K194" s="66"/>
      <c r="T194" s="53"/>
      <c r="U194" s="53"/>
      <c r="V194" s="53"/>
      <c r="W194" s="53"/>
      <c r="X194" s="53"/>
    </row>
    <row r="195" spans="1:56" s="2" customFormat="1" ht="16.5">
      <c r="A195" s="65"/>
      <c r="B195" s="101" t="s">
        <v>337</v>
      </c>
      <c r="C195" s="54"/>
      <c r="D195" s="55" t="s">
        <v>333</v>
      </c>
      <c r="E195" s="56" t="s">
        <v>40</v>
      </c>
      <c r="F195" s="43" t="s">
        <v>338</v>
      </c>
      <c r="G195" s="43"/>
      <c r="H195" s="204"/>
      <c r="I195" s="135"/>
      <c r="J195" s="65" t="s">
        <v>339</v>
      </c>
      <c r="K195" s="66"/>
      <c r="T195" s="63" t="e">
        <f>INDEX(T163:U193, MATCH(#REF!,T163:T193,1),2)+(#REF!-INDEX(T163:U193, MATCH(#REF!,T163:T193,1),1))*(INDEX(T163:U193, MATCH(#REF!,T163:T193,1)+1,2)-INDEX(T163:U193, MATCH(#REF!,T163:T193,1),2))/(INDEX(T163:U193, MATCH(#REF!,T163:T193,1)+1,1)-INDEX(T163:U193, MATCH(#REF!,T163:T193,1),1))</f>
        <v>#REF!</v>
      </c>
    </row>
    <row r="196" spans="1:56" s="2" customFormat="1" ht="15.75">
      <c r="A196" s="65"/>
      <c r="B196" s="54"/>
      <c r="C196" s="54"/>
      <c r="D196" s="55"/>
      <c r="E196" s="56" t="s">
        <v>40</v>
      </c>
      <c r="F196" s="240">
        <f>5850000/F116^2</f>
        <v>1843.422849340009</v>
      </c>
      <c r="G196" s="240"/>
      <c r="H196" s="98" t="s">
        <v>192</v>
      </c>
      <c r="I196" s="135"/>
      <c r="J196" s="65"/>
      <c r="K196" s="66"/>
      <c r="V196" s="2" t="e">
        <f>MIN((#REF!/(3*$F$92)),(#REF!/(3*$F$92))-0.25,(#REF!/#REF!),1)</f>
        <v>#REF!</v>
      </c>
      <c r="AF196" s="53"/>
    </row>
    <row r="197" spans="1:56" s="2" customFormat="1">
      <c r="A197" s="65"/>
      <c r="B197" s="54"/>
      <c r="C197" s="54"/>
      <c r="D197" s="55"/>
      <c r="E197" s="56"/>
      <c r="F197" s="240"/>
      <c r="G197" s="240"/>
      <c r="H197" s="57"/>
      <c r="I197" s="66"/>
      <c r="J197" s="65"/>
      <c r="K197" s="66"/>
    </row>
    <row r="198" spans="1:56" s="2" customFormat="1" ht="16.5">
      <c r="A198" s="65"/>
      <c r="B198" s="116" t="str">
        <f>IF(F116&lt;=4590/SQRT(F120),"Since  h/t &lt;= 4590/√Fy","Since  h/t &gt; 4590/√Fy")</f>
        <v>Since  h/t &lt;= 4590/√Fy</v>
      </c>
      <c r="C198" s="54"/>
      <c r="D198" s="205" t="s">
        <v>333</v>
      </c>
      <c r="E198" s="206" t="s">
        <v>40</v>
      </c>
      <c r="F198" s="249">
        <f>IF(F116&lt;=4590/SQRT(F120),F193,F196)</f>
        <v>2242.6095820591231</v>
      </c>
      <c r="G198" s="249"/>
      <c r="H198" s="174" t="s">
        <v>192</v>
      </c>
      <c r="I198" s="66"/>
      <c r="J198" s="65"/>
      <c r="K198" s="66"/>
    </row>
    <row r="199" spans="1:56" s="2" customFormat="1">
      <c r="A199" s="65"/>
      <c r="B199" s="54"/>
      <c r="C199" s="54"/>
      <c r="D199" s="171"/>
      <c r="E199" s="56"/>
      <c r="F199" s="240"/>
      <c r="G199" s="240"/>
      <c r="H199" s="207"/>
      <c r="I199" s="208"/>
      <c r="J199" s="65"/>
      <c r="K199" s="66"/>
      <c r="AF199" s="53"/>
    </row>
    <row r="200" spans="1:56" s="2" customFormat="1" ht="16.5">
      <c r="A200" s="65"/>
      <c r="B200" s="54" t="s">
        <v>340</v>
      </c>
      <c r="C200" s="54"/>
      <c r="D200" s="55" t="s">
        <v>341</v>
      </c>
      <c r="E200" s="200" t="s">
        <v>40</v>
      </c>
      <c r="F200" s="43" t="s">
        <v>342</v>
      </c>
      <c r="G200" s="43"/>
      <c r="H200" s="209"/>
      <c r="I200" s="210"/>
      <c r="J200" s="65"/>
      <c r="K200" s="66"/>
      <c r="AF200" s="53"/>
    </row>
    <row r="201" spans="1:56" s="2" customFormat="1" ht="16.5">
      <c r="A201" s="65"/>
      <c r="B201" s="54"/>
      <c r="C201" s="54"/>
      <c r="D201" s="205" t="s">
        <v>341</v>
      </c>
      <c r="E201" s="206" t="s">
        <v>40</v>
      </c>
      <c r="F201" s="249">
        <f>(SQRT(F17^2+F18^2)*1000/9.81)/(F114*F29/10)</f>
        <v>201.67142479426704</v>
      </c>
      <c r="G201" s="249"/>
      <c r="H201" s="174" t="s">
        <v>192</v>
      </c>
      <c r="I201" s="121"/>
      <c r="J201" s="65"/>
      <c r="K201" s="66"/>
    </row>
    <row r="202" spans="1:56" s="2" customFormat="1">
      <c r="A202" s="65"/>
      <c r="B202" s="54"/>
      <c r="C202" s="54"/>
      <c r="D202" s="55"/>
      <c r="E202" s="56"/>
      <c r="F202" s="241" t="str">
        <f>IF(F201&lt;=F198,"PASS","FAIL")</f>
        <v>PASS</v>
      </c>
      <c r="G202" s="241"/>
      <c r="H202" s="57"/>
      <c r="I202" s="66"/>
      <c r="J202" s="65"/>
      <c r="K202" s="66"/>
      <c r="AF202" s="54"/>
    </row>
    <row r="203" spans="1:56" s="2" customFormat="1">
      <c r="A203" s="65"/>
      <c r="B203" s="54"/>
      <c r="C203" s="54"/>
      <c r="D203" s="55"/>
      <c r="E203" s="56"/>
      <c r="F203" s="240"/>
      <c r="G203" s="240"/>
      <c r="H203" s="57"/>
      <c r="I203" s="66"/>
      <c r="J203" s="65"/>
      <c r="K203" s="66"/>
      <c r="AF203" s="54"/>
      <c r="AZ203" s="53"/>
      <c r="BA203" s="53"/>
      <c r="BB203" s="53"/>
      <c r="BC203" s="53"/>
      <c r="BD203" s="53"/>
    </row>
    <row r="204" spans="1:56" s="2" customFormat="1">
      <c r="A204" s="65"/>
      <c r="B204" s="108" t="s">
        <v>343</v>
      </c>
      <c r="C204" s="54"/>
      <c r="D204" s="55"/>
      <c r="E204" s="56"/>
      <c r="F204" s="240"/>
      <c r="G204" s="240"/>
      <c r="H204" s="57"/>
      <c r="I204" s="66"/>
      <c r="J204" s="65"/>
      <c r="K204" s="66"/>
      <c r="AF204" s="54"/>
      <c r="AZ204" s="53"/>
      <c r="BA204" s="53"/>
      <c r="BB204" s="53"/>
      <c r="BC204" s="53"/>
      <c r="BD204" s="53"/>
    </row>
    <row r="205" spans="1:56" s="53" customFormat="1">
      <c r="A205" s="65"/>
      <c r="B205" s="264" t="s">
        <v>344</v>
      </c>
      <c r="C205" s="264"/>
      <c r="D205" s="264"/>
      <c r="E205" s="264"/>
      <c r="F205" s="264"/>
      <c r="G205" s="264"/>
      <c r="H205" s="264"/>
      <c r="I205" s="265"/>
      <c r="J205" s="65"/>
      <c r="K205" s="66"/>
      <c r="Y205" s="2"/>
      <c r="Z205" s="2"/>
      <c r="AA205" s="2"/>
      <c r="AB205" s="2"/>
      <c r="AC205" s="2"/>
      <c r="AD205" s="2"/>
      <c r="AE205" s="2"/>
      <c r="AF205" s="54"/>
      <c r="AZ205" s="2"/>
      <c r="BA205" s="2"/>
      <c r="BB205" s="2"/>
      <c r="BC205" s="2"/>
      <c r="BD205" s="2"/>
    </row>
    <row r="206" spans="1:56" s="2" customFormat="1" ht="16.5">
      <c r="A206" s="65"/>
      <c r="B206" s="54"/>
      <c r="C206" s="54"/>
      <c r="D206" s="55" t="s">
        <v>345</v>
      </c>
      <c r="E206" s="56" t="s">
        <v>40</v>
      </c>
      <c r="F206" s="43" t="s">
        <v>346</v>
      </c>
      <c r="G206" s="54"/>
      <c r="H206" s="57"/>
      <c r="I206" s="66"/>
      <c r="J206" s="65" t="s">
        <v>347</v>
      </c>
      <c r="K206" s="66"/>
      <c r="Y206" s="53"/>
      <c r="Z206" s="53"/>
      <c r="AA206" s="53"/>
      <c r="AB206" s="53"/>
      <c r="AC206" s="53"/>
      <c r="AD206" s="53"/>
      <c r="AE206" s="53"/>
      <c r="AF206" s="54"/>
      <c r="AZ206" s="53"/>
      <c r="BA206" s="53"/>
      <c r="BB206" s="53"/>
      <c r="BC206" s="53"/>
      <c r="BD206" s="53"/>
    </row>
    <row r="207" spans="1:56" s="2" customFormat="1">
      <c r="A207" s="65"/>
      <c r="B207" s="54"/>
      <c r="C207" s="54"/>
      <c r="D207" s="55"/>
      <c r="E207" s="56"/>
      <c r="F207" s="54" t="s">
        <v>348</v>
      </c>
      <c r="G207" s="54"/>
      <c r="H207" s="57"/>
      <c r="I207" s="66"/>
      <c r="J207" s="65"/>
      <c r="K207" s="66"/>
      <c r="AF207" s="54"/>
      <c r="AZ207" s="53"/>
      <c r="BA207" s="53"/>
      <c r="BB207" s="53"/>
      <c r="BC207" s="53"/>
      <c r="BD207" s="53"/>
    </row>
    <row r="208" spans="1:56" s="53" customFormat="1" ht="16.5">
      <c r="A208" s="65"/>
      <c r="B208" s="54"/>
      <c r="C208" s="54"/>
      <c r="D208" s="205" t="s">
        <v>345</v>
      </c>
      <c r="E208" s="206" t="s">
        <v>40</v>
      </c>
      <c r="F208" s="249">
        <f>MIN(36560000/F116^2,F122)</f>
        <v>3363.9143730886849</v>
      </c>
      <c r="G208" s="249"/>
      <c r="H208" s="174" t="s">
        <v>192</v>
      </c>
      <c r="I208" s="66"/>
      <c r="J208" s="65"/>
      <c r="K208" s="66"/>
      <c r="Y208" s="2"/>
      <c r="Z208" s="2"/>
      <c r="AA208" s="2"/>
      <c r="AB208" s="2"/>
      <c r="AC208" s="2"/>
      <c r="AD208" s="2"/>
      <c r="AE208" s="2"/>
      <c r="AF208" s="54"/>
      <c r="AZ208" s="2"/>
      <c r="BA208" s="2"/>
      <c r="BB208" s="2"/>
      <c r="BC208" s="2"/>
      <c r="BD208" s="2"/>
    </row>
    <row r="209" spans="1:56" s="53" customFormat="1">
      <c r="A209" s="65"/>
      <c r="B209" s="54"/>
      <c r="C209" s="54"/>
      <c r="D209" s="55"/>
      <c r="E209" s="56"/>
      <c r="F209" s="240"/>
      <c r="G209" s="240"/>
      <c r="H209" s="57"/>
      <c r="I209" s="66"/>
      <c r="J209" s="65"/>
      <c r="K209" s="66"/>
      <c r="O209" s="53" t="e">
        <f>MIN((#REF!/(3*$F$92)),(#REF!/(3*$F$92))-0.25,(#REF!/#REF!),1)</f>
        <v>#REF!</v>
      </c>
      <c r="AF209" s="54"/>
      <c r="AZ209" s="54"/>
      <c r="BA209" s="54"/>
      <c r="BB209" s="54"/>
      <c r="BC209" s="54"/>
      <c r="BD209" s="54"/>
    </row>
    <row r="210" spans="1:56" s="2" customFormat="1" ht="26.25">
      <c r="A210" s="65"/>
      <c r="B210" s="211" t="s">
        <v>349</v>
      </c>
      <c r="C210" s="54"/>
      <c r="D210" s="55" t="s">
        <v>350</v>
      </c>
      <c r="E210" s="200" t="s">
        <v>40</v>
      </c>
      <c r="F210" s="240" t="s">
        <v>351</v>
      </c>
      <c r="G210" s="240"/>
      <c r="H210" s="209"/>
      <c r="I210" s="66"/>
      <c r="J210" s="65"/>
      <c r="K210" s="66"/>
      <c r="V210" s="53"/>
      <c r="W210" s="53"/>
      <c r="X210" s="53"/>
      <c r="Y210" s="53"/>
      <c r="Z210" s="53"/>
      <c r="AA210" s="53"/>
      <c r="AB210" s="53"/>
      <c r="AC210" s="53"/>
      <c r="AD210" s="53"/>
      <c r="AE210" s="53"/>
      <c r="AF210" s="54"/>
      <c r="AZ210" s="54"/>
      <c r="BA210" s="54"/>
      <c r="BB210" s="54"/>
      <c r="BC210" s="54"/>
      <c r="BD210" s="54"/>
    </row>
    <row r="211" spans="1:56" ht="16.5">
      <c r="A211" s="65"/>
      <c r="D211" s="205" t="s">
        <v>350</v>
      </c>
      <c r="E211" s="212" t="s">
        <v>40</v>
      </c>
      <c r="F211" s="249">
        <f>ABS(F21*1000/9.81)/F37</f>
        <v>9.3055437850976261</v>
      </c>
      <c r="G211" s="249"/>
      <c r="H211" s="174" t="s">
        <v>192</v>
      </c>
      <c r="I211" s="66"/>
      <c r="J211" s="65"/>
      <c r="K211" s="66"/>
      <c r="V211" s="2"/>
      <c r="W211" s="2"/>
      <c r="X211" s="2"/>
      <c r="Y211" s="2"/>
      <c r="Z211" s="2"/>
      <c r="AA211" s="2"/>
      <c r="AB211" s="2"/>
      <c r="AC211" s="2"/>
      <c r="AD211" s="2"/>
      <c r="AE211" s="2"/>
    </row>
    <row r="212" spans="1:56">
      <c r="A212" s="65"/>
      <c r="F212" s="241" t="str">
        <f>IF(F211&lt;=F208,"PASS","FAIL")</f>
        <v>PASS</v>
      </c>
      <c r="G212" s="241"/>
      <c r="I212" s="66"/>
      <c r="J212" s="65"/>
      <c r="K212" s="66"/>
    </row>
    <row r="213" spans="1:56">
      <c r="A213" s="65"/>
      <c r="F213" s="213"/>
      <c r="G213" s="213"/>
      <c r="I213" s="66"/>
      <c r="J213" s="65"/>
      <c r="K213" s="66"/>
    </row>
    <row r="214" spans="1:56">
      <c r="A214" s="65"/>
      <c r="B214" s="108" t="s">
        <v>352</v>
      </c>
      <c r="F214" s="213"/>
      <c r="G214" s="213"/>
      <c r="I214" s="66"/>
      <c r="J214" s="65"/>
      <c r="K214" s="66"/>
    </row>
    <row r="215" spans="1:56">
      <c r="A215" s="65"/>
      <c r="B215" s="54" t="s">
        <v>353</v>
      </c>
      <c r="E215" s="56" t="s">
        <v>40</v>
      </c>
      <c r="F215" s="213"/>
      <c r="G215" s="213"/>
      <c r="I215" s="66"/>
      <c r="J215" s="65" t="s">
        <v>354</v>
      </c>
      <c r="K215" s="66"/>
    </row>
    <row r="216" spans="1:56">
      <c r="A216" s="65"/>
      <c r="F216" s="213"/>
      <c r="G216" s="213"/>
      <c r="I216" s="66" t="s">
        <v>355</v>
      </c>
      <c r="J216" s="65"/>
      <c r="K216" s="66"/>
    </row>
    <row r="217" spans="1:56">
      <c r="A217" s="65"/>
      <c r="F217" s="213"/>
      <c r="G217" s="213"/>
      <c r="I217" s="66"/>
      <c r="J217" s="65"/>
      <c r="K217" s="66"/>
    </row>
    <row r="218" spans="1:56">
      <c r="A218" s="65"/>
      <c r="E218" s="206" t="s">
        <v>40</v>
      </c>
      <c r="F218" s="249">
        <f>SQRT((F211/F208)^2+(F201/F198)^2)</f>
        <v>8.9969659025367396E-2</v>
      </c>
      <c r="G218" s="249"/>
      <c r="I218" s="66"/>
      <c r="J218" s="65"/>
      <c r="K218" s="66"/>
    </row>
    <row r="219" spans="1:56">
      <c r="A219" s="65"/>
      <c r="F219" s="241" t="str">
        <f>IF(F218&lt;=1,"PASS","FAIL")</f>
        <v>PASS</v>
      </c>
      <c r="G219" s="241"/>
      <c r="I219" s="66"/>
      <c r="J219" s="65"/>
      <c r="K219" s="66"/>
    </row>
    <row r="220" spans="1:56">
      <c r="A220" s="65"/>
      <c r="F220" s="240"/>
      <c r="G220" s="240"/>
      <c r="I220" s="66"/>
      <c r="J220" s="65"/>
      <c r="K220" s="66"/>
    </row>
    <row r="221" spans="1:56">
      <c r="A221" s="65"/>
      <c r="B221" s="108" t="s">
        <v>356</v>
      </c>
      <c r="F221" s="240"/>
      <c r="G221" s="240"/>
      <c r="I221" s="66"/>
      <c r="J221" s="65" t="s">
        <v>357</v>
      </c>
      <c r="K221" s="66"/>
    </row>
    <row r="222" spans="1:56">
      <c r="A222" s="65"/>
      <c r="B222" s="108" t="s">
        <v>358</v>
      </c>
      <c r="F222" s="240"/>
      <c r="G222" s="240"/>
      <c r="I222" s="66"/>
      <c r="J222" s="65" t="s">
        <v>359</v>
      </c>
      <c r="K222" s="66"/>
    </row>
    <row r="223" spans="1:56">
      <c r="A223" s="65"/>
      <c r="B223" s="54" t="s">
        <v>360</v>
      </c>
      <c r="F223" s="43"/>
      <c r="G223" s="43"/>
      <c r="I223" s="66"/>
      <c r="J223" s="65"/>
      <c r="K223" s="66"/>
    </row>
    <row r="224" spans="1:56">
      <c r="A224" s="65"/>
      <c r="B224" s="54" t="s">
        <v>361</v>
      </c>
      <c r="F224" s="43"/>
      <c r="G224" s="43"/>
      <c r="I224" s="66"/>
      <c r="J224" s="65"/>
      <c r="K224" s="66"/>
    </row>
    <row r="225" spans="1:11" ht="48.75" customHeight="1">
      <c r="A225" s="65"/>
      <c r="D225" s="214" t="s">
        <v>362</v>
      </c>
      <c r="E225" s="215" t="s">
        <v>40</v>
      </c>
      <c r="F225" s="261" t="s">
        <v>363</v>
      </c>
      <c r="G225" s="261"/>
      <c r="H225" s="261"/>
      <c r="I225" s="262"/>
      <c r="J225" s="65" t="s">
        <v>359</v>
      </c>
      <c r="K225" s="66"/>
    </row>
    <row r="226" spans="1:11">
      <c r="A226" s="65"/>
      <c r="B226" s="54" t="s">
        <v>291</v>
      </c>
      <c r="F226" s="21"/>
      <c r="G226" s="21"/>
      <c r="I226" s="66"/>
      <c r="J226" s="65"/>
      <c r="K226" s="66"/>
    </row>
    <row r="227" spans="1:11">
      <c r="A227" s="65"/>
      <c r="B227" s="54" t="s">
        <v>364</v>
      </c>
      <c r="D227" s="55" t="s">
        <v>365</v>
      </c>
      <c r="E227" s="56" t="s">
        <v>40</v>
      </c>
      <c r="F227" s="259">
        <f>50/10</f>
        <v>5</v>
      </c>
      <c r="G227" s="259"/>
      <c r="H227" s="57" t="s">
        <v>104</v>
      </c>
      <c r="I227" s="66"/>
      <c r="J227" s="65"/>
      <c r="K227" s="66"/>
    </row>
    <row r="228" spans="1:11">
      <c r="A228" s="65"/>
      <c r="D228" s="55" t="s">
        <v>365</v>
      </c>
      <c r="E228" s="56" t="s">
        <v>40</v>
      </c>
      <c r="F228" s="240">
        <f>MIN(F227,F114)</f>
        <v>5</v>
      </c>
      <c r="G228" s="240"/>
      <c r="H228" s="57" t="s">
        <v>104</v>
      </c>
      <c r="I228" s="66"/>
      <c r="J228" s="65"/>
      <c r="K228" s="66"/>
    </row>
    <row r="229" spans="1:11">
      <c r="A229" s="65"/>
      <c r="B229" s="54" t="s">
        <v>366</v>
      </c>
      <c r="D229" s="55" t="s">
        <v>367</v>
      </c>
      <c r="E229" s="56" t="s">
        <v>40</v>
      </c>
      <c r="F229" s="240">
        <f>F30/10</f>
        <v>0.18</v>
      </c>
      <c r="G229" s="240"/>
      <c r="H229" s="57" t="s">
        <v>104</v>
      </c>
      <c r="I229" s="66"/>
      <c r="J229" s="65"/>
      <c r="K229" s="66"/>
    </row>
    <row r="230" spans="1:11" ht="14.25">
      <c r="A230" s="65"/>
      <c r="D230" s="214" t="s">
        <v>362</v>
      </c>
      <c r="E230" s="56" t="s">
        <v>40</v>
      </c>
      <c r="F230" s="240">
        <f>(70*F115^2*(98+4.2*(F227/F115)-0.022*(F227/F115)*F116-0.011*F116)*(1.33-0.33*(F120/2320))*(F120/2320))</f>
        <v>286.34280632719111</v>
      </c>
      <c r="G230" s="240"/>
      <c r="H230" s="57" t="s">
        <v>368</v>
      </c>
      <c r="I230" s="66"/>
      <c r="J230" s="65"/>
      <c r="K230" s="66"/>
    </row>
    <row r="231" spans="1:11">
      <c r="A231" s="79"/>
      <c r="B231" s="74"/>
      <c r="C231" s="74"/>
      <c r="D231" s="76"/>
      <c r="E231" s="77"/>
      <c r="F231" s="263"/>
      <c r="G231" s="263"/>
      <c r="H231" s="216"/>
      <c r="I231" s="80"/>
      <c r="J231" s="79"/>
      <c r="K231" s="80"/>
    </row>
    <row r="232" spans="1:11" ht="14.25">
      <c r="A232" s="87"/>
      <c r="B232" s="82" t="s">
        <v>369</v>
      </c>
      <c r="C232" s="82"/>
      <c r="D232" s="217" t="s">
        <v>362</v>
      </c>
      <c r="E232" s="84" t="s">
        <v>40</v>
      </c>
      <c r="F232" s="218" t="s">
        <v>370</v>
      </c>
      <c r="G232" s="218"/>
      <c r="H232" s="85"/>
      <c r="I232" s="88"/>
      <c r="J232" s="219" t="s">
        <v>359</v>
      </c>
      <c r="K232" s="88"/>
    </row>
    <row r="233" spans="1:11">
      <c r="A233" s="65"/>
      <c r="E233" s="56" t="s">
        <v>40</v>
      </c>
      <c r="F233" s="240">
        <f>F230*(1.15-0.15*F229/F115)</f>
        <v>264.86709585265174</v>
      </c>
      <c r="G233" s="240"/>
      <c r="H233" s="57" t="s">
        <v>368</v>
      </c>
      <c r="I233" s="66"/>
      <c r="J233" s="65"/>
      <c r="K233" s="66"/>
    </row>
    <row r="234" spans="1:11" ht="14.25">
      <c r="A234" s="65"/>
      <c r="B234" s="54" t="s">
        <v>371</v>
      </c>
      <c r="D234" s="214" t="s">
        <v>362</v>
      </c>
      <c r="E234" s="56" t="s">
        <v>40</v>
      </c>
      <c r="F234" s="260">
        <f>IF(F229&lt;=F115,F230,IF(F229&lt;=4*F115,F233,"TEST SHALL BE DONE AS PER IS 801:1975 CL.9"))</f>
        <v>264.86709585265174</v>
      </c>
      <c r="G234" s="260"/>
      <c r="H234" s="57" t="s">
        <v>368</v>
      </c>
      <c r="I234" s="66"/>
      <c r="J234" s="65"/>
      <c r="K234" s="66"/>
    </row>
    <row r="235" spans="1:11">
      <c r="A235" s="65"/>
      <c r="D235" s="214"/>
      <c r="F235" s="21"/>
      <c r="G235" s="21"/>
      <c r="I235" s="66"/>
      <c r="J235" s="65"/>
      <c r="K235" s="66"/>
    </row>
    <row r="236" spans="1:11">
      <c r="A236" s="65"/>
      <c r="B236" s="54" t="s">
        <v>372</v>
      </c>
      <c r="D236" s="214"/>
      <c r="F236" s="21"/>
      <c r="G236" s="21"/>
      <c r="I236" s="66"/>
      <c r="J236" s="65" t="s">
        <v>359</v>
      </c>
      <c r="K236" s="66"/>
    </row>
    <row r="237" spans="1:11">
      <c r="A237" s="65"/>
      <c r="B237" s="54" t="s">
        <v>361</v>
      </c>
      <c r="D237" s="214"/>
      <c r="F237" s="21"/>
      <c r="G237" s="21"/>
      <c r="I237" s="66"/>
      <c r="J237" s="65"/>
      <c r="K237" s="66"/>
    </row>
    <row r="238" spans="1:11" ht="44.25" customHeight="1">
      <c r="A238" s="65"/>
      <c r="D238" s="214" t="s">
        <v>362</v>
      </c>
      <c r="E238" s="215" t="s">
        <v>40</v>
      </c>
      <c r="F238" s="261" t="s">
        <v>373</v>
      </c>
      <c r="G238" s="261"/>
      <c r="H238" s="261"/>
      <c r="I238" s="262"/>
      <c r="J238" s="220" t="s">
        <v>359</v>
      </c>
      <c r="K238" s="66"/>
    </row>
    <row r="239" spans="1:11" ht="14.25">
      <c r="A239" s="65"/>
      <c r="D239" s="214" t="s">
        <v>362</v>
      </c>
      <c r="E239" s="56" t="s">
        <v>40</v>
      </c>
      <c r="F239" s="240">
        <f>(70*F115^2*(305+2.3*(F227/F115)-0.009*(F227/F115)*F116-0.5*F116)*(1.22-0.22*(F120/2320))*(F120/2320))</f>
        <v>589.45462058333976</v>
      </c>
      <c r="G239" s="240"/>
      <c r="H239" s="57" t="s">
        <v>368</v>
      </c>
      <c r="I239" s="66"/>
      <c r="J239" s="65"/>
      <c r="K239" s="66"/>
    </row>
    <row r="240" spans="1:11">
      <c r="A240" s="65"/>
      <c r="D240" s="214"/>
      <c r="F240" s="21"/>
      <c r="G240" s="21"/>
      <c r="I240" s="66"/>
      <c r="J240" s="65"/>
      <c r="K240" s="66"/>
    </row>
    <row r="241" spans="1:11" ht="14.25">
      <c r="A241" s="65"/>
      <c r="B241" s="54" t="s">
        <v>369</v>
      </c>
      <c r="D241" s="214" t="s">
        <v>362</v>
      </c>
      <c r="E241" s="56" t="s">
        <v>40</v>
      </c>
      <c r="F241" s="43" t="s">
        <v>374</v>
      </c>
      <c r="G241" s="43"/>
      <c r="I241" s="66"/>
      <c r="J241" s="220" t="s">
        <v>359</v>
      </c>
      <c r="K241" s="66"/>
    </row>
    <row r="242" spans="1:11">
      <c r="A242" s="65"/>
      <c r="D242" s="214"/>
      <c r="E242" s="56" t="s">
        <v>40</v>
      </c>
      <c r="F242" s="260">
        <f>F239*(1.06-0.06*F229/F115)</f>
        <v>571.77098196583961</v>
      </c>
      <c r="G242" s="260"/>
      <c r="H242" s="57" t="s">
        <v>368</v>
      </c>
      <c r="I242" s="66"/>
      <c r="J242" s="65"/>
      <c r="K242" s="66"/>
    </row>
    <row r="243" spans="1:11" ht="14.25">
      <c r="A243" s="65"/>
      <c r="D243" s="214" t="s">
        <v>362</v>
      </c>
      <c r="E243" s="56" t="s">
        <v>40</v>
      </c>
      <c r="F243" s="260">
        <f>IF(F229&lt;=F115,F239,IF(F229&lt;=4*F115,F242,"TEST SHALL BE DONE AS PER IS 801:1975 CL.9"))</f>
        <v>571.77098196583961</v>
      </c>
      <c r="G243" s="260"/>
      <c r="H243" s="57" t="s">
        <v>368</v>
      </c>
      <c r="I243" s="66"/>
      <c r="J243" s="65"/>
      <c r="K243" s="66"/>
    </row>
    <row r="244" spans="1:11">
      <c r="A244" s="65"/>
      <c r="D244" s="214"/>
      <c r="F244" s="171"/>
      <c r="G244" s="171"/>
      <c r="I244" s="66"/>
      <c r="J244" s="65"/>
      <c r="K244" s="66"/>
    </row>
    <row r="245" spans="1:11" ht="14.25">
      <c r="A245" s="65"/>
      <c r="B245" s="54" t="s">
        <v>371</v>
      </c>
      <c r="D245" s="214" t="s">
        <v>362</v>
      </c>
      <c r="E245" s="56" t="s">
        <v>40</v>
      </c>
      <c r="F245" s="260">
        <f>IF(F57=T104,F234,F243)</f>
        <v>571.77098196583961</v>
      </c>
      <c r="G245" s="260"/>
      <c r="H245" s="57" t="s">
        <v>368</v>
      </c>
      <c r="I245" s="66"/>
      <c r="J245" s="65" t="s">
        <v>375</v>
      </c>
      <c r="K245" s="66"/>
    </row>
    <row r="246" spans="1:11">
      <c r="A246" s="65"/>
      <c r="D246" s="214"/>
      <c r="F246" s="21"/>
      <c r="G246" s="21"/>
      <c r="I246" s="66"/>
      <c r="J246" s="65"/>
      <c r="K246" s="66"/>
    </row>
    <row r="247" spans="1:11">
      <c r="A247" s="65"/>
      <c r="B247" s="245" t="s">
        <v>376</v>
      </c>
      <c r="C247" s="245"/>
      <c r="D247" s="245"/>
      <c r="E247" s="245"/>
      <c r="F247" s="245"/>
      <c r="G247" s="245"/>
      <c r="H247" s="245"/>
      <c r="I247" s="246"/>
      <c r="J247" s="65"/>
      <c r="K247" s="66"/>
    </row>
    <row r="248" spans="1:11">
      <c r="A248" s="65"/>
      <c r="B248" s="54" t="s">
        <v>377</v>
      </c>
      <c r="D248" s="214"/>
      <c r="F248" s="21"/>
      <c r="G248" s="21"/>
      <c r="I248" s="66"/>
      <c r="J248" s="220" t="s">
        <v>378</v>
      </c>
      <c r="K248" s="66"/>
    </row>
    <row r="249" spans="1:11" ht="16.5">
      <c r="A249" s="65"/>
      <c r="D249" s="214" t="s">
        <v>362</v>
      </c>
      <c r="E249" s="56" t="s">
        <v>40</v>
      </c>
      <c r="F249" s="51" t="s">
        <v>379</v>
      </c>
      <c r="G249" s="51"/>
      <c r="I249" s="66"/>
      <c r="J249" s="220" t="s">
        <v>378</v>
      </c>
      <c r="K249" s="66"/>
    </row>
    <row r="250" spans="1:11">
      <c r="A250" s="65"/>
      <c r="D250" s="214"/>
      <c r="E250" s="56" t="s">
        <v>40</v>
      </c>
      <c r="F250" s="240">
        <f>F115^2*F120*(4.44+0.558*SQRT(F227/F115))</f>
        <v>649.25225417762852</v>
      </c>
      <c r="G250" s="240"/>
      <c r="H250" s="57" t="s">
        <v>368</v>
      </c>
      <c r="I250" s="66"/>
      <c r="J250" s="65"/>
      <c r="K250" s="66"/>
    </row>
    <row r="251" spans="1:11">
      <c r="A251" s="65"/>
      <c r="D251" s="214"/>
      <c r="F251" s="240"/>
      <c r="G251" s="240"/>
      <c r="I251" s="66"/>
      <c r="J251" s="65"/>
      <c r="K251" s="66"/>
    </row>
    <row r="252" spans="1:11">
      <c r="A252" s="65"/>
      <c r="B252" s="54" t="s">
        <v>372</v>
      </c>
      <c r="D252" s="214"/>
      <c r="F252" s="43"/>
      <c r="G252" s="43"/>
      <c r="I252" s="66"/>
      <c r="J252" s="220" t="s">
        <v>378</v>
      </c>
      <c r="K252" s="66"/>
    </row>
    <row r="253" spans="1:11" ht="16.5">
      <c r="A253" s="65"/>
      <c r="D253" s="214" t="s">
        <v>362</v>
      </c>
      <c r="E253" s="56" t="s">
        <v>40</v>
      </c>
      <c r="F253" s="51" t="s">
        <v>380</v>
      </c>
      <c r="G253" s="43"/>
      <c r="I253" s="66"/>
      <c r="J253" s="220" t="s">
        <v>378</v>
      </c>
      <c r="K253" s="66"/>
    </row>
    <row r="254" spans="1:11">
      <c r="A254" s="65"/>
      <c r="D254" s="214"/>
      <c r="E254" s="56" t="s">
        <v>40</v>
      </c>
      <c r="F254" s="240">
        <f>F115^2*F120*(6.66+1.146*SQRT(F227/F115))</f>
        <v>1134.9092117711398</v>
      </c>
      <c r="G254" s="240"/>
      <c r="H254" s="57" t="s">
        <v>368</v>
      </c>
      <c r="I254" s="66"/>
      <c r="J254" s="65"/>
      <c r="K254" s="66"/>
    </row>
    <row r="255" spans="1:11">
      <c r="A255" s="65"/>
      <c r="D255" s="214"/>
      <c r="F255" s="240"/>
      <c r="G255" s="240"/>
      <c r="I255" s="66"/>
      <c r="J255" s="65"/>
      <c r="K255" s="66"/>
    </row>
    <row r="256" spans="1:11" ht="14.25">
      <c r="A256" s="65"/>
      <c r="B256" s="54" t="s">
        <v>371</v>
      </c>
      <c r="D256" s="214" t="s">
        <v>362</v>
      </c>
      <c r="E256" s="56" t="s">
        <v>40</v>
      </c>
      <c r="F256" s="260">
        <f>IF(F24=Q29,F250,F254)</f>
        <v>1134.9092117711398</v>
      </c>
      <c r="G256" s="260"/>
      <c r="H256" s="57" t="s">
        <v>368</v>
      </c>
      <c r="I256" s="66"/>
      <c r="J256" s="65" t="s">
        <v>381</v>
      </c>
      <c r="K256" s="66"/>
    </row>
    <row r="257" spans="1:32">
      <c r="A257" s="65"/>
      <c r="D257" s="214"/>
      <c r="F257" s="240"/>
      <c r="G257" s="240"/>
      <c r="I257" s="66"/>
      <c r="J257" s="65"/>
      <c r="K257" s="66"/>
    </row>
    <row r="258" spans="1:32" ht="14.25">
      <c r="A258" s="65"/>
      <c r="B258" s="54" t="s">
        <v>371</v>
      </c>
      <c r="D258" s="214" t="s">
        <v>362</v>
      </c>
      <c r="E258" s="56" t="s">
        <v>40</v>
      </c>
      <c r="F258" s="260">
        <f>IF(F24=Q29,F256,F245)</f>
        <v>571.77098196583961</v>
      </c>
      <c r="G258" s="260"/>
      <c r="H258" s="57" t="s">
        <v>368</v>
      </c>
      <c r="I258" s="66"/>
      <c r="J258" s="65"/>
      <c r="K258" s="66"/>
    </row>
    <row r="259" spans="1:32">
      <c r="A259" s="65"/>
      <c r="B259" s="54" t="s">
        <v>382</v>
      </c>
      <c r="D259" s="55" t="s">
        <v>383</v>
      </c>
      <c r="E259" s="56" t="s">
        <v>40</v>
      </c>
      <c r="F259" s="259">
        <f>F17*1000/9.81</f>
        <v>163.50662589194698</v>
      </c>
      <c r="G259" s="259"/>
      <c r="H259" s="57" t="s">
        <v>368</v>
      </c>
      <c r="I259" s="66"/>
      <c r="J259" s="65"/>
      <c r="K259" s="66"/>
    </row>
    <row r="260" spans="1:32">
      <c r="A260" s="65"/>
      <c r="F260" s="241" t="str">
        <f>IF(F259&lt;=F258,"PASS","FAIL")</f>
        <v>PASS</v>
      </c>
      <c r="G260" s="241"/>
      <c r="I260" s="66"/>
      <c r="J260" s="65"/>
      <c r="K260" s="66"/>
    </row>
    <row r="261" spans="1:32">
      <c r="A261" s="65"/>
      <c r="F261" s="240"/>
      <c r="G261" s="240"/>
      <c r="I261" s="66"/>
      <c r="J261" s="65"/>
      <c r="K261" s="66"/>
    </row>
    <row r="262" spans="1:32">
      <c r="A262" s="65"/>
      <c r="B262" s="108" t="s">
        <v>384</v>
      </c>
      <c r="F262" s="21"/>
      <c r="G262" s="21"/>
      <c r="I262" s="66"/>
      <c r="J262" s="65" t="s">
        <v>385</v>
      </c>
      <c r="K262" s="66"/>
      <c r="AF262" s="2"/>
    </row>
    <row r="263" spans="1:32">
      <c r="A263" s="65"/>
      <c r="B263" s="108" t="s">
        <v>386</v>
      </c>
      <c r="F263" s="21"/>
      <c r="G263" s="21"/>
      <c r="I263" s="66"/>
      <c r="J263" s="65" t="s">
        <v>387</v>
      </c>
      <c r="K263" s="66"/>
      <c r="AF263" s="2"/>
    </row>
    <row r="264" spans="1:32">
      <c r="A264" s="65"/>
      <c r="B264" s="54" t="s">
        <v>388</v>
      </c>
      <c r="F264" s="21"/>
      <c r="G264" s="21"/>
      <c r="I264" s="66"/>
      <c r="J264" s="65"/>
      <c r="K264" s="66"/>
      <c r="AF264" s="2"/>
    </row>
    <row r="265" spans="1:32" ht="14.25">
      <c r="A265" s="65"/>
      <c r="B265" s="54" t="s">
        <v>389</v>
      </c>
      <c r="F265" s="21"/>
      <c r="G265" s="21"/>
      <c r="I265" s="66"/>
      <c r="J265" s="65"/>
      <c r="K265" s="66"/>
      <c r="AF265" s="2"/>
    </row>
    <row r="266" spans="1:32" ht="14.25">
      <c r="A266" s="65"/>
      <c r="D266" s="55" t="s">
        <v>390</v>
      </c>
      <c r="E266" s="56" t="s">
        <v>40</v>
      </c>
      <c r="F266" s="21"/>
      <c r="G266" s="21"/>
      <c r="I266" s="66"/>
      <c r="J266" s="65" t="s">
        <v>387</v>
      </c>
      <c r="K266" s="66"/>
      <c r="AF266" s="2"/>
    </row>
    <row r="267" spans="1:32">
      <c r="A267" s="65"/>
      <c r="F267" s="21"/>
      <c r="G267" s="21"/>
      <c r="I267" s="66"/>
      <c r="J267" s="65"/>
      <c r="K267" s="66"/>
      <c r="AF267" s="2"/>
    </row>
    <row r="268" spans="1:32">
      <c r="A268" s="65"/>
      <c r="E268" s="56" t="s">
        <v>40</v>
      </c>
      <c r="F268" s="21"/>
      <c r="G268" s="21"/>
      <c r="I268" s="66"/>
      <c r="J268" s="65" t="s">
        <v>387</v>
      </c>
      <c r="K268" s="66"/>
      <c r="AF268" s="2"/>
    </row>
    <row r="269" spans="1:32">
      <c r="A269" s="65"/>
      <c r="F269" s="21"/>
      <c r="G269" s="21"/>
      <c r="I269" s="66"/>
      <c r="J269" s="65"/>
      <c r="K269" s="66"/>
      <c r="AF269" s="2"/>
    </row>
    <row r="270" spans="1:32">
      <c r="A270" s="65"/>
      <c r="B270" s="54" t="s">
        <v>291</v>
      </c>
      <c r="F270" s="21"/>
      <c r="G270" s="21"/>
      <c r="I270" s="66"/>
      <c r="J270" s="65"/>
      <c r="K270" s="66"/>
      <c r="AF270" s="2"/>
    </row>
    <row r="271" spans="1:32" s="2" customFormat="1" ht="16.5">
      <c r="A271" s="65"/>
      <c r="B271" s="54"/>
      <c r="C271" s="54"/>
      <c r="D271" s="55" t="s">
        <v>391</v>
      </c>
      <c r="E271" s="56" t="s">
        <v>40</v>
      </c>
      <c r="F271" s="51" t="s">
        <v>392</v>
      </c>
      <c r="G271" s="51"/>
      <c r="H271" s="57"/>
      <c r="I271" s="66"/>
      <c r="J271" s="65"/>
      <c r="K271" s="66"/>
      <c r="Q271" s="54"/>
      <c r="R271" s="54"/>
      <c r="S271" s="54"/>
      <c r="T271" s="54"/>
      <c r="U271" s="54"/>
      <c r="V271" s="54"/>
      <c r="W271" s="54"/>
      <c r="X271" s="54"/>
      <c r="Y271" s="54"/>
      <c r="Z271" s="54"/>
      <c r="AA271" s="54"/>
      <c r="AB271" s="54"/>
      <c r="AC271" s="54"/>
      <c r="AD271" s="54"/>
      <c r="AE271" s="54"/>
    </row>
    <row r="272" spans="1:32" s="2" customFormat="1">
      <c r="A272" s="65"/>
      <c r="B272" s="54"/>
      <c r="C272" s="54"/>
      <c r="D272" s="55"/>
      <c r="E272" s="56" t="s">
        <v>40</v>
      </c>
      <c r="F272" s="240">
        <f>SQRT(2*PI()^2*F152/F120)</f>
        <v>85.452034172989812</v>
      </c>
      <c r="G272" s="240"/>
      <c r="H272" s="57"/>
      <c r="I272" s="66"/>
      <c r="J272" s="65"/>
      <c r="K272" s="66"/>
    </row>
    <row r="273" spans="1:32" s="2" customFormat="1">
      <c r="A273" s="65"/>
      <c r="B273" s="54" t="s">
        <v>393</v>
      </c>
      <c r="C273" s="54"/>
      <c r="D273" s="55" t="s">
        <v>383</v>
      </c>
      <c r="E273" s="56" t="s">
        <v>40</v>
      </c>
      <c r="F273" s="240">
        <f>F16*1000/9.81</f>
        <v>1885.8307849133537</v>
      </c>
      <c r="G273" s="240"/>
      <c r="H273" s="57" t="s">
        <v>368</v>
      </c>
      <c r="I273" s="66"/>
      <c r="J273" s="65"/>
      <c r="K273" s="66"/>
    </row>
    <row r="274" spans="1:32" s="2" customFormat="1">
      <c r="A274" s="65"/>
      <c r="B274" s="54" t="s">
        <v>394</v>
      </c>
      <c r="C274" s="54"/>
      <c r="D274" s="55" t="s">
        <v>253</v>
      </c>
      <c r="E274" s="56" t="s">
        <v>40</v>
      </c>
      <c r="F274" s="240">
        <f>MIN(F35,F36)</f>
        <v>1.9072116134943562</v>
      </c>
      <c r="G274" s="240"/>
      <c r="H274" s="25" t="s">
        <v>104</v>
      </c>
      <c r="I274" s="66"/>
      <c r="J274" s="65" t="s">
        <v>395</v>
      </c>
      <c r="K274" s="66"/>
    </row>
    <row r="275" spans="1:32" s="2" customFormat="1" ht="16.5">
      <c r="A275" s="65"/>
      <c r="B275" s="2" t="s">
        <v>396</v>
      </c>
      <c r="D275" s="19" t="s">
        <v>397</v>
      </c>
      <c r="E275" s="56" t="s">
        <v>40</v>
      </c>
      <c r="F275" s="259">
        <v>1.9332479999999999</v>
      </c>
      <c r="G275" s="259"/>
      <c r="H275" s="57" t="s">
        <v>96</v>
      </c>
      <c r="I275" s="66"/>
      <c r="J275" s="65"/>
      <c r="K275" s="66"/>
      <c r="AF275" s="54"/>
    </row>
    <row r="276" spans="1:32" s="2" customFormat="1">
      <c r="A276" s="65"/>
      <c r="B276" s="54"/>
      <c r="C276" s="54"/>
      <c r="D276" s="55"/>
      <c r="E276" s="56"/>
      <c r="F276" s="240"/>
      <c r="G276" s="240"/>
      <c r="H276" s="57"/>
      <c r="I276" s="66"/>
      <c r="J276" s="65"/>
      <c r="K276" s="66"/>
      <c r="AF276" s="54"/>
    </row>
    <row r="277" spans="1:32" s="2" customFormat="1" ht="14.25">
      <c r="A277" s="65"/>
      <c r="B277" s="54" t="s">
        <v>398</v>
      </c>
      <c r="C277" s="54"/>
      <c r="D277" s="55" t="s">
        <v>399</v>
      </c>
      <c r="E277" s="56" t="s">
        <v>40</v>
      </c>
      <c r="F277" s="240" t="s">
        <v>400</v>
      </c>
      <c r="G277" s="240"/>
      <c r="H277" s="57"/>
      <c r="I277" s="66"/>
      <c r="J277" s="65"/>
      <c r="K277" s="66"/>
      <c r="AF277" s="54"/>
    </row>
    <row r="278" spans="1:32" s="2" customFormat="1">
      <c r="A278" s="65"/>
      <c r="B278" s="54"/>
      <c r="C278" s="54"/>
      <c r="D278" s="55"/>
      <c r="E278" s="56" t="s">
        <v>40</v>
      </c>
      <c r="F278" s="240">
        <f>F275/F31</f>
        <v>0.83871930585683285</v>
      </c>
      <c r="G278" s="240"/>
      <c r="H278" s="57"/>
      <c r="I278" s="66"/>
      <c r="J278" s="65"/>
      <c r="K278" s="66"/>
      <c r="AF278" s="54"/>
    </row>
    <row r="279" spans="1:32" s="2" customFormat="1">
      <c r="A279" s="65"/>
      <c r="B279" s="54" t="s">
        <v>401</v>
      </c>
      <c r="C279" s="54"/>
      <c r="D279" s="55" t="s">
        <v>309</v>
      </c>
      <c r="E279" s="56" t="s">
        <v>40</v>
      </c>
      <c r="F279" s="240">
        <f>VLOOKUP(F274,U113:V114,2,FALSE)*F148/F274</f>
        <v>5.2432566628923745</v>
      </c>
      <c r="G279" s="240"/>
      <c r="H279" s="57"/>
      <c r="I279" s="66"/>
      <c r="J279" s="65"/>
      <c r="K279" s="66"/>
      <c r="AF279" s="54"/>
    </row>
    <row r="280" spans="1:32" s="2" customFormat="1">
      <c r="A280" s="65"/>
      <c r="B280" s="54"/>
      <c r="C280" s="54"/>
      <c r="D280" s="55"/>
      <c r="E280" s="56"/>
      <c r="F280" s="240"/>
      <c r="G280" s="240"/>
      <c r="H280" s="57"/>
      <c r="I280" s="66"/>
      <c r="J280" s="65"/>
      <c r="K280" s="66"/>
      <c r="AF280" s="54"/>
    </row>
    <row r="281" spans="1:32" s="2" customFormat="1" ht="16.5">
      <c r="A281" s="65"/>
      <c r="B281" s="54"/>
      <c r="C281" s="54"/>
      <c r="D281" s="55" t="s">
        <v>390</v>
      </c>
      <c r="E281" s="56" t="s">
        <v>40</v>
      </c>
      <c r="F281" s="240">
        <f>(0.522*F278*F120)-((F278*F120*F279)/12500)^2</f>
        <v>2450.7100603194531</v>
      </c>
      <c r="G281" s="240"/>
      <c r="H281" s="98" t="s">
        <v>192</v>
      </c>
      <c r="I281" s="66"/>
      <c r="J281" s="65"/>
      <c r="K281" s="66"/>
      <c r="AF281" s="54"/>
    </row>
    <row r="282" spans="1:32" s="2" customFormat="1">
      <c r="A282" s="65"/>
      <c r="B282" s="54"/>
      <c r="C282" s="54"/>
      <c r="D282" s="55"/>
      <c r="E282" s="56"/>
      <c r="F282" s="240"/>
      <c r="G282" s="240"/>
      <c r="H282" s="57"/>
      <c r="I282" s="66"/>
      <c r="J282" s="65"/>
      <c r="K282" s="66"/>
      <c r="AF282" s="54"/>
    </row>
    <row r="283" spans="1:32" s="2" customFormat="1" ht="14.25">
      <c r="A283" s="65"/>
      <c r="B283" s="54" t="s">
        <v>402</v>
      </c>
      <c r="C283" s="54"/>
      <c r="D283" s="55" t="s">
        <v>390</v>
      </c>
      <c r="E283" s="56" t="s">
        <v>40</v>
      </c>
      <c r="F283" s="240"/>
      <c r="G283" s="240"/>
      <c r="H283" s="57"/>
      <c r="I283" s="66"/>
      <c r="J283" s="65" t="s">
        <v>387</v>
      </c>
      <c r="K283" s="66"/>
      <c r="AF283" s="54"/>
    </row>
    <row r="284" spans="1:32">
      <c r="A284" s="65"/>
      <c r="D284" s="2"/>
      <c r="E284" s="2"/>
      <c r="F284" s="2"/>
      <c r="G284" s="2"/>
      <c r="I284" s="66"/>
      <c r="J284" s="65"/>
      <c r="K284" s="66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</row>
    <row r="285" spans="1:32">
      <c r="A285" s="65"/>
      <c r="E285" s="56" t="s">
        <v>40</v>
      </c>
      <c r="F285" s="240"/>
      <c r="G285" s="240"/>
      <c r="I285" s="66"/>
      <c r="J285" s="65" t="s">
        <v>387</v>
      </c>
      <c r="K285" s="66"/>
    </row>
    <row r="286" spans="1:32">
      <c r="A286" s="65"/>
      <c r="F286" s="240"/>
      <c r="G286" s="240"/>
      <c r="I286" s="66"/>
      <c r="J286" s="65"/>
      <c r="K286" s="66"/>
    </row>
    <row r="287" spans="1:32" ht="15.75">
      <c r="A287" s="65"/>
      <c r="E287" s="56" t="s">
        <v>40</v>
      </c>
      <c r="F287" s="240">
        <f>10680000/(F279^2)</f>
        <v>388480.31560757925</v>
      </c>
      <c r="G287" s="240"/>
      <c r="H287" s="98" t="s">
        <v>192</v>
      </c>
      <c r="I287" s="66"/>
      <c r="J287" s="65"/>
      <c r="K287" s="66"/>
    </row>
    <row r="288" spans="1:32">
      <c r="A288" s="65"/>
      <c r="F288" s="240"/>
      <c r="G288" s="240"/>
      <c r="I288" s="66"/>
      <c r="J288" s="65"/>
      <c r="K288" s="66"/>
    </row>
    <row r="289" spans="1:11">
      <c r="A289" s="65"/>
      <c r="B289" s="54" t="s">
        <v>403</v>
      </c>
      <c r="F289" s="240"/>
      <c r="G289" s="240"/>
      <c r="I289" s="66"/>
      <c r="J289" s="65"/>
      <c r="K289" s="66"/>
    </row>
    <row r="290" spans="1:11" ht="16.5">
      <c r="A290" s="79"/>
      <c r="B290" s="74"/>
      <c r="C290" s="74"/>
      <c r="D290" s="221" t="s">
        <v>390</v>
      </c>
      <c r="E290" s="222" t="s">
        <v>40</v>
      </c>
      <c r="F290" s="258">
        <f>IF(F279&lt;(F272/SQRT(F278)),F281,F287)</f>
        <v>2450.7100603194531</v>
      </c>
      <c r="G290" s="258"/>
      <c r="H290" s="223" t="s">
        <v>192</v>
      </c>
      <c r="I290" s="80"/>
      <c r="J290" s="79"/>
      <c r="K290" s="80"/>
    </row>
    <row r="291" spans="1:11">
      <c r="A291" s="87"/>
      <c r="B291" s="82" t="s">
        <v>404</v>
      </c>
      <c r="C291" s="82"/>
      <c r="D291" s="83"/>
      <c r="E291" s="84"/>
      <c r="F291" s="257"/>
      <c r="G291" s="257"/>
      <c r="H291" s="85"/>
      <c r="I291" s="88"/>
      <c r="J291" s="87"/>
      <c r="K291" s="88"/>
    </row>
    <row r="292" spans="1:11" ht="14.25">
      <c r="A292" s="65"/>
      <c r="D292" s="55" t="s">
        <v>405</v>
      </c>
      <c r="E292" s="56" t="s">
        <v>40</v>
      </c>
      <c r="F292" s="240" t="s">
        <v>406</v>
      </c>
      <c r="G292" s="240"/>
      <c r="I292" s="66"/>
      <c r="J292" s="65" t="s">
        <v>407</v>
      </c>
      <c r="K292" s="66"/>
    </row>
    <row r="293" spans="1:11" ht="14.25">
      <c r="A293" s="65"/>
      <c r="E293" s="56" t="s">
        <v>40</v>
      </c>
      <c r="F293" s="240" t="s">
        <v>408</v>
      </c>
      <c r="G293" s="240"/>
      <c r="I293" s="66"/>
      <c r="J293" s="65"/>
      <c r="K293" s="66"/>
    </row>
    <row r="294" spans="1:11" ht="16.5">
      <c r="A294" s="65"/>
      <c r="D294" s="205" t="s">
        <v>405</v>
      </c>
      <c r="E294" s="206" t="s">
        <v>40</v>
      </c>
      <c r="F294" s="249">
        <f>ABS(F16*1000/9.81)/F31</f>
        <v>818.1478459493942</v>
      </c>
      <c r="G294" s="249"/>
      <c r="H294" s="174" t="s">
        <v>192</v>
      </c>
      <c r="I294" s="66"/>
      <c r="J294" s="65"/>
      <c r="K294" s="66"/>
    </row>
    <row r="295" spans="1:11">
      <c r="A295" s="65"/>
      <c r="B295" s="108"/>
      <c r="F295" s="241" t="str">
        <f>IF(F294&lt;=F290,"PASS","FAIL")</f>
        <v>PASS</v>
      </c>
      <c r="G295" s="241"/>
      <c r="H295" s="98"/>
      <c r="I295" s="66"/>
      <c r="J295" s="65"/>
      <c r="K295" s="66"/>
    </row>
    <row r="296" spans="1:11">
      <c r="A296" s="65"/>
      <c r="B296" s="108"/>
      <c r="F296" s="21"/>
      <c r="G296" s="21"/>
      <c r="H296" s="98"/>
      <c r="I296" s="66"/>
      <c r="J296" s="65"/>
      <c r="K296" s="66"/>
    </row>
    <row r="297" spans="1:11" ht="42" customHeight="1">
      <c r="A297" s="65"/>
      <c r="B297" s="245" t="s">
        <v>409</v>
      </c>
      <c r="C297" s="245"/>
      <c r="D297" s="245"/>
      <c r="E297" s="245"/>
      <c r="F297" s="245"/>
      <c r="G297" s="245"/>
      <c r="H297" s="245"/>
      <c r="I297" s="246"/>
      <c r="J297" s="220" t="s">
        <v>410</v>
      </c>
      <c r="K297" s="66"/>
    </row>
    <row r="298" spans="1:11">
      <c r="A298" s="65"/>
      <c r="B298" s="54" t="s">
        <v>388</v>
      </c>
      <c r="F298" s="21"/>
      <c r="G298" s="21"/>
      <c r="H298" s="98"/>
      <c r="I298" s="66"/>
      <c r="J298" s="65"/>
      <c r="K298" s="66"/>
    </row>
    <row r="299" spans="1:11" ht="14.25">
      <c r="A299" s="65"/>
      <c r="B299" s="108" t="s">
        <v>411</v>
      </c>
      <c r="F299" s="21"/>
      <c r="G299" s="21"/>
      <c r="H299" s="98"/>
      <c r="I299" s="66"/>
      <c r="J299" s="65"/>
      <c r="K299" s="66"/>
    </row>
    <row r="300" spans="1:11" ht="14.25">
      <c r="A300" s="65"/>
      <c r="B300" s="108"/>
      <c r="D300" s="214" t="s">
        <v>412</v>
      </c>
      <c r="E300" s="215" t="s">
        <v>40</v>
      </c>
      <c r="F300" s="240"/>
      <c r="G300" s="240"/>
      <c r="H300" s="98"/>
      <c r="I300" s="66"/>
      <c r="J300" s="220" t="s">
        <v>410</v>
      </c>
      <c r="K300" s="66"/>
    </row>
    <row r="301" spans="1:11">
      <c r="A301" s="65"/>
      <c r="B301" s="108"/>
      <c r="F301" s="240"/>
      <c r="G301" s="240"/>
      <c r="H301" s="98"/>
      <c r="I301" s="66"/>
      <c r="J301" s="65"/>
      <c r="K301" s="66"/>
    </row>
    <row r="302" spans="1:11">
      <c r="A302" s="65"/>
      <c r="B302" s="54" t="s">
        <v>291</v>
      </c>
      <c r="F302" s="240"/>
      <c r="G302" s="240"/>
      <c r="H302" s="98"/>
      <c r="I302" s="66"/>
      <c r="J302" s="65"/>
      <c r="K302" s="66"/>
    </row>
    <row r="303" spans="1:11" ht="14.25">
      <c r="A303" s="65"/>
      <c r="B303" s="247" t="s">
        <v>413</v>
      </c>
      <c r="C303" s="247"/>
      <c r="D303" s="54" t="s">
        <v>414</v>
      </c>
      <c r="F303" s="240"/>
      <c r="G303" s="240"/>
      <c r="H303" s="98"/>
      <c r="I303" s="66"/>
      <c r="J303" s="65"/>
      <c r="K303" s="66"/>
    </row>
    <row r="304" spans="1:11">
      <c r="A304" s="65"/>
      <c r="B304" s="108" t="s">
        <v>415</v>
      </c>
      <c r="F304" s="240"/>
      <c r="G304" s="240"/>
      <c r="H304" s="98"/>
      <c r="I304" s="66"/>
      <c r="J304" s="220" t="s">
        <v>410</v>
      </c>
      <c r="K304" s="66"/>
    </row>
    <row r="305" spans="1:44" ht="14.25">
      <c r="A305" s="65"/>
      <c r="B305" s="108"/>
      <c r="D305" s="224" t="s">
        <v>414</v>
      </c>
      <c r="E305" s="215" t="s">
        <v>40</v>
      </c>
      <c r="F305" s="255" t="s">
        <v>416</v>
      </c>
      <c r="G305" s="255"/>
      <c r="H305" s="255"/>
      <c r="I305" s="256"/>
      <c r="J305" s="220" t="s">
        <v>410</v>
      </c>
      <c r="K305" s="66"/>
      <c r="AI305" s="181"/>
    </row>
    <row r="306" spans="1:44">
      <c r="A306" s="65"/>
      <c r="B306" s="54" t="s">
        <v>291</v>
      </c>
      <c r="F306" s="240"/>
      <c r="G306" s="240"/>
      <c r="H306" s="98"/>
      <c r="I306" s="66"/>
      <c r="J306" s="65"/>
      <c r="K306" s="66"/>
      <c r="T306" s="181"/>
    </row>
    <row r="307" spans="1:44" ht="16.5">
      <c r="A307" s="65"/>
      <c r="D307" s="55" t="s">
        <v>417</v>
      </c>
      <c r="E307" s="56" t="s">
        <v>40</v>
      </c>
      <c r="F307" s="51" t="s">
        <v>418</v>
      </c>
      <c r="G307" s="21"/>
      <c r="H307" s="98"/>
      <c r="I307" s="66"/>
      <c r="J307" s="65"/>
      <c r="K307" s="66"/>
    </row>
    <row r="308" spans="1:44">
      <c r="A308" s="65"/>
      <c r="F308" s="21"/>
      <c r="G308" s="21"/>
      <c r="H308" s="98"/>
      <c r="I308" s="66"/>
      <c r="J308" s="65"/>
      <c r="K308" s="66"/>
    </row>
    <row r="309" spans="1:44" ht="14.25">
      <c r="A309" s="65"/>
      <c r="B309" s="108"/>
      <c r="D309" s="55" t="s">
        <v>419</v>
      </c>
      <c r="E309" s="56" t="s">
        <v>40</v>
      </c>
      <c r="F309" s="240"/>
      <c r="G309" s="240"/>
      <c r="H309" s="98"/>
      <c r="I309" s="66"/>
      <c r="J309" s="65"/>
      <c r="K309" s="66"/>
    </row>
    <row r="310" spans="1:44">
      <c r="A310" s="65"/>
      <c r="B310" s="108"/>
      <c r="F310" s="240"/>
      <c r="G310" s="240"/>
      <c r="H310" s="98"/>
      <c r="I310" s="66"/>
      <c r="J310" s="65"/>
      <c r="K310" s="66"/>
    </row>
    <row r="311" spans="1:44">
      <c r="A311" s="65"/>
      <c r="B311" s="108"/>
      <c r="E311" s="56" t="s">
        <v>40</v>
      </c>
      <c r="F311" s="240">
        <f>PI()^2*F152/(F51*F52/F35)^2</f>
        <v>17126.271825929674</v>
      </c>
      <c r="G311" s="240"/>
      <c r="H311" s="98"/>
      <c r="I311" s="66"/>
      <c r="J311" s="65"/>
      <c r="K311" s="66"/>
    </row>
    <row r="312" spans="1:44" ht="14.25">
      <c r="A312" s="65"/>
      <c r="B312" s="108"/>
      <c r="D312" s="55" t="s">
        <v>420</v>
      </c>
      <c r="E312" s="56" t="s">
        <v>40</v>
      </c>
      <c r="F312" s="240"/>
      <c r="G312" s="240"/>
      <c r="H312" s="98"/>
      <c r="I312" s="66"/>
      <c r="J312" s="65"/>
      <c r="K312" s="66"/>
    </row>
    <row r="313" spans="1:44">
      <c r="A313" s="65"/>
      <c r="B313" s="108"/>
      <c r="F313" s="240"/>
      <c r="G313" s="240"/>
      <c r="H313" s="98"/>
      <c r="I313" s="66"/>
      <c r="J313" s="65"/>
      <c r="K313" s="66"/>
    </row>
    <row r="314" spans="1:44">
      <c r="A314" s="65"/>
      <c r="B314" s="54" t="s">
        <v>291</v>
      </c>
      <c r="F314" s="240"/>
      <c r="G314" s="240"/>
      <c r="H314" s="98"/>
      <c r="I314" s="66"/>
      <c r="J314" s="65"/>
      <c r="K314" s="66"/>
    </row>
    <row r="315" spans="1:44" ht="25.5" customHeight="1">
      <c r="A315" s="65"/>
      <c r="B315" s="247" t="s">
        <v>421</v>
      </c>
      <c r="C315" s="247"/>
      <c r="D315" s="214" t="s">
        <v>422</v>
      </c>
      <c r="E315" s="215" t="s">
        <v>40</v>
      </c>
      <c r="F315" s="225" t="s">
        <v>423</v>
      </c>
      <c r="G315" s="225"/>
      <c r="H315" s="98"/>
      <c r="I315" s="66"/>
      <c r="J315" s="65"/>
      <c r="K315" s="66"/>
    </row>
    <row r="316" spans="1:44" ht="15.75">
      <c r="A316" s="65"/>
      <c r="B316" s="54" t="s">
        <v>424</v>
      </c>
      <c r="D316" s="55" t="s">
        <v>425</v>
      </c>
      <c r="E316" s="56" t="s">
        <v>40</v>
      </c>
      <c r="F316" s="242">
        <v>795000</v>
      </c>
      <c r="G316" s="242"/>
      <c r="H316" s="98" t="s">
        <v>192</v>
      </c>
      <c r="I316" s="66"/>
      <c r="J316" s="65"/>
      <c r="K316" s="66"/>
      <c r="T316" s="181"/>
    </row>
    <row r="317" spans="1:44" ht="26.25" customHeight="1">
      <c r="A317" s="65"/>
      <c r="B317" s="247" t="s">
        <v>426</v>
      </c>
      <c r="C317" s="247"/>
      <c r="D317" s="214" t="s">
        <v>427</v>
      </c>
      <c r="E317" s="215" t="s">
        <v>40</v>
      </c>
      <c r="F317" s="254">
        <f>2.648+F34-F320/2</f>
        <v>4.5935178445008953</v>
      </c>
      <c r="G317" s="254"/>
      <c r="H317" s="226" t="s">
        <v>104</v>
      </c>
      <c r="I317" s="66"/>
      <c r="J317" s="65"/>
      <c r="K317" s="66"/>
      <c r="AI317" s="7"/>
    </row>
    <row r="318" spans="1:44" ht="16.5">
      <c r="A318" s="65"/>
      <c r="B318" s="54" t="s">
        <v>428</v>
      </c>
      <c r="D318" s="55" t="s">
        <v>429</v>
      </c>
      <c r="E318" s="56" t="s">
        <v>40</v>
      </c>
      <c r="F318" s="252" t="s">
        <v>430</v>
      </c>
      <c r="G318" s="252"/>
      <c r="H318" s="98"/>
      <c r="I318" s="66"/>
      <c r="J318" s="65"/>
      <c r="K318" s="66"/>
      <c r="AP318" s="227"/>
      <c r="AR318" s="156"/>
    </row>
    <row r="319" spans="1:44" ht="15.75">
      <c r="A319" s="65"/>
      <c r="E319" s="56" t="s">
        <v>40</v>
      </c>
      <c r="F319" s="253">
        <v>1.1065190400000001E-2</v>
      </c>
      <c r="G319" s="253"/>
      <c r="H319" s="98" t="s">
        <v>99</v>
      </c>
      <c r="I319" s="66"/>
      <c r="J319" s="65"/>
      <c r="K319" s="66"/>
      <c r="AR319" s="156"/>
    </row>
    <row r="320" spans="1:44" ht="14.25">
      <c r="A320" s="65"/>
      <c r="B320" s="54" t="s">
        <v>431</v>
      </c>
      <c r="D320" s="55" t="s">
        <v>432</v>
      </c>
      <c r="E320" s="56" t="s">
        <v>40</v>
      </c>
      <c r="F320" s="240">
        <f>F29/10</f>
        <v>0.12</v>
      </c>
      <c r="G320" s="240"/>
      <c r="H320" s="98" t="s">
        <v>104</v>
      </c>
      <c r="I320" s="66"/>
      <c r="J320" s="65"/>
      <c r="K320" s="66"/>
      <c r="AR320" s="156"/>
    </row>
    <row r="321" spans="1:44" ht="14.25">
      <c r="A321" s="65"/>
      <c r="B321" s="54" t="s">
        <v>433</v>
      </c>
      <c r="D321" s="55" t="s">
        <v>434</v>
      </c>
      <c r="E321" s="56" t="s">
        <v>40</v>
      </c>
      <c r="F321" s="240">
        <f>192.104/10</f>
        <v>19.2104</v>
      </c>
      <c r="G321" s="240"/>
      <c r="H321" s="98" t="s">
        <v>104</v>
      </c>
      <c r="I321" s="66"/>
      <c r="J321" s="65"/>
      <c r="K321" s="66"/>
      <c r="AR321" s="156"/>
    </row>
    <row r="322" spans="1:44" ht="16.5">
      <c r="A322" s="65"/>
      <c r="B322" s="54" t="s">
        <v>435</v>
      </c>
      <c r="D322" s="55" t="s">
        <v>123</v>
      </c>
      <c r="E322" s="56" t="s">
        <v>40</v>
      </c>
      <c r="F322" s="240">
        <v>107.9</v>
      </c>
      <c r="G322" s="240"/>
      <c r="H322" s="98" t="s">
        <v>436</v>
      </c>
      <c r="I322" s="66"/>
      <c r="J322" s="65"/>
      <c r="K322" s="66"/>
      <c r="AR322" s="156"/>
    </row>
    <row r="323" spans="1:44">
      <c r="A323" s="65"/>
      <c r="F323" s="240"/>
      <c r="G323" s="240"/>
      <c r="H323" s="98"/>
      <c r="I323" s="66"/>
      <c r="J323" s="65"/>
      <c r="K323" s="66"/>
      <c r="AR323" s="156"/>
    </row>
    <row r="324" spans="1:44" ht="14.25">
      <c r="A324" s="65"/>
      <c r="D324" s="214" t="s">
        <v>422</v>
      </c>
      <c r="E324" s="215" t="s">
        <v>40</v>
      </c>
      <c r="F324" s="240">
        <f>SQRT(F35^2+F36^2+F317^2)</f>
        <v>5.7536566626535688</v>
      </c>
      <c r="G324" s="240"/>
      <c r="H324" s="98" t="s">
        <v>104</v>
      </c>
      <c r="I324" s="66"/>
      <c r="J324" s="65"/>
      <c r="K324" s="66"/>
      <c r="AR324" s="156"/>
    </row>
    <row r="325" spans="1:44">
      <c r="A325" s="65"/>
      <c r="D325" s="55" t="s">
        <v>417</v>
      </c>
      <c r="E325" s="215" t="s">
        <v>40</v>
      </c>
      <c r="F325" s="240">
        <f>1-(F317/F324)^2</f>
        <v>0.36261339809056969</v>
      </c>
      <c r="G325" s="240"/>
      <c r="H325" s="98"/>
      <c r="I325" s="66"/>
      <c r="J325" s="65"/>
      <c r="K325" s="66"/>
    </row>
    <row r="326" spans="1:44" ht="14.25">
      <c r="A326" s="65"/>
      <c r="D326" s="55" t="s">
        <v>420</v>
      </c>
      <c r="E326" s="56" t="s">
        <v>40</v>
      </c>
      <c r="F326" s="240">
        <f>1/(F31*F324^2)*(F316*F319+((PI()^2*F152*F322)/(F53*F54)^2))</f>
        <v>3009.7673385859944</v>
      </c>
      <c r="G326" s="240"/>
      <c r="H326" s="98"/>
      <c r="I326" s="66"/>
      <c r="J326" s="65"/>
      <c r="K326" s="66"/>
      <c r="AL326" s="156"/>
    </row>
    <row r="327" spans="1:44">
      <c r="A327" s="65"/>
      <c r="F327" s="240"/>
      <c r="G327" s="240"/>
      <c r="H327" s="98"/>
      <c r="I327" s="66"/>
      <c r="J327" s="65"/>
      <c r="K327" s="66"/>
    </row>
    <row r="328" spans="1:44" ht="15.75">
      <c r="A328" s="65"/>
      <c r="D328" s="224" t="s">
        <v>414</v>
      </c>
      <c r="E328" s="215" t="s">
        <v>40</v>
      </c>
      <c r="F328" s="240">
        <f>1/(2*F325)*((F311+F326)-(SQRT((F311+F326)^2-(4*F325*F311*F326))))</f>
        <v>2690.2229864669707</v>
      </c>
      <c r="G328" s="240"/>
      <c r="H328" s="98" t="s">
        <v>192</v>
      </c>
      <c r="I328" s="66"/>
      <c r="J328" s="65"/>
      <c r="K328" s="66"/>
    </row>
    <row r="329" spans="1:44">
      <c r="A329" s="65"/>
      <c r="D329" s="224"/>
      <c r="E329" s="215"/>
      <c r="F329" s="21"/>
      <c r="G329" s="21"/>
      <c r="H329" s="98"/>
      <c r="I329" s="66"/>
      <c r="J329" s="65"/>
      <c r="K329" s="66"/>
    </row>
    <row r="330" spans="1:44">
      <c r="A330" s="65"/>
      <c r="B330" s="108" t="s">
        <v>437</v>
      </c>
      <c r="D330" s="224"/>
      <c r="E330" s="215"/>
      <c r="F330" s="21"/>
      <c r="G330" s="21"/>
      <c r="H330" s="98"/>
      <c r="I330" s="66"/>
      <c r="J330" s="220" t="s">
        <v>410</v>
      </c>
      <c r="K330" s="66"/>
    </row>
    <row r="331" spans="1:44" ht="14.25">
      <c r="A331" s="65"/>
      <c r="B331" s="224" t="s">
        <v>438</v>
      </c>
      <c r="D331" s="224"/>
      <c r="E331" s="215"/>
      <c r="F331" s="21"/>
      <c r="G331" s="21"/>
      <c r="H331" s="98"/>
      <c r="I331" s="66"/>
      <c r="J331" s="65"/>
      <c r="K331" s="66"/>
    </row>
    <row r="332" spans="1:44">
      <c r="A332" s="65"/>
      <c r="D332" s="224"/>
      <c r="E332" s="215"/>
      <c r="F332" s="21"/>
      <c r="G332" s="21"/>
      <c r="H332" s="98"/>
      <c r="I332" s="66"/>
      <c r="J332" s="65"/>
      <c r="K332" s="66"/>
    </row>
    <row r="333" spans="1:44" ht="15.75">
      <c r="A333" s="65"/>
      <c r="D333" s="214" t="s">
        <v>412</v>
      </c>
      <c r="E333" s="215" t="s">
        <v>40</v>
      </c>
      <c r="F333" s="240">
        <f>(0.522*F120)-(F120^2/(7.67*F328))</f>
        <v>1403.2413890715777</v>
      </c>
      <c r="G333" s="240"/>
      <c r="H333" s="98" t="s">
        <v>192</v>
      </c>
      <c r="I333" s="66"/>
      <c r="J333" s="65"/>
      <c r="K333" s="66"/>
    </row>
    <row r="334" spans="1:44">
      <c r="A334" s="65"/>
      <c r="D334" s="224"/>
      <c r="E334" s="215"/>
      <c r="F334" s="21"/>
      <c r="G334" s="21"/>
      <c r="H334" s="98"/>
      <c r="I334" s="66"/>
      <c r="J334" s="65"/>
      <c r="K334" s="66"/>
    </row>
    <row r="335" spans="1:44" ht="14.25">
      <c r="A335" s="65"/>
      <c r="B335" s="108" t="s">
        <v>439</v>
      </c>
      <c r="F335" s="21"/>
      <c r="G335" s="21"/>
      <c r="H335" s="98"/>
      <c r="I335" s="66"/>
      <c r="J335" s="65"/>
      <c r="K335" s="66"/>
    </row>
    <row r="336" spans="1:44" ht="14.25">
      <c r="A336" s="65"/>
      <c r="D336" s="214" t="s">
        <v>412</v>
      </c>
      <c r="E336" s="215" t="s">
        <v>40</v>
      </c>
      <c r="F336" s="240" t="s">
        <v>440</v>
      </c>
      <c r="G336" s="240"/>
      <c r="H336" s="98"/>
      <c r="I336" s="66"/>
      <c r="J336" s="65"/>
      <c r="K336" s="66"/>
    </row>
    <row r="337" spans="1:11" ht="15.75">
      <c r="A337" s="65"/>
      <c r="E337" s="56" t="s">
        <v>40</v>
      </c>
      <c r="F337" s="240">
        <f>0.522*F328</f>
        <v>1404.2963989357588</v>
      </c>
      <c r="G337" s="240"/>
      <c r="H337" s="98" t="s">
        <v>192</v>
      </c>
      <c r="I337" s="66"/>
      <c r="J337" s="65"/>
      <c r="K337" s="66"/>
    </row>
    <row r="338" spans="1:11">
      <c r="A338" s="65"/>
      <c r="F338" s="240"/>
      <c r="G338" s="240"/>
      <c r="H338" s="98"/>
      <c r="I338" s="66"/>
      <c r="J338" s="65"/>
      <c r="K338" s="66"/>
    </row>
    <row r="339" spans="1:11">
      <c r="A339" s="65"/>
      <c r="B339" s="54" t="s">
        <v>388</v>
      </c>
      <c r="F339" s="240"/>
      <c r="G339" s="240"/>
      <c r="H339" s="98"/>
      <c r="I339" s="66"/>
      <c r="J339" s="65"/>
      <c r="K339" s="66"/>
    </row>
    <row r="340" spans="1:11" ht="15.75">
      <c r="A340" s="65"/>
      <c r="D340" s="228" t="s">
        <v>412</v>
      </c>
      <c r="E340" s="229" t="s">
        <v>40</v>
      </c>
      <c r="F340" s="249">
        <f>IF(F328&gt;(0.5*F120),F333,F337)</f>
        <v>1404.2963989357588</v>
      </c>
      <c r="G340" s="249"/>
      <c r="H340" s="174" t="s">
        <v>192</v>
      </c>
      <c r="I340" s="66"/>
      <c r="J340" s="65"/>
      <c r="K340" s="66"/>
    </row>
    <row r="341" spans="1:11">
      <c r="A341" s="65"/>
      <c r="F341" s="241" t="str">
        <f>IF(F340&gt;=F294,"PASS","FAIL")</f>
        <v>PASS</v>
      </c>
      <c r="G341" s="241"/>
      <c r="H341" s="98"/>
      <c r="I341" s="66"/>
      <c r="J341" s="65"/>
      <c r="K341" s="66"/>
    </row>
    <row r="342" spans="1:11" ht="46.5" customHeight="1">
      <c r="A342" s="65"/>
      <c r="B342" s="245" t="s">
        <v>441</v>
      </c>
      <c r="C342" s="245"/>
      <c r="D342" s="245"/>
      <c r="E342" s="245"/>
      <c r="F342" s="245"/>
      <c r="G342" s="245"/>
      <c r="H342" s="245"/>
      <c r="I342" s="246"/>
      <c r="J342" s="220" t="s">
        <v>442</v>
      </c>
      <c r="K342" s="66"/>
    </row>
    <row r="343" spans="1:11" ht="14.25">
      <c r="A343" s="79"/>
      <c r="B343" s="230" t="s">
        <v>411</v>
      </c>
      <c r="C343" s="74"/>
      <c r="D343" s="76"/>
      <c r="E343" s="77"/>
      <c r="F343" s="231"/>
      <c r="G343" s="231"/>
      <c r="H343" s="142"/>
      <c r="I343" s="80"/>
      <c r="J343" s="79"/>
      <c r="K343" s="80"/>
    </row>
    <row r="344" spans="1:11" ht="14.25">
      <c r="A344" s="87"/>
      <c r="B344" s="232"/>
      <c r="C344" s="82"/>
      <c r="D344" s="217" t="s">
        <v>412</v>
      </c>
      <c r="E344" s="233" t="s">
        <v>40</v>
      </c>
      <c r="F344" s="250" t="s">
        <v>443</v>
      </c>
      <c r="G344" s="250"/>
      <c r="H344" s="250"/>
      <c r="I344" s="251"/>
      <c r="J344" s="219" t="s">
        <v>442</v>
      </c>
      <c r="K344" s="88"/>
    </row>
    <row r="345" spans="1:11" ht="15.75">
      <c r="A345" s="65"/>
      <c r="E345" s="56" t="s">
        <v>40</v>
      </c>
      <c r="F345" s="240">
        <f>(0.522*F278*F120)-((F278*F120)^2/(7.67*F328))</f>
        <v>1382.9899375098998</v>
      </c>
      <c r="G345" s="240"/>
      <c r="H345" s="98" t="s">
        <v>192</v>
      </c>
      <c r="I345" s="66"/>
      <c r="J345" s="65"/>
      <c r="K345" s="66"/>
    </row>
    <row r="346" spans="1:11" ht="14.25">
      <c r="A346" s="65"/>
      <c r="B346" s="108" t="s">
        <v>439</v>
      </c>
      <c r="F346" s="21"/>
      <c r="G346" s="21"/>
      <c r="H346" s="98"/>
      <c r="I346" s="66"/>
      <c r="J346" s="65"/>
      <c r="K346" s="66"/>
    </row>
    <row r="347" spans="1:11" ht="14.25">
      <c r="A347" s="65"/>
      <c r="D347" s="214" t="s">
        <v>412</v>
      </c>
      <c r="E347" s="215" t="s">
        <v>40</v>
      </c>
      <c r="F347" s="240" t="s">
        <v>440</v>
      </c>
      <c r="G347" s="240"/>
      <c r="H347" s="98"/>
      <c r="I347" s="66"/>
      <c r="J347" s="220" t="s">
        <v>442</v>
      </c>
      <c r="K347" s="66"/>
    </row>
    <row r="348" spans="1:11" ht="15.75">
      <c r="A348" s="65"/>
      <c r="E348" s="215" t="s">
        <v>40</v>
      </c>
      <c r="F348" s="240">
        <f>0.522*F328</f>
        <v>1404.2963989357588</v>
      </c>
      <c r="G348" s="240"/>
      <c r="H348" s="98" t="s">
        <v>192</v>
      </c>
      <c r="I348" s="66"/>
      <c r="J348" s="65"/>
      <c r="K348" s="66"/>
    </row>
    <row r="349" spans="1:11">
      <c r="A349" s="65"/>
      <c r="F349" s="21"/>
      <c r="G349" s="21"/>
      <c r="H349" s="98"/>
      <c r="I349" s="66"/>
      <c r="J349" s="65"/>
      <c r="K349" s="66"/>
    </row>
    <row r="350" spans="1:11">
      <c r="A350" s="65"/>
      <c r="B350" s="54" t="s">
        <v>388</v>
      </c>
      <c r="F350" s="240"/>
      <c r="G350" s="240"/>
      <c r="H350" s="98"/>
      <c r="I350" s="66"/>
      <c r="J350" s="65"/>
      <c r="K350" s="66"/>
    </row>
    <row r="351" spans="1:11" ht="15.75">
      <c r="A351" s="65"/>
      <c r="D351" s="228" t="s">
        <v>412</v>
      </c>
      <c r="E351" s="229" t="s">
        <v>40</v>
      </c>
      <c r="F351" s="249">
        <f>IF(F328&gt;(0.5*F120),F345,F348)</f>
        <v>1404.2963989357588</v>
      </c>
      <c r="G351" s="249"/>
      <c r="H351" s="174" t="s">
        <v>192</v>
      </c>
      <c r="I351" s="66"/>
      <c r="J351" s="65"/>
      <c r="K351" s="66"/>
    </row>
    <row r="352" spans="1:11">
      <c r="A352" s="65"/>
      <c r="F352" s="241" t="str">
        <f>IF(F351&gt;=F294,"PASS","FAIL")</f>
        <v>PASS</v>
      </c>
      <c r="G352" s="241"/>
      <c r="H352" s="98"/>
      <c r="I352" s="66"/>
      <c r="J352" s="65"/>
      <c r="K352" s="66"/>
    </row>
    <row r="353" spans="1:11">
      <c r="A353" s="65"/>
      <c r="F353" s="21"/>
      <c r="G353" s="21"/>
      <c r="H353" s="98"/>
      <c r="I353" s="66"/>
      <c r="J353" s="65"/>
      <c r="K353" s="66"/>
    </row>
    <row r="354" spans="1:11">
      <c r="A354" s="65"/>
      <c r="B354" s="54" t="s">
        <v>444</v>
      </c>
      <c r="D354" s="55" t="s">
        <v>309</v>
      </c>
      <c r="E354" s="56" t="s">
        <v>40</v>
      </c>
      <c r="F354" s="242">
        <v>300</v>
      </c>
      <c r="G354" s="242"/>
      <c r="H354" s="98"/>
      <c r="I354" s="66"/>
      <c r="J354" s="65"/>
      <c r="K354" s="66"/>
    </row>
    <row r="355" spans="1:11">
      <c r="A355" s="65"/>
      <c r="F355" s="241" t="str">
        <f>IF(F354&gt;=F279,"PASS","FAIL")</f>
        <v>PASS</v>
      </c>
      <c r="G355" s="241"/>
      <c r="H355" s="98"/>
      <c r="I355" s="66"/>
      <c r="J355" s="65"/>
      <c r="K355" s="66"/>
    </row>
    <row r="356" spans="1:11">
      <c r="A356" s="65"/>
      <c r="F356" s="21"/>
      <c r="G356" s="21"/>
      <c r="H356" s="98"/>
      <c r="I356" s="66"/>
      <c r="J356" s="65"/>
      <c r="K356" s="66"/>
    </row>
    <row r="357" spans="1:11">
      <c r="A357" s="65"/>
      <c r="B357" s="108" t="s">
        <v>445</v>
      </c>
      <c r="F357" s="21"/>
      <c r="G357" s="21"/>
      <c r="H357" s="98"/>
      <c r="I357" s="66"/>
      <c r="J357" s="65" t="s">
        <v>446</v>
      </c>
      <c r="K357" s="66"/>
    </row>
    <row r="358" spans="1:11" ht="27.75" customHeight="1">
      <c r="A358" s="65"/>
      <c r="B358" s="245" t="s">
        <v>447</v>
      </c>
      <c r="C358" s="245"/>
      <c r="D358" s="245"/>
      <c r="E358" s="245"/>
      <c r="F358" s="245"/>
      <c r="G358" s="245"/>
      <c r="H358" s="245"/>
      <c r="I358" s="246"/>
      <c r="J358" s="220" t="s">
        <v>448</v>
      </c>
      <c r="K358" s="66"/>
    </row>
    <row r="359" spans="1:11">
      <c r="A359" s="65"/>
      <c r="B359" s="54" t="s">
        <v>353</v>
      </c>
      <c r="F359" s="21"/>
      <c r="G359" s="21"/>
      <c r="H359" s="98"/>
      <c r="I359" s="66"/>
      <c r="J359" s="220" t="s">
        <v>448</v>
      </c>
      <c r="K359" s="66"/>
    </row>
    <row r="360" spans="1:11">
      <c r="A360" s="65"/>
      <c r="I360" s="66"/>
      <c r="J360" s="65"/>
      <c r="K360" s="66"/>
    </row>
    <row r="361" spans="1:11" ht="12.75" customHeight="1">
      <c r="A361" s="65"/>
      <c r="I361" s="66"/>
      <c r="J361" s="65"/>
      <c r="K361" s="66"/>
    </row>
    <row r="362" spans="1:11">
      <c r="A362" s="65"/>
      <c r="E362" s="56" t="s">
        <v>449</v>
      </c>
      <c r="F362" s="240"/>
      <c r="G362" s="240"/>
      <c r="H362" s="98"/>
      <c r="I362" s="66"/>
      <c r="J362" s="65"/>
      <c r="K362" s="66"/>
    </row>
    <row r="363" spans="1:11">
      <c r="A363" s="65"/>
      <c r="F363" s="240"/>
      <c r="G363" s="240"/>
      <c r="H363" s="98"/>
      <c r="I363" s="66"/>
      <c r="J363" s="220" t="s">
        <v>448</v>
      </c>
      <c r="K363" s="66"/>
    </row>
    <row r="364" spans="1:11">
      <c r="A364" s="65"/>
      <c r="F364" s="21"/>
      <c r="G364" s="21"/>
      <c r="H364" s="98"/>
      <c r="I364" s="66"/>
      <c r="J364" s="65"/>
      <c r="K364" s="66"/>
    </row>
    <row r="365" spans="1:11">
      <c r="A365" s="65"/>
      <c r="F365" s="21"/>
      <c r="G365" s="21"/>
      <c r="H365" s="98"/>
      <c r="I365" s="66"/>
      <c r="J365" s="65"/>
      <c r="K365" s="66"/>
    </row>
    <row r="366" spans="1:11">
      <c r="A366" s="65"/>
      <c r="F366" s="21"/>
      <c r="G366" s="21"/>
      <c r="H366" s="98"/>
      <c r="I366" s="66"/>
      <c r="J366" s="65"/>
      <c r="K366" s="66"/>
    </row>
    <row r="367" spans="1:11">
      <c r="A367" s="65"/>
      <c r="B367" s="54" t="s">
        <v>291</v>
      </c>
      <c r="F367" s="21"/>
      <c r="G367" s="21"/>
      <c r="H367" s="98"/>
      <c r="I367" s="66"/>
      <c r="J367" s="65"/>
      <c r="K367" s="66"/>
    </row>
    <row r="368" spans="1:11" ht="16.5">
      <c r="A368" s="65"/>
      <c r="B368" s="54" t="s">
        <v>450</v>
      </c>
      <c r="D368" s="55" t="s">
        <v>451</v>
      </c>
      <c r="E368" s="56" t="s">
        <v>40</v>
      </c>
      <c r="F368" s="242">
        <f>F186</f>
        <v>818.1478459493942</v>
      </c>
      <c r="G368" s="242"/>
      <c r="H368" s="98" t="s">
        <v>192</v>
      </c>
      <c r="I368" s="66"/>
      <c r="J368" s="65"/>
      <c r="K368" s="66"/>
    </row>
    <row r="369" spans="1:11" ht="15.75">
      <c r="A369" s="65"/>
      <c r="B369" s="247" t="s">
        <v>452</v>
      </c>
      <c r="C369" s="247"/>
      <c r="D369" s="234" t="s">
        <v>390</v>
      </c>
      <c r="E369" s="56" t="s">
        <v>40</v>
      </c>
      <c r="F369" s="248">
        <f>F290</f>
        <v>2450.7100603194531</v>
      </c>
      <c r="G369" s="248"/>
      <c r="H369" s="235" t="s">
        <v>192</v>
      </c>
      <c r="I369" s="66"/>
      <c r="J369" s="65"/>
      <c r="K369" s="66"/>
    </row>
    <row r="370" spans="1:11" ht="14.25">
      <c r="A370" s="65"/>
      <c r="B370" s="54" t="s">
        <v>453</v>
      </c>
      <c r="D370" s="55" t="s">
        <v>454</v>
      </c>
      <c r="E370" s="56" t="s">
        <v>40</v>
      </c>
      <c r="F370" s="240">
        <f>IF(T119=1,0.85,IF(T119=2,1,"NA"))</f>
        <v>0.85</v>
      </c>
      <c r="G370" s="240"/>
      <c r="H370" s="98"/>
      <c r="I370" s="66"/>
      <c r="J370" s="65"/>
      <c r="K370" s="66"/>
    </row>
    <row r="371" spans="1:11" ht="14.25">
      <c r="A371" s="65"/>
      <c r="D371" s="55" t="s">
        <v>455</v>
      </c>
      <c r="E371" s="56" t="s">
        <v>40</v>
      </c>
      <c r="F371" s="240">
        <f>IF(T119=1,0.85,IF(T119=2,1,"NA"))</f>
        <v>0.85</v>
      </c>
      <c r="G371" s="240"/>
      <c r="H371" s="98"/>
      <c r="I371" s="66"/>
      <c r="J371" s="65"/>
      <c r="K371" s="66"/>
    </row>
    <row r="372" spans="1:11" ht="14.25">
      <c r="A372" s="65"/>
      <c r="B372" s="54" t="s">
        <v>456</v>
      </c>
      <c r="D372" s="55" t="s">
        <v>457</v>
      </c>
      <c r="E372" s="56" t="s">
        <v>40</v>
      </c>
      <c r="F372" s="242" t="s">
        <v>351</v>
      </c>
      <c r="G372" s="242"/>
      <c r="H372" s="98"/>
      <c r="I372" s="66"/>
      <c r="J372" s="65"/>
      <c r="K372" s="66"/>
    </row>
    <row r="373" spans="1:11" ht="15.75">
      <c r="A373" s="65"/>
      <c r="E373" s="56" t="s">
        <v>40</v>
      </c>
      <c r="F373" s="242">
        <f>ABS(F21*10^5/9.81)/F37</f>
        <v>930.5543785097625</v>
      </c>
      <c r="G373" s="242"/>
      <c r="H373" s="98" t="s">
        <v>192</v>
      </c>
      <c r="I373" s="66"/>
      <c r="J373" s="65"/>
      <c r="K373" s="66"/>
    </row>
    <row r="374" spans="1:11" ht="14.25">
      <c r="A374" s="65"/>
      <c r="B374" s="54" t="s">
        <v>458</v>
      </c>
      <c r="D374" s="55" t="s">
        <v>459</v>
      </c>
      <c r="E374" s="56" t="s">
        <v>40</v>
      </c>
      <c r="F374" s="242" t="s">
        <v>460</v>
      </c>
      <c r="G374" s="242"/>
      <c r="H374" s="98"/>
      <c r="I374" s="66"/>
      <c r="J374" s="65"/>
      <c r="K374" s="66"/>
    </row>
    <row r="375" spans="1:11" ht="15.75">
      <c r="A375" s="65"/>
      <c r="E375" s="56" t="s">
        <v>40</v>
      </c>
      <c r="F375" s="242">
        <f>ABS(F20*10^5/9.81)/F38</f>
        <v>245.07719342832584</v>
      </c>
      <c r="G375" s="242"/>
      <c r="H375" s="98" t="s">
        <v>192</v>
      </c>
      <c r="I375" s="66"/>
      <c r="J375" s="65"/>
      <c r="K375" s="66"/>
    </row>
    <row r="376" spans="1:11" ht="16.5">
      <c r="A376" s="65"/>
      <c r="B376" s="54" t="s">
        <v>461</v>
      </c>
      <c r="D376" s="55" t="s">
        <v>462</v>
      </c>
      <c r="E376" s="56" t="s">
        <v>40</v>
      </c>
      <c r="F376" s="242">
        <f>F122</f>
        <v>3363.9143730886849</v>
      </c>
      <c r="G376" s="242"/>
      <c r="H376" s="98" t="s">
        <v>192</v>
      </c>
      <c r="I376" s="66"/>
      <c r="J376" s="65"/>
      <c r="K376" s="66"/>
    </row>
    <row r="377" spans="1:11" ht="16.5">
      <c r="A377" s="65"/>
      <c r="B377" s="54" t="s">
        <v>463</v>
      </c>
      <c r="D377" s="55" t="s">
        <v>464</v>
      </c>
      <c r="E377" s="56" t="s">
        <v>40</v>
      </c>
      <c r="F377" s="242">
        <f>F166</f>
        <v>3735.0128560432358</v>
      </c>
      <c r="G377" s="242"/>
      <c r="H377" s="98" t="s">
        <v>192</v>
      </c>
      <c r="I377" s="66"/>
      <c r="J377" s="65"/>
      <c r="K377" s="66"/>
    </row>
    <row r="378" spans="1:11" ht="16.5">
      <c r="A378" s="65"/>
      <c r="D378" s="55" t="s">
        <v>465</v>
      </c>
      <c r="E378" s="56" t="s">
        <v>40</v>
      </c>
      <c r="F378" s="236" t="s">
        <v>466</v>
      </c>
      <c r="G378" s="236"/>
      <c r="I378" s="66"/>
      <c r="J378" s="65"/>
      <c r="K378" s="66"/>
    </row>
    <row r="379" spans="1:11" ht="15.75">
      <c r="A379" s="65"/>
      <c r="F379" s="242">
        <f>12*PI()^2*F152/(23*(F51*F52/F35)^2)</f>
        <v>8935.4461700502634</v>
      </c>
      <c r="G379" s="242"/>
      <c r="H379" s="98" t="s">
        <v>192</v>
      </c>
      <c r="I379" s="66"/>
      <c r="J379" s="65"/>
      <c r="K379" s="66"/>
    </row>
    <row r="380" spans="1:11" ht="16.5">
      <c r="A380" s="65"/>
      <c r="D380" s="55" t="s">
        <v>467</v>
      </c>
      <c r="E380" s="56" t="s">
        <v>40</v>
      </c>
      <c r="F380" s="236" t="s">
        <v>468</v>
      </c>
      <c r="G380" s="236"/>
      <c r="I380" s="66"/>
      <c r="J380" s="65"/>
      <c r="K380" s="66"/>
    </row>
    <row r="381" spans="1:11" ht="15.75">
      <c r="A381" s="65"/>
      <c r="F381" s="242">
        <f>12*PI()^2*F152/(23*(F53*F54/F35)^2)</f>
        <v>8935.4461700502634</v>
      </c>
      <c r="G381" s="242"/>
      <c r="H381" s="98" t="s">
        <v>192</v>
      </c>
      <c r="I381" s="66"/>
      <c r="J381" s="65"/>
      <c r="K381" s="66"/>
    </row>
    <row r="382" spans="1:11" ht="29.25" customHeight="1">
      <c r="A382" s="65"/>
      <c r="B382" s="247" t="s">
        <v>469</v>
      </c>
      <c r="C382" s="247"/>
      <c r="D382" s="234" t="s">
        <v>470</v>
      </c>
      <c r="E382" s="56" t="s">
        <v>40</v>
      </c>
      <c r="F382" s="248">
        <f>0.522*F278*F120</f>
        <v>2454.6005373241255</v>
      </c>
      <c r="G382" s="248"/>
      <c r="H382" s="235" t="s">
        <v>192</v>
      </c>
      <c r="I382" s="66"/>
      <c r="J382" s="65"/>
      <c r="K382" s="66"/>
    </row>
    <row r="383" spans="1:11" ht="37.5" customHeight="1">
      <c r="A383" s="65"/>
      <c r="B383" s="247" t="s">
        <v>471</v>
      </c>
      <c r="C383" s="247"/>
      <c r="D383" s="234" t="s">
        <v>472</v>
      </c>
      <c r="E383" s="56" t="s">
        <v>40</v>
      </c>
      <c r="F383" s="248">
        <f>F122</f>
        <v>3363.9143730886849</v>
      </c>
      <c r="G383" s="248"/>
      <c r="H383" s="235" t="s">
        <v>192</v>
      </c>
      <c r="I383" s="237"/>
      <c r="J383" s="65"/>
      <c r="K383" s="66"/>
    </row>
    <row r="384" spans="1:11" ht="38.25" customHeight="1">
      <c r="A384" s="65"/>
      <c r="B384" s="247" t="s">
        <v>473</v>
      </c>
      <c r="C384" s="247"/>
      <c r="D384" s="234" t="s">
        <v>474</v>
      </c>
      <c r="E384" s="56" t="s">
        <v>40</v>
      </c>
      <c r="F384" s="248">
        <f>F122</f>
        <v>3363.9143730886849</v>
      </c>
      <c r="G384" s="248"/>
      <c r="H384" s="235" t="s">
        <v>192</v>
      </c>
      <c r="I384" s="66"/>
      <c r="J384" s="65"/>
      <c r="K384" s="66"/>
    </row>
    <row r="385" spans="1:11">
      <c r="A385" s="65"/>
      <c r="F385" s="242"/>
      <c r="G385" s="242"/>
      <c r="H385" s="98"/>
      <c r="I385" s="66"/>
      <c r="J385" s="65"/>
      <c r="K385" s="66"/>
    </row>
    <row r="386" spans="1:11">
      <c r="A386" s="65"/>
      <c r="F386" s="242"/>
      <c r="G386" s="242"/>
      <c r="H386" s="98"/>
      <c r="I386" s="66"/>
      <c r="J386" s="220" t="s">
        <v>448</v>
      </c>
      <c r="K386" s="66"/>
    </row>
    <row r="387" spans="1:11">
      <c r="A387" s="65"/>
      <c r="F387" s="242"/>
      <c r="G387" s="242"/>
      <c r="H387" s="98"/>
      <c r="I387" s="66"/>
      <c r="J387" s="65"/>
      <c r="K387" s="66"/>
    </row>
    <row r="388" spans="1:11">
      <c r="A388" s="65"/>
      <c r="F388" s="242"/>
      <c r="G388" s="242"/>
      <c r="H388" s="98"/>
      <c r="I388" s="66"/>
      <c r="J388" s="65"/>
      <c r="K388" s="66"/>
    </row>
    <row r="389" spans="1:11">
      <c r="A389" s="65"/>
      <c r="E389" s="56" t="s">
        <v>40</v>
      </c>
      <c r="F389" s="244">
        <f>(F368/F369)+((F370*F373)/((1-F368/F379)*F376))+((F371*F375)/((1-F368*F381)*F377))</f>
        <v>0.59267463507168083</v>
      </c>
      <c r="G389" s="244"/>
      <c r="H389" s="98"/>
      <c r="I389" s="66"/>
      <c r="J389" s="65"/>
      <c r="K389" s="66"/>
    </row>
    <row r="390" spans="1:11">
      <c r="A390" s="65"/>
      <c r="F390" s="241" t="str">
        <f>IF(F389&lt;=1,"PASS","FAIL")</f>
        <v>PASS</v>
      </c>
      <c r="G390" s="241"/>
      <c r="H390" s="98"/>
      <c r="I390" s="66"/>
      <c r="J390" s="65"/>
      <c r="K390" s="66"/>
    </row>
    <row r="391" spans="1:11">
      <c r="A391" s="65"/>
      <c r="F391" s="242"/>
      <c r="G391" s="242"/>
      <c r="H391" s="98"/>
      <c r="I391" s="66"/>
      <c r="J391" s="65"/>
      <c r="K391" s="66"/>
    </row>
    <row r="392" spans="1:11">
      <c r="A392" s="65"/>
      <c r="F392" s="242"/>
      <c r="G392" s="242"/>
      <c r="H392" s="98"/>
      <c r="I392" s="66"/>
      <c r="J392" s="220" t="s">
        <v>448</v>
      </c>
      <c r="K392" s="66"/>
    </row>
    <row r="393" spans="1:11">
      <c r="A393" s="65"/>
      <c r="F393" s="242"/>
      <c r="G393" s="242"/>
      <c r="H393" s="98"/>
      <c r="I393" s="66"/>
      <c r="J393" s="65"/>
      <c r="K393" s="66"/>
    </row>
    <row r="394" spans="1:11">
      <c r="A394" s="65"/>
      <c r="E394" s="56" t="s">
        <v>40</v>
      </c>
      <c r="F394" s="244">
        <f>(F368/F382)+(F373/F383)+(F373/F384)</f>
        <v>0.88656888884565177</v>
      </c>
      <c r="G394" s="244"/>
      <c r="H394" s="98"/>
      <c r="I394" s="66"/>
      <c r="J394" s="65"/>
      <c r="K394" s="66"/>
    </row>
    <row r="395" spans="1:11">
      <c r="A395" s="65"/>
      <c r="B395" s="108"/>
      <c r="F395" s="241" t="str">
        <f>IF(F394&lt;=1,"PASS","FAIL")</f>
        <v>PASS</v>
      </c>
      <c r="G395" s="241"/>
      <c r="H395" s="98"/>
      <c r="I395" s="66"/>
      <c r="J395" s="65"/>
      <c r="K395" s="66"/>
    </row>
    <row r="396" spans="1:11" ht="14.25">
      <c r="A396" s="65"/>
      <c r="B396" s="54" t="s">
        <v>475</v>
      </c>
      <c r="F396" s="242"/>
      <c r="G396" s="242"/>
      <c r="H396" s="98"/>
      <c r="I396" s="66"/>
      <c r="J396" s="65"/>
      <c r="K396" s="66"/>
    </row>
    <row r="397" spans="1:11">
      <c r="A397" s="79"/>
      <c r="B397" s="74"/>
      <c r="C397" s="74"/>
      <c r="D397" s="76"/>
      <c r="E397" s="77"/>
      <c r="F397" s="238"/>
      <c r="G397" s="238"/>
      <c r="H397" s="142"/>
      <c r="I397" s="80"/>
      <c r="J397" s="79"/>
      <c r="K397" s="80"/>
    </row>
    <row r="398" spans="1:11">
      <c r="A398" s="87"/>
      <c r="B398" s="82"/>
      <c r="C398" s="82"/>
      <c r="D398" s="83"/>
      <c r="E398" s="84"/>
      <c r="F398" s="239"/>
      <c r="G398" s="239"/>
      <c r="H398" s="149"/>
      <c r="I398" s="88"/>
      <c r="J398" s="219" t="s">
        <v>448</v>
      </c>
      <c r="K398" s="88"/>
    </row>
    <row r="399" spans="1:11">
      <c r="A399" s="65"/>
      <c r="F399" s="52"/>
      <c r="G399" s="52"/>
      <c r="H399" s="98"/>
      <c r="I399" s="66"/>
      <c r="J399" s="65"/>
      <c r="K399" s="66"/>
    </row>
    <row r="400" spans="1:11">
      <c r="A400" s="65"/>
      <c r="F400" s="52"/>
      <c r="G400" s="52"/>
      <c r="H400" s="98"/>
      <c r="I400" s="66"/>
      <c r="J400" s="65"/>
      <c r="K400" s="66"/>
    </row>
    <row r="401" spans="1:11">
      <c r="A401" s="65"/>
      <c r="E401" s="56" t="s">
        <v>40</v>
      </c>
      <c r="F401" s="244">
        <f>(F368/F369)+(F373/F383)+(F375/F384)</f>
        <v>0.6833243459441859</v>
      </c>
      <c r="G401" s="244"/>
      <c r="H401" s="98"/>
      <c r="I401" s="66"/>
      <c r="J401" s="65"/>
      <c r="K401" s="66"/>
    </row>
    <row r="402" spans="1:11">
      <c r="A402" s="65"/>
      <c r="F402" s="241" t="str">
        <f>IF(F401&lt;=1,"PASS","FAIL")</f>
        <v>PASS</v>
      </c>
      <c r="G402" s="241"/>
      <c r="H402" s="98"/>
      <c r="I402" s="66"/>
      <c r="J402" s="65"/>
      <c r="K402" s="66"/>
    </row>
    <row r="403" spans="1:11">
      <c r="A403" s="65"/>
      <c r="F403" s="213"/>
      <c r="G403" s="213"/>
      <c r="H403" s="98"/>
      <c r="I403" s="66"/>
      <c r="J403" s="65"/>
      <c r="K403" s="66"/>
    </row>
    <row r="404" spans="1:11">
      <c r="A404" s="65"/>
      <c r="F404" s="213"/>
      <c r="G404" s="213"/>
      <c r="H404" s="98"/>
      <c r="I404" s="66"/>
      <c r="J404" s="65"/>
      <c r="K404" s="66"/>
    </row>
    <row r="405" spans="1:11">
      <c r="A405" s="65"/>
      <c r="B405" s="54" t="s">
        <v>353</v>
      </c>
      <c r="E405" s="56" t="s">
        <v>40</v>
      </c>
      <c r="F405" s="241" t="str">
        <f>IF(F368/F369&lt;=0.15,F402,IF(AND(F390="PASS",F395="PASS"),"PASS","FAIL"))</f>
        <v>PASS</v>
      </c>
      <c r="G405" s="241"/>
      <c r="H405" s="98"/>
      <c r="I405" s="66"/>
      <c r="J405" s="65" t="s">
        <v>476</v>
      </c>
      <c r="K405" s="66"/>
    </row>
    <row r="406" spans="1:11" ht="45.75" customHeight="1">
      <c r="A406" s="65"/>
      <c r="B406" s="245" t="s">
        <v>409</v>
      </c>
      <c r="C406" s="245"/>
      <c r="D406" s="245"/>
      <c r="E406" s="245"/>
      <c r="F406" s="245"/>
      <c r="G406" s="245"/>
      <c r="H406" s="245"/>
      <c r="I406" s="246"/>
      <c r="J406" s="220" t="s">
        <v>477</v>
      </c>
      <c r="K406" s="66"/>
    </row>
    <row r="407" spans="1:11">
      <c r="A407" s="65"/>
      <c r="B407" s="54" t="s">
        <v>478</v>
      </c>
      <c r="F407" s="52"/>
      <c r="G407" s="52"/>
      <c r="H407" s="98"/>
      <c r="I407" s="66"/>
      <c r="J407" s="220" t="s">
        <v>477</v>
      </c>
      <c r="K407" s="66"/>
    </row>
    <row r="408" spans="1:11">
      <c r="A408" s="65"/>
      <c r="F408" s="52"/>
      <c r="G408" s="52"/>
      <c r="H408" s="98"/>
      <c r="I408" s="66"/>
      <c r="J408" s="65"/>
      <c r="K408" s="66"/>
    </row>
    <row r="409" spans="1:11">
      <c r="A409" s="65"/>
      <c r="F409" s="52"/>
      <c r="G409" s="52"/>
      <c r="H409" s="98"/>
      <c r="I409" s="66"/>
      <c r="J409" s="65"/>
      <c r="K409" s="66"/>
    </row>
    <row r="410" spans="1:11">
      <c r="A410" s="65"/>
      <c r="E410" s="56" t="s">
        <v>40</v>
      </c>
      <c r="F410" s="243">
        <f>(F368/F369)+((F376*F370)/(F383*(1-F368/F379)))</f>
        <v>1.2695132022858222</v>
      </c>
      <c r="G410" s="243"/>
      <c r="H410" s="98"/>
      <c r="I410" s="66"/>
      <c r="J410" s="65"/>
      <c r="K410" s="66"/>
    </row>
    <row r="411" spans="1:11">
      <c r="A411" s="65"/>
      <c r="F411" s="241" t="str">
        <f>IF(F410&lt;=1,"PASS","FAIL")</f>
        <v>FAIL</v>
      </c>
      <c r="G411" s="241"/>
      <c r="H411" s="98"/>
      <c r="I411" s="66"/>
      <c r="J411" s="65"/>
      <c r="K411" s="66"/>
    </row>
    <row r="412" spans="1:11">
      <c r="A412" s="65"/>
      <c r="F412" s="242"/>
      <c r="G412" s="242"/>
      <c r="H412" s="98"/>
      <c r="I412" s="66"/>
      <c r="J412" s="65"/>
      <c r="K412" s="66"/>
    </row>
    <row r="413" spans="1:11">
      <c r="A413" s="65"/>
      <c r="F413" s="52"/>
      <c r="G413" s="52"/>
      <c r="H413" s="98"/>
      <c r="I413" s="66"/>
      <c r="J413" s="220" t="s">
        <v>477</v>
      </c>
      <c r="K413" s="66"/>
    </row>
    <row r="414" spans="1:11">
      <c r="A414" s="65"/>
      <c r="F414" s="52"/>
      <c r="G414" s="52"/>
      <c r="H414" s="98"/>
      <c r="I414" s="66"/>
      <c r="J414" s="65"/>
      <c r="K414" s="66"/>
    </row>
    <row r="415" spans="1:11">
      <c r="A415" s="65"/>
      <c r="E415" s="56" t="s">
        <v>40</v>
      </c>
      <c r="F415" s="243">
        <f>(F368/F382)+(F373/F383)</f>
        <v>0.60994045087047688</v>
      </c>
      <c r="G415" s="243"/>
      <c r="H415" s="98"/>
      <c r="I415" s="66"/>
      <c r="J415" s="65"/>
      <c r="K415" s="66"/>
    </row>
    <row r="416" spans="1:11">
      <c r="A416" s="65"/>
      <c r="F416" s="241" t="str">
        <f>IF(F415&lt;=1,"PASS","FAIL")</f>
        <v>PASS</v>
      </c>
      <c r="G416" s="241"/>
      <c r="H416" s="98"/>
      <c r="I416" s="66"/>
      <c r="J416" s="65"/>
      <c r="K416" s="66"/>
    </row>
    <row r="417" spans="1:11">
      <c r="A417" s="65"/>
      <c r="F417" s="52"/>
      <c r="G417" s="52"/>
      <c r="H417" s="98"/>
      <c r="I417" s="66"/>
      <c r="J417" s="65"/>
      <c r="K417" s="66"/>
    </row>
    <row r="418" spans="1:11" ht="14.25">
      <c r="A418" s="65"/>
      <c r="B418" s="54" t="s">
        <v>475</v>
      </c>
      <c r="F418" s="52"/>
      <c r="G418" s="52"/>
      <c r="H418" s="98"/>
      <c r="I418" s="66"/>
      <c r="J418" s="65"/>
      <c r="K418" s="66"/>
    </row>
    <row r="419" spans="1:11">
      <c r="A419" s="65"/>
      <c r="F419" s="52"/>
      <c r="G419" s="52"/>
      <c r="H419" s="98"/>
      <c r="I419" s="66"/>
      <c r="J419" s="220" t="s">
        <v>477</v>
      </c>
      <c r="K419" s="66"/>
    </row>
    <row r="420" spans="1:11">
      <c r="A420" s="65"/>
      <c r="F420" s="52"/>
      <c r="G420" s="52"/>
      <c r="H420" s="98"/>
      <c r="I420" s="66"/>
      <c r="J420" s="65"/>
      <c r="K420" s="66"/>
    </row>
    <row r="421" spans="1:11">
      <c r="A421" s="65"/>
      <c r="E421" s="56" t="s">
        <v>40</v>
      </c>
      <c r="F421" s="243">
        <f>(F368/F369)+(F373/F383)</f>
        <v>0.61046958026140175</v>
      </c>
      <c r="G421" s="243"/>
      <c r="H421" s="98"/>
      <c r="I421" s="66"/>
      <c r="J421" s="65"/>
      <c r="K421" s="66"/>
    </row>
    <row r="422" spans="1:11">
      <c r="A422" s="65"/>
      <c r="F422" s="241" t="str">
        <f>IF(F421&lt;=1,"PASS","FAIL")</f>
        <v>PASS</v>
      </c>
      <c r="G422" s="241"/>
      <c r="H422" s="98"/>
      <c r="I422" s="66"/>
      <c r="J422" s="65"/>
      <c r="K422" s="66"/>
    </row>
    <row r="423" spans="1:11">
      <c r="A423" s="79"/>
      <c r="B423" s="74"/>
      <c r="C423" s="74"/>
      <c r="D423" s="76"/>
      <c r="E423" s="77"/>
      <c r="F423" s="238"/>
      <c r="G423" s="238"/>
      <c r="H423" s="142"/>
      <c r="I423" s="80"/>
      <c r="J423" s="79"/>
      <c r="K423" s="80"/>
    </row>
    <row r="424" spans="1:11" ht="12.75" customHeight="1">
      <c r="A424" s="65"/>
      <c r="F424" s="52"/>
      <c r="G424" s="52"/>
      <c r="H424" s="98"/>
      <c r="I424" s="66"/>
      <c r="J424" s="65"/>
      <c r="K424" s="66"/>
    </row>
    <row r="425" spans="1:11" ht="12.75" customHeight="1">
      <c r="A425" s="65"/>
      <c r="F425" s="52"/>
      <c r="G425" s="52"/>
      <c r="H425" s="98"/>
      <c r="I425" s="66"/>
      <c r="J425" s="65"/>
      <c r="K425" s="66"/>
    </row>
    <row r="426" spans="1:11" ht="12.75" customHeight="1">
      <c r="A426" s="65"/>
      <c r="F426" s="52"/>
      <c r="G426" s="52"/>
      <c r="H426" s="98"/>
      <c r="I426" s="66"/>
      <c r="J426" s="65"/>
      <c r="K426" s="66"/>
    </row>
    <row r="427" spans="1:11" ht="12.75" customHeight="1">
      <c r="A427" s="65"/>
      <c r="F427" s="52"/>
      <c r="G427" s="52"/>
      <c r="H427" s="98"/>
      <c r="I427" s="66"/>
      <c r="J427" s="65"/>
      <c r="K427" s="66"/>
    </row>
    <row r="428" spans="1:11" ht="12.75" customHeight="1">
      <c r="A428" s="65"/>
      <c r="F428" s="52"/>
      <c r="G428" s="52"/>
      <c r="H428" s="98"/>
      <c r="I428" s="66"/>
      <c r="J428" s="65"/>
      <c r="K428" s="66"/>
    </row>
    <row r="429" spans="1:11" ht="12.75" customHeight="1">
      <c r="A429" s="65"/>
      <c r="F429" s="52"/>
      <c r="G429" s="52"/>
      <c r="H429" s="98"/>
      <c r="I429" s="66"/>
      <c r="J429" s="65"/>
      <c r="K429" s="66"/>
    </row>
    <row r="430" spans="1:11" ht="12.75" customHeight="1">
      <c r="A430" s="65"/>
      <c r="F430" s="52"/>
      <c r="G430" s="52"/>
      <c r="H430" s="98"/>
      <c r="I430" s="66"/>
      <c r="J430" s="65"/>
      <c r="K430" s="66"/>
    </row>
    <row r="431" spans="1:11" ht="12.75" customHeight="1">
      <c r="A431" s="65"/>
      <c r="F431" s="52"/>
      <c r="G431" s="52"/>
      <c r="H431" s="98"/>
      <c r="I431" s="66"/>
      <c r="J431" s="65"/>
      <c r="K431" s="66"/>
    </row>
    <row r="432" spans="1:11" ht="12.75" customHeight="1">
      <c r="A432" s="65"/>
      <c r="F432" s="52"/>
      <c r="G432" s="52"/>
      <c r="H432" s="98"/>
      <c r="I432" s="66"/>
      <c r="J432" s="65"/>
      <c r="K432" s="66"/>
    </row>
    <row r="433" spans="1:11" ht="12.75" customHeight="1">
      <c r="A433" s="65"/>
      <c r="F433" s="52"/>
      <c r="G433" s="52"/>
      <c r="H433" s="98"/>
      <c r="I433" s="66"/>
      <c r="J433" s="65"/>
      <c r="K433" s="66"/>
    </row>
    <row r="434" spans="1:11" ht="12.75" customHeight="1">
      <c r="A434" s="65"/>
      <c r="F434" s="52"/>
      <c r="G434" s="52"/>
      <c r="H434" s="98"/>
      <c r="I434" s="66"/>
      <c r="J434" s="65"/>
      <c r="K434" s="66"/>
    </row>
    <row r="435" spans="1:11" ht="12.75" customHeight="1">
      <c r="A435" s="65"/>
      <c r="F435" s="52"/>
      <c r="G435" s="52"/>
      <c r="H435" s="98"/>
      <c r="I435" s="66"/>
      <c r="J435" s="65"/>
      <c r="K435" s="66"/>
    </row>
    <row r="436" spans="1:11" ht="12.75" customHeight="1">
      <c r="A436" s="65"/>
      <c r="F436" s="52"/>
      <c r="G436" s="52"/>
      <c r="H436" s="98"/>
      <c r="I436" s="66"/>
      <c r="J436" s="65"/>
      <c r="K436" s="66"/>
    </row>
    <row r="437" spans="1:11" ht="12.75" customHeight="1">
      <c r="A437" s="65"/>
      <c r="F437" s="52"/>
      <c r="G437" s="52"/>
      <c r="H437" s="98"/>
      <c r="I437" s="66"/>
      <c r="J437" s="65"/>
      <c r="K437" s="66"/>
    </row>
    <row r="438" spans="1:11" ht="12.75" customHeight="1">
      <c r="A438" s="65"/>
      <c r="F438" s="52"/>
      <c r="G438" s="52"/>
      <c r="H438" s="98"/>
      <c r="I438" s="66"/>
      <c r="J438" s="65"/>
      <c r="K438" s="66"/>
    </row>
    <row r="439" spans="1:11" ht="12.75" customHeight="1">
      <c r="A439" s="65"/>
      <c r="F439" s="52"/>
      <c r="G439" s="52"/>
      <c r="H439" s="98"/>
      <c r="I439" s="66"/>
      <c r="J439" s="65"/>
      <c r="K439" s="66"/>
    </row>
    <row r="440" spans="1:11" ht="12.75" customHeight="1">
      <c r="A440" s="65"/>
      <c r="F440" s="52"/>
      <c r="G440" s="52"/>
      <c r="H440" s="98"/>
      <c r="I440" s="66"/>
      <c r="J440" s="65"/>
      <c r="K440" s="66"/>
    </row>
    <row r="441" spans="1:11" ht="12.75" customHeight="1">
      <c r="A441" s="65"/>
      <c r="F441" s="52"/>
      <c r="G441" s="52"/>
      <c r="H441" s="98"/>
      <c r="I441" s="66"/>
      <c r="J441" s="65"/>
      <c r="K441" s="66"/>
    </row>
    <row r="442" spans="1:11" ht="12.75" customHeight="1">
      <c r="A442" s="65"/>
      <c r="F442" s="52"/>
      <c r="G442" s="52"/>
      <c r="H442" s="98"/>
      <c r="I442" s="66"/>
      <c r="J442" s="65"/>
      <c r="K442" s="66"/>
    </row>
    <row r="443" spans="1:11" ht="12.75" customHeight="1">
      <c r="A443" s="65"/>
      <c r="F443" s="52"/>
      <c r="G443" s="52"/>
      <c r="H443" s="98"/>
      <c r="I443" s="66"/>
      <c r="J443" s="65"/>
      <c r="K443" s="66"/>
    </row>
    <row r="444" spans="1:11" ht="12.75" customHeight="1">
      <c r="A444" s="65"/>
      <c r="F444" s="52"/>
      <c r="G444" s="52"/>
      <c r="H444" s="98"/>
      <c r="I444" s="66"/>
      <c r="J444" s="65"/>
      <c r="K444" s="66"/>
    </row>
    <row r="445" spans="1:11" ht="12.75" customHeight="1">
      <c r="A445" s="65"/>
      <c r="F445" s="52"/>
      <c r="G445" s="52"/>
      <c r="H445" s="98"/>
      <c r="I445" s="66"/>
      <c r="J445" s="65"/>
      <c r="K445" s="66"/>
    </row>
    <row r="446" spans="1:11" ht="12.75" customHeight="1">
      <c r="A446" s="65"/>
      <c r="F446" s="52"/>
      <c r="G446" s="52"/>
      <c r="H446" s="98"/>
      <c r="I446" s="66"/>
      <c r="J446" s="65"/>
      <c r="K446" s="66"/>
    </row>
    <row r="447" spans="1:11" ht="12.75" customHeight="1">
      <c r="A447" s="65"/>
      <c r="F447" s="52"/>
      <c r="G447" s="52"/>
      <c r="H447" s="98"/>
      <c r="I447" s="66"/>
      <c r="J447" s="65"/>
      <c r="K447" s="66"/>
    </row>
    <row r="448" spans="1:11" ht="12.75" customHeight="1">
      <c r="A448" s="65"/>
      <c r="F448" s="52"/>
      <c r="G448" s="52"/>
      <c r="H448" s="98"/>
      <c r="I448" s="66"/>
      <c r="J448" s="65"/>
      <c r="K448" s="66"/>
    </row>
    <row r="449" spans="1:11" ht="12.75" customHeight="1">
      <c r="A449" s="65"/>
      <c r="F449" s="52"/>
      <c r="G449" s="52"/>
      <c r="H449" s="98"/>
      <c r="I449" s="66"/>
      <c r="J449" s="65"/>
      <c r="K449" s="66"/>
    </row>
    <row r="450" spans="1:11" ht="12.75" customHeight="1">
      <c r="A450" s="65"/>
      <c r="F450" s="52"/>
      <c r="G450" s="52"/>
      <c r="H450" s="98"/>
      <c r="I450" s="66"/>
      <c r="J450" s="65"/>
      <c r="K450" s="66"/>
    </row>
    <row r="451" spans="1:11" ht="12.75" customHeight="1">
      <c r="A451" s="65"/>
      <c r="F451" s="52"/>
      <c r="G451" s="52"/>
      <c r="H451" s="98"/>
      <c r="I451" s="66"/>
      <c r="J451" s="65"/>
      <c r="K451" s="66"/>
    </row>
    <row r="452" spans="1:11" ht="12.75" customHeight="1">
      <c r="A452" s="65"/>
      <c r="F452" s="52"/>
      <c r="G452" s="52"/>
      <c r="H452" s="98"/>
      <c r="I452" s="66"/>
      <c r="J452" s="65"/>
      <c r="K452" s="66"/>
    </row>
    <row r="453" spans="1:11" ht="12.75" customHeight="1">
      <c r="A453" s="65"/>
      <c r="F453" s="52"/>
      <c r="G453" s="52"/>
      <c r="H453" s="98"/>
      <c r="I453" s="66"/>
      <c r="J453" s="65"/>
      <c r="K453" s="66"/>
    </row>
    <row r="454" spans="1:11" ht="12.75" customHeight="1">
      <c r="A454" s="65"/>
      <c r="F454" s="52"/>
      <c r="G454" s="52"/>
      <c r="H454" s="98"/>
      <c r="I454" s="66"/>
      <c r="J454" s="65"/>
      <c r="K454" s="66"/>
    </row>
    <row r="455" spans="1:11" ht="12.75" customHeight="1">
      <c r="A455" s="65"/>
      <c r="F455" s="52"/>
      <c r="G455" s="52"/>
      <c r="H455" s="98"/>
      <c r="I455" s="66"/>
      <c r="J455" s="65"/>
      <c r="K455" s="66"/>
    </row>
    <row r="456" spans="1:11" ht="12.75" customHeight="1">
      <c r="A456" s="65"/>
      <c r="F456" s="52"/>
      <c r="G456" s="52"/>
      <c r="H456" s="98"/>
      <c r="I456" s="66"/>
      <c r="J456" s="65"/>
      <c r="K456" s="66"/>
    </row>
    <row r="457" spans="1:11" ht="12.75" customHeight="1">
      <c r="A457" s="65"/>
      <c r="F457" s="52"/>
      <c r="G457" s="52"/>
      <c r="H457" s="98"/>
      <c r="I457" s="66"/>
      <c r="J457" s="65"/>
      <c r="K457" s="66"/>
    </row>
    <row r="458" spans="1:11" ht="12.75" customHeight="1">
      <c r="A458" s="65"/>
      <c r="F458" s="52"/>
      <c r="G458" s="52"/>
      <c r="H458" s="98"/>
      <c r="I458" s="66"/>
      <c r="J458" s="65"/>
      <c r="K458" s="66"/>
    </row>
    <row r="459" spans="1:11" ht="12.75" customHeight="1">
      <c r="A459" s="65"/>
      <c r="F459" s="52"/>
      <c r="G459" s="52"/>
      <c r="H459" s="98"/>
      <c r="I459" s="66"/>
      <c r="J459" s="65"/>
      <c r="K459" s="66"/>
    </row>
    <row r="460" spans="1:11" ht="12.75" customHeight="1">
      <c r="A460" s="65"/>
      <c r="F460" s="52"/>
      <c r="G460" s="52"/>
      <c r="H460" s="98"/>
      <c r="I460" s="66"/>
      <c r="J460" s="65"/>
      <c r="K460" s="66"/>
    </row>
    <row r="461" spans="1:11" ht="12.75" customHeight="1">
      <c r="A461" s="65"/>
      <c r="F461" s="52"/>
      <c r="G461" s="52"/>
      <c r="H461" s="98"/>
      <c r="I461" s="66"/>
      <c r="J461" s="65"/>
      <c r="K461" s="66"/>
    </row>
    <row r="462" spans="1:11" ht="12.75" customHeight="1">
      <c r="A462" s="65"/>
      <c r="F462" s="242"/>
      <c r="G462" s="242"/>
      <c r="H462" s="98"/>
      <c r="I462" s="66"/>
      <c r="J462" s="65"/>
      <c r="K462" s="66"/>
    </row>
    <row r="463" spans="1:11" ht="12.75" customHeight="1">
      <c r="A463" s="65"/>
      <c r="F463" s="242"/>
      <c r="G463" s="242"/>
      <c r="H463" s="98"/>
      <c r="I463" s="66"/>
      <c r="J463" s="65"/>
      <c r="K463" s="66"/>
    </row>
    <row r="464" spans="1:11" ht="12.75" customHeight="1">
      <c r="A464" s="65"/>
      <c r="F464" s="242"/>
      <c r="G464" s="242"/>
      <c r="H464" s="98"/>
      <c r="I464" s="66"/>
      <c r="J464" s="65"/>
      <c r="K464" s="66"/>
    </row>
    <row r="465" spans="1:11" ht="12.75" customHeight="1">
      <c r="A465" s="65"/>
      <c r="B465" s="108"/>
      <c r="F465" s="242"/>
      <c r="G465" s="242"/>
      <c r="H465" s="98"/>
      <c r="I465" s="66"/>
      <c r="J465" s="65"/>
      <c r="K465" s="66"/>
    </row>
    <row r="466" spans="1:11" ht="12.75" customHeight="1">
      <c r="A466" s="65"/>
      <c r="F466" s="43"/>
      <c r="G466" s="43"/>
      <c r="I466" s="66"/>
      <c r="J466" s="65"/>
      <c r="K466" s="66"/>
    </row>
    <row r="467" spans="1:11" ht="12.75" customHeight="1">
      <c r="A467" s="65"/>
      <c r="F467" s="240"/>
      <c r="G467" s="240"/>
      <c r="I467" s="66"/>
      <c r="J467" s="65"/>
      <c r="K467" s="66"/>
    </row>
    <row r="468" spans="1:11" ht="12.75" customHeight="1">
      <c r="A468" s="65"/>
      <c r="F468" s="240"/>
      <c r="G468" s="240"/>
      <c r="I468" s="66"/>
      <c r="J468" s="65"/>
      <c r="K468" s="66"/>
    </row>
    <row r="469" spans="1:11" ht="12.75" customHeight="1">
      <c r="A469" s="65"/>
      <c r="F469" s="240"/>
      <c r="G469" s="240"/>
      <c r="I469" s="66"/>
      <c r="J469" s="65"/>
      <c r="K469" s="66"/>
    </row>
    <row r="470" spans="1:11" ht="12.75" customHeight="1">
      <c r="A470" s="65"/>
      <c r="I470" s="66"/>
      <c r="J470" s="65"/>
      <c r="K470" s="66"/>
    </row>
    <row r="471" spans="1:11" ht="12.75" customHeight="1">
      <c r="A471" s="65"/>
      <c r="I471" s="66"/>
      <c r="J471" s="65"/>
      <c r="K471" s="66"/>
    </row>
    <row r="472" spans="1:11" ht="12.75" customHeight="1">
      <c r="A472" s="65"/>
      <c r="I472" s="66"/>
      <c r="J472" s="65"/>
      <c r="K472" s="66"/>
    </row>
    <row r="473" spans="1:11" ht="12.75" customHeight="1">
      <c r="A473" s="65"/>
      <c r="I473" s="66"/>
      <c r="J473" s="65"/>
      <c r="K473" s="66"/>
    </row>
    <row r="474" spans="1:11" ht="12.75" customHeight="1">
      <c r="A474" s="65"/>
      <c r="I474" s="66"/>
      <c r="J474" s="65"/>
      <c r="K474" s="66"/>
    </row>
    <row r="475" spans="1:11" ht="12.75" customHeight="1">
      <c r="A475" s="65"/>
      <c r="I475" s="66"/>
      <c r="J475" s="65"/>
      <c r="K475" s="66"/>
    </row>
    <row r="476" spans="1:11" ht="12.75" customHeight="1">
      <c r="A476" s="65"/>
      <c r="I476" s="66"/>
      <c r="J476" s="65"/>
      <c r="K476" s="66"/>
    </row>
    <row r="477" spans="1:11" ht="12.75" customHeight="1">
      <c r="A477" s="65"/>
      <c r="I477" s="66"/>
      <c r="J477" s="65"/>
      <c r="K477" s="66"/>
    </row>
    <row r="478" spans="1:11" ht="12.75" customHeight="1">
      <c r="A478" s="65"/>
      <c r="I478" s="66"/>
      <c r="J478" s="65"/>
      <c r="K478" s="66"/>
    </row>
    <row r="479" spans="1:11" ht="12.75" customHeight="1">
      <c r="A479" s="65"/>
      <c r="I479" s="66"/>
      <c r="J479" s="65"/>
      <c r="K479" s="66"/>
    </row>
    <row r="480" spans="1:11" ht="12.75" customHeight="1">
      <c r="A480" s="65"/>
      <c r="I480" s="66"/>
      <c r="J480" s="65"/>
      <c r="K480" s="66"/>
    </row>
    <row r="481" spans="1:11" ht="12.75" customHeight="1">
      <c r="A481" s="65"/>
      <c r="I481" s="66"/>
      <c r="J481" s="65"/>
      <c r="K481" s="66"/>
    </row>
    <row r="482" spans="1:11" ht="12.75" customHeight="1">
      <c r="A482" s="65"/>
      <c r="I482" s="66"/>
      <c r="J482" s="65"/>
      <c r="K482" s="66"/>
    </row>
    <row r="483" spans="1:11" ht="12.75" customHeight="1">
      <c r="A483" s="65"/>
      <c r="I483" s="66"/>
      <c r="J483" s="65"/>
      <c r="K483" s="66"/>
    </row>
    <row r="484" spans="1:11" ht="12.75" customHeight="1">
      <c r="A484" s="65"/>
      <c r="I484" s="66"/>
      <c r="J484" s="65"/>
      <c r="K484" s="66"/>
    </row>
    <row r="485" spans="1:11" ht="12.75" customHeight="1">
      <c r="A485" s="65"/>
      <c r="I485" s="66"/>
      <c r="J485" s="65"/>
      <c r="K485" s="66"/>
    </row>
    <row r="486" spans="1:11" ht="12.75" customHeight="1">
      <c r="A486" s="65"/>
      <c r="I486" s="66"/>
      <c r="J486" s="65"/>
      <c r="K486" s="66"/>
    </row>
    <row r="487" spans="1:11" ht="12.75" customHeight="1">
      <c r="A487" s="65"/>
      <c r="I487" s="66"/>
      <c r="J487" s="65"/>
      <c r="K487" s="66"/>
    </row>
    <row r="488" spans="1:11" ht="12.75" customHeight="1">
      <c r="A488" s="65"/>
      <c r="I488" s="66"/>
      <c r="J488" s="65"/>
      <c r="K488" s="66"/>
    </row>
    <row r="489" spans="1:11" ht="12.75" customHeight="1">
      <c r="A489" s="65"/>
      <c r="I489" s="66"/>
      <c r="J489" s="65"/>
      <c r="K489" s="66"/>
    </row>
    <row r="490" spans="1:11" ht="12.75" customHeight="1">
      <c r="A490" s="65"/>
      <c r="I490" s="66"/>
      <c r="J490" s="65"/>
      <c r="K490" s="66"/>
    </row>
    <row r="491" spans="1:11" ht="12.75" customHeight="1">
      <c r="A491" s="65"/>
      <c r="I491" s="66"/>
      <c r="J491" s="65"/>
      <c r="K491" s="66"/>
    </row>
    <row r="492" spans="1:11" ht="12.75" customHeight="1">
      <c r="A492" s="65"/>
      <c r="I492" s="66"/>
      <c r="J492" s="65"/>
      <c r="K492" s="66"/>
    </row>
    <row r="493" spans="1:11" ht="12.75" customHeight="1">
      <c r="A493" s="65"/>
      <c r="I493" s="66"/>
      <c r="J493" s="65"/>
      <c r="K493" s="66"/>
    </row>
    <row r="494" spans="1:11" ht="12.75" customHeight="1">
      <c r="A494" s="65"/>
      <c r="I494" s="66"/>
      <c r="J494" s="65"/>
      <c r="K494" s="66"/>
    </row>
    <row r="495" spans="1:11" ht="12.75" customHeight="1">
      <c r="A495" s="65"/>
      <c r="I495" s="66"/>
      <c r="J495" s="65"/>
      <c r="K495" s="66"/>
    </row>
    <row r="496" spans="1:11" ht="12.75" customHeight="1">
      <c r="A496" s="65"/>
      <c r="I496" s="66"/>
      <c r="J496" s="65"/>
      <c r="K496" s="66"/>
    </row>
    <row r="497" spans="1:11" ht="12.75" customHeight="1">
      <c r="A497" s="65"/>
      <c r="I497" s="66"/>
      <c r="J497" s="65"/>
      <c r="K497" s="66"/>
    </row>
    <row r="498" spans="1:11" ht="12.75" customHeight="1">
      <c r="A498" s="65"/>
      <c r="I498" s="66"/>
      <c r="J498" s="65"/>
      <c r="K498" s="66"/>
    </row>
    <row r="499" spans="1:11" ht="12.75" customHeight="1">
      <c r="A499" s="65"/>
      <c r="I499" s="66"/>
      <c r="J499" s="65"/>
      <c r="K499" s="66"/>
    </row>
    <row r="500" spans="1:11" ht="12.75" customHeight="1">
      <c r="A500" s="65"/>
      <c r="I500" s="66"/>
      <c r="J500" s="65"/>
      <c r="K500" s="66"/>
    </row>
    <row r="501" spans="1:11" ht="12.75" customHeight="1">
      <c r="A501" s="65"/>
      <c r="I501" s="66"/>
      <c r="J501" s="65"/>
      <c r="K501" s="66"/>
    </row>
    <row r="502" spans="1:11" ht="12.75" customHeight="1">
      <c r="A502" s="65"/>
      <c r="I502" s="66"/>
      <c r="J502" s="65"/>
      <c r="K502" s="66"/>
    </row>
    <row r="503" spans="1:11" ht="12.75" customHeight="1">
      <c r="A503" s="65"/>
      <c r="I503" s="66"/>
      <c r="J503" s="65"/>
      <c r="K503" s="66"/>
    </row>
    <row r="504" spans="1:11" ht="12.75" customHeight="1">
      <c r="A504" s="65"/>
      <c r="I504" s="66"/>
      <c r="J504" s="65"/>
      <c r="K504" s="66"/>
    </row>
    <row r="505" spans="1:11" ht="12.75" customHeight="1">
      <c r="A505" s="65"/>
      <c r="I505" s="66"/>
      <c r="J505" s="65"/>
      <c r="K505" s="66"/>
    </row>
    <row r="506" spans="1:11" ht="12.75" customHeight="1">
      <c r="A506" s="65"/>
      <c r="I506" s="66"/>
      <c r="J506" s="65"/>
      <c r="K506" s="66"/>
    </row>
    <row r="507" spans="1:11" ht="12.75" customHeight="1">
      <c r="A507" s="65"/>
      <c r="I507" s="66"/>
      <c r="J507" s="65"/>
      <c r="K507" s="66"/>
    </row>
    <row r="508" spans="1:11" ht="12.75" customHeight="1">
      <c r="A508" s="65"/>
      <c r="I508" s="66"/>
      <c r="J508" s="65"/>
      <c r="K508" s="66"/>
    </row>
    <row r="509" spans="1:11" ht="12.75" customHeight="1">
      <c r="A509" s="65"/>
      <c r="I509" s="66"/>
      <c r="J509" s="65"/>
      <c r="K509" s="66"/>
    </row>
    <row r="510" spans="1:11" ht="12.75" customHeight="1">
      <c r="A510" s="65"/>
      <c r="I510" s="66"/>
      <c r="J510" s="65"/>
      <c r="K510" s="66"/>
    </row>
    <row r="511" spans="1:11" ht="12.75" customHeight="1">
      <c r="A511" s="65"/>
      <c r="I511" s="66"/>
      <c r="J511" s="65"/>
      <c r="K511" s="66"/>
    </row>
    <row r="512" spans="1:11" ht="12.75" customHeight="1">
      <c r="A512" s="65"/>
      <c r="I512" s="66"/>
      <c r="J512" s="65"/>
      <c r="K512" s="66"/>
    </row>
    <row r="513" spans="1:11" ht="12.75" customHeight="1">
      <c r="A513" s="65"/>
      <c r="I513" s="66"/>
      <c r="J513" s="65"/>
      <c r="K513" s="66"/>
    </row>
    <row r="514" spans="1:11" ht="12.75" customHeight="1">
      <c r="A514" s="65"/>
      <c r="I514" s="66"/>
      <c r="J514" s="65"/>
      <c r="K514" s="66"/>
    </row>
    <row r="515" spans="1:11" ht="12.75" customHeight="1">
      <c r="A515" s="65"/>
      <c r="I515" s="66"/>
      <c r="J515" s="65"/>
      <c r="K515" s="66"/>
    </row>
    <row r="516" spans="1:11" ht="12.75" customHeight="1">
      <c r="A516" s="65"/>
      <c r="I516" s="66"/>
      <c r="J516" s="65"/>
      <c r="K516" s="66"/>
    </row>
    <row r="517" spans="1:11" ht="12.75" customHeight="1">
      <c r="A517" s="65"/>
      <c r="I517" s="66"/>
      <c r="J517" s="65"/>
      <c r="K517" s="66"/>
    </row>
    <row r="518" spans="1:11" ht="12.75" customHeight="1">
      <c r="A518" s="65"/>
      <c r="I518" s="66"/>
      <c r="J518" s="65"/>
      <c r="K518" s="66"/>
    </row>
    <row r="519" spans="1:11" ht="12.75" customHeight="1">
      <c r="A519" s="65"/>
      <c r="I519" s="66"/>
      <c r="J519" s="65"/>
      <c r="K519" s="66"/>
    </row>
    <row r="520" spans="1:11" ht="12.75" customHeight="1">
      <c r="A520" s="65"/>
      <c r="I520" s="66"/>
      <c r="J520" s="65"/>
      <c r="K520" s="66"/>
    </row>
    <row r="521" spans="1:11" ht="12.75" customHeight="1">
      <c r="A521" s="65"/>
      <c r="I521" s="66"/>
      <c r="J521" s="65"/>
      <c r="K521" s="66"/>
    </row>
    <row r="522" spans="1:11" ht="12.75" customHeight="1">
      <c r="A522" s="65"/>
      <c r="I522" s="66"/>
      <c r="J522" s="65"/>
      <c r="K522" s="66"/>
    </row>
    <row r="523" spans="1:11" ht="12.75" customHeight="1">
      <c r="A523" s="65"/>
      <c r="I523" s="66"/>
      <c r="J523" s="65"/>
      <c r="K523" s="66"/>
    </row>
    <row r="524" spans="1:11" ht="12.75" customHeight="1">
      <c r="A524" s="65"/>
      <c r="I524" s="66"/>
      <c r="J524" s="65"/>
      <c r="K524" s="66"/>
    </row>
    <row r="525" spans="1:11" ht="12.75" customHeight="1">
      <c r="A525" s="65"/>
      <c r="I525" s="66"/>
      <c r="J525" s="65"/>
      <c r="K525" s="66"/>
    </row>
    <row r="526" spans="1:11" ht="12.75" customHeight="1">
      <c r="A526" s="65"/>
      <c r="I526" s="66"/>
      <c r="J526" s="65"/>
      <c r="K526" s="66"/>
    </row>
    <row r="527" spans="1:11" ht="12.75" customHeight="1">
      <c r="A527" s="65"/>
      <c r="I527" s="66"/>
      <c r="J527" s="65"/>
      <c r="K527" s="66"/>
    </row>
    <row r="528" spans="1:11" ht="12.75" customHeight="1">
      <c r="A528" s="65"/>
      <c r="I528" s="66"/>
      <c r="J528" s="65"/>
      <c r="K528" s="66"/>
    </row>
    <row r="529" spans="1:11" ht="12.75" customHeight="1">
      <c r="A529" s="65"/>
      <c r="I529" s="66"/>
      <c r="J529" s="65"/>
      <c r="K529" s="66"/>
    </row>
    <row r="530" spans="1:11" ht="12.75" customHeight="1">
      <c r="A530" s="65"/>
      <c r="I530" s="66"/>
      <c r="J530" s="65"/>
      <c r="K530" s="66"/>
    </row>
    <row r="531" spans="1:11" ht="12.75" customHeight="1">
      <c r="A531" s="65"/>
      <c r="I531" s="66"/>
      <c r="J531" s="65"/>
      <c r="K531" s="66"/>
    </row>
    <row r="532" spans="1:11" ht="12.75" customHeight="1">
      <c r="A532" s="65"/>
      <c r="I532" s="66"/>
      <c r="J532" s="65"/>
      <c r="K532" s="66"/>
    </row>
    <row r="533" spans="1:11" ht="12.75" customHeight="1">
      <c r="A533" s="65"/>
      <c r="I533" s="66"/>
      <c r="J533" s="65"/>
      <c r="K533" s="66"/>
    </row>
    <row r="534" spans="1:11" ht="12.75" customHeight="1">
      <c r="A534" s="65"/>
      <c r="I534" s="66"/>
      <c r="J534" s="65"/>
      <c r="K534" s="66"/>
    </row>
    <row r="535" spans="1:11" ht="12.75" customHeight="1">
      <c r="A535" s="65"/>
      <c r="I535" s="66"/>
      <c r="J535" s="65"/>
      <c r="K535" s="66"/>
    </row>
    <row r="536" spans="1:11" ht="12.75" customHeight="1">
      <c r="A536" s="65"/>
      <c r="I536" s="66"/>
      <c r="J536" s="65"/>
      <c r="K536" s="66"/>
    </row>
    <row r="537" spans="1:11" ht="12.75" customHeight="1">
      <c r="A537" s="65"/>
      <c r="I537" s="66"/>
      <c r="J537" s="65"/>
      <c r="K537" s="66"/>
    </row>
    <row r="538" spans="1:11" ht="12.75" customHeight="1">
      <c r="A538" s="65"/>
      <c r="I538" s="66"/>
      <c r="J538" s="65"/>
      <c r="K538" s="66"/>
    </row>
    <row r="539" spans="1:11" ht="12.75" customHeight="1">
      <c r="A539" s="65"/>
      <c r="I539" s="66"/>
      <c r="J539" s="65"/>
      <c r="K539" s="66"/>
    </row>
    <row r="540" spans="1:11" ht="12.75" customHeight="1">
      <c r="A540" s="65"/>
      <c r="I540" s="66"/>
      <c r="J540" s="65"/>
      <c r="K540" s="66"/>
    </row>
    <row r="541" spans="1:11" ht="12.75" customHeight="1">
      <c r="A541" s="65"/>
      <c r="I541" s="66"/>
      <c r="J541" s="65"/>
      <c r="K541" s="66"/>
    </row>
    <row r="542" spans="1:11" ht="12.75" customHeight="1">
      <c r="A542" s="65"/>
      <c r="I542" s="66"/>
      <c r="J542" s="65"/>
      <c r="K542" s="66"/>
    </row>
    <row r="543" spans="1:11" ht="12.75" customHeight="1">
      <c r="A543" s="65"/>
      <c r="I543" s="66"/>
      <c r="J543" s="65"/>
      <c r="K543" s="66"/>
    </row>
    <row r="544" spans="1:11" ht="12.75" customHeight="1">
      <c r="A544" s="65"/>
      <c r="I544" s="66"/>
      <c r="J544" s="65"/>
      <c r="K544" s="66"/>
    </row>
    <row r="545" spans="1:11" ht="12.75" customHeight="1">
      <c r="A545" s="65"/>
      <c r="I545" s="66"/>
      <c r="J545" s="65"/>
      <c r="K545" s="66"/>
    </row>
    <row r="546" spans="1:11" ht="12.75" customHeight="1">
      <c r="A546" s="65"/>
      <c r="I546" s="66"/>
      <c r="J546" s="65"/>
      <c r="K546" s="66"/>
    </row>
    <row r="547" spans="1:11" ht="12.75" customHeight="1">
      <c r="A547" s="65"/>
      <c r="I547" s="66"/>
      <c r="J547" s="65"/>
      <c r="K547" s="66"/>
    </row>
    <row r="548" spans="1:11" ht="12.75" customHeight="1">
      <c r="A548" s="65"/>
      <c r="I548" s="66"/>
      <c r="J548" s="65"/>
      <c r="K548" s="66"/>
    </row>
    <row r="549" spans="1:11" ht="12.75" customHeight="1">
      <c r="A549" s="65"/>
      <c r="I549" s="66"/>
      <c r="J549" s="65"/>
      <c r="K549" s="66"/>
    </row>
    <row r="550" spans="1:11" ht="12.75" customHeight="1">
      <c r="A550" s="65"/>
      <c r="I550" s="66"/>
      <c r="J550" s="65"/>
      <c r="K550" s="66"/>
    </row>
    <row r="551" spans="1:11" ht="12.75" customHeight="1">
      <c r="A551" s="65"/>
      <c r="I551" s="66"/>
      <c r="J551" s="65"/>
      <c r="K551" s="66"/>
    </row>
    <row r="552" spans="1:11" ht="12.75" customHeight="1">
      <c r="A552" s="65"/>
      <c r="I552" s="66"/>
      <c r="J552" s="65"/>
      <c r="K552" s="66"/>
    </row>
    <row r="553" spans="1:11" ht="12.75" customHeight="1">
      <c r="A553" s="65"/>
      <c r="I553" s="66"/>
      <c r="J553" s="65"/>
      <c r="K553" s="66"/>
    </row>
    <row r="554" spans="1:11" ht="12.75" customHeight="1">
      <c r="A554" s="65"/>
      <c r="I554" s="66"/>
      <c r="J554" s="65"/>
      <c r="K554" s="66"/>
    </row>
    <row r="555" spans="1:11" ht="12.75" customHeight="1">
      <c r="A555" s="65"/>
      <c r="I555" s="66"/>
      <c r="J555" s="65"/>
      <c r="K555" s="66"/>
    </row>
    <row r="556" spans="1:11" ht="12.75" customHeight="1">
      <c r="A556" s="65"/>
      <c r="I556" s="66"/>
      <c r="J556" s="65"/>
      <c r="K556" s="66"/>
    </row>
    <row r="557" spans="1:11" ht="12.75" customHeight="1">
      <c r="A557" s="65"/>
      <c r="I557" s="66"/>
      <c r="J557" s="65"/>
      <c r="K557" s="66"/>
    </row>
    <row r="558" spans="1:11" ht="12.75" customHeight="1">
      <c r="A558" s="65"/>
      <c r="I558" s="66"/>
      <c r="J558" s="65"/>
      <c r="K558" s="66"/>
    </row>
    <row r="559" spans="1:11" ht="12.75" customHeight="1">
      <c r="A559" s="65"/>
      <c r="I559" s="66"/>
      <c r="J559" s="65"/>
      <c r="K559" s="66"/>
    </row>
    <row r="560" spans="1:11" ht="12.75" customHeight="1">
      <c r="A560" s="65"/>
      <c r="I560" s="66"/>
      <c r="J560" s="65"/>
      <c r="K560" s="66"/>
    </row>
    <row r="561" spans="1:11" ht="12.75" customHeight="1">
      <c r="A561" s="65"/>
      <c r="I561" s="66"/>
      <c r="J561" s="65"/>
      <c r="K561" s="66"/>
    </row>
    <row r="562" spans="1:11" ht="12.75" customHeight="1">
      <c r="A562" s="65"/>
      <c r="I562" s="66"/>
      <c r="J562" s="65"/>
      <c r="K562" s="66"/>
    </row>
    <row r="563" spans="1:11" ht="12.75" customHeight="1">
      <c r="A563" s="65"/>
      <c r="I563" s="66"/>
      <c r="J563" s="65"/>
      <c r="K563" s="66"/>
    </row>
    <row r="564" spans="1:11" ht="12.75" customHeight="1">
      <c r="A564" s="65"/>
      <c r="I564" s="66"/>
      <c r="J564" s="65"/>
      <c r="K564" s="66"/>
    </row>
    <row r="565" spans="1:11" ht="12.75" customHeight="1">
      <c r="A565" s="65"/>
      <c r="I565" s="66"/>
      <c r="J565" s="65"/>
      <c r="K565" s="66"/>
    </row>
    <row r="566" spans="1:11" ht="12.75" customHeight="1">
      <c r="A566" s="65"/>
      <c r="I566" s="66"/>
      <c r="J566" s="65"/>
      <c r="K566" s="66"/>
    </row>
    <row r="567" spans="1:11" ht="12.75" customHeight="1">
      <c r="A567" s="65"/>
      <c r="I567" s="66"/>
      <c r="J567" s="65"/>
      <c r="K567" s="66"/>
    </row>
    <row r="568" spans="1:11" ht="12.75" customHeight="1">
      <c r="A568" s="65"/>
      <c r="I568" s="66"/>
      <c r="J568" s="65"/>
      <c r="K568" s="66"/>
    </row>
    <row r="569" spans="1:11" ht="12.75" customHeight="1">
      <c r="A569" s="65"/>
      <c r="I569" s="66"/>
      <c r="J569" s="65"/>
      <c r="K569" s="66"/>
    </row>
    <row r="570" spans="1:11" ht="12.75" customHeight="1">
      <c r="A570" s="65"/>
      <c r="I570" s="66"/>
      <c r="J570" s="65"/>
      <c r="K570" s="66"/>
    </row>
    <row r="571" spans="1:11" ht="12.75" customHeight="1">
      <c r="A571" s="65"/>
      <c r="I571" s="66"/>
      <c r="J571" s="65"/>
      <c r="K571" s="66"/>
    </row>
    <row r="572" spans="1:11" ht="12.75" customHeight="1">
      <c r="A572" s="65"/>
      <c r="I572" s="66"/>
      <c r="J572" s="65"/>
      <c r="K572" s="66"/>
    </row>
    <row r="573" spans="1:11" ht="12.75" customHeight="1">
      <c r="A573" s="65"/>
      <c r="I573" s="66"/>
      <c r="J573" s="65"/>
      <c r="K573" s="66"/>
    </row>
    <row r="574" spans="1:11" ht="12.75" customHeight="1">
      <c r="A574" s="65"/>
      <c r="I574" s="66"/>
      <c r="J574" s="65"/>
      <c r="K574" s="66"/>
    </row>
    <row r="575" spans="1:11" ht="12.75" customHeight="1">
      <c r="A575" s="65"/>
      <c r="I575" s="66"/>
      <c r="J575" s="65"/>
      <c r="K575" s="66"/>
    </row>
  </sheetData>
  <protectedRanges>
    <protectedRange password="CCDE" sqref="H101:H102 H107:H108" name="Range1"/>
    <protectedRange password="CCDE" sqref="H132 H145:H146 H156:H157 H170:H171 H173:H174" name="Range1_1"/>
    <protectedRange password="CCDE" sqref="H109" name="Range1_3"/>
    <protectedRange password="CCDE" sqref="E110:E115" name="Range1_2_1"/>
    <protectedRange password="CCDE" sqref="E116:E118" name="Range1_5_1_1"/>
  </protectedRanges>
  <dataConsolidate link="1">
    <dataRefs count="1">
      <dataRef ref="AJ49:AJ50" sheet="Laterally restrained(Tension)" r:id="rId1"/>
    </dataRefs>
  </dataConsolidate>
  <mergeCells count="333">
    <mergeCell ref="J8:K9"/>
    <mergeCell ref="F12:G12"/>
    <mergeCell ref="F13:G13"/>
    <mergeCell ref="F14:G14"/>
    <mergeCell ref="F16:G16"/>
    <mergeCell ref="F17:G17"/>
    <mergeCell ref="F18:G18"/>
    <mergeCell ref="A1:B7"/>
    <mergeCell ref="C1:I2"/>
    <mergeCell ref="C3:I4"/>
    <mergeCell ref="A8:A9"/>
    <mergeCell ref="B8:I9"/>
    <mergeCell ref="F27:G27"/>
    <mergeCell ref="F28:G28"/>
    <mergeCell ref="F29:G29"/>
    <mergeCell ref="F30:G30"/>
    <mergeCell ref="F31:G31"/>
    <mergeCell ref="F32:G32"/>
    <mergeCell ref="F19:G19"/>
    <mergeCell ref="F20:G20"/>
    <mergeCell ref="F21:G21"/>
    <mergeCell ref="F22:G22"/>
    <mergeCell ref="F24:H24"/>
    <mergeCell ref="F26:G26"/>
    <mergeCell ref="F39:G39"/>
    <mergeCell ref="F40:G40"/>
    <mergeCell ref="F41:G41"/>
    <mergeCell ref="F42:G42"/>
    <mergeCell ref="F43:G43"/>
    <mergeCell ref="F44:G44"/>
    <mergeCell ref="F33:G33"/>
    <mergeCell ref="F34:G34"/>
    <mergeCell ref="F35:G35"/>
    <mergeCell ref="F36:G36"/>
    <mergeCell ref="F37:G37"/>
    <mergeCell ref="F38:G38"/>
    <mergeCell ref="F53:G53"/>
    <mergeCell ref="F54:G54"/>
    <mergeCell ref="F56:H56"/>
    <mergeCell ref="F57:H57"/>
    <mergeCell ref="F58:H58"/>
    <mergeCell ref="F59:H59"/>
    <mergeCell ref="F45:G45"/>
    <mergeCell ref="F48:G48"/>
    <mergeCell ref="F49:G49"/>
    <mergeCell ref="F50:G50"/>
    <mergeCell ref="F51:G51"/>
    <mergeCell ref="F52:G52"/>
    <mergeCell ref="F69:G69"/>
    <mergeCell ref="F70:G70"/>
    <mergeCell ref="F71:G71"/>
    <mergeCell ref="F72:G72"/>
    <mergeCell ref="F73:G73"/>
    <mergeCell ref="F74:G74"/>
    <mergeCell ref="F60:H60"/>
    <mergeCell ref="F61:G61"/>
    <mergeCell ref="F64:G64"/>
    <mergeCell ref="F65:G65"/>
    <mergeCell ref="F67:G67"/>
    <mergeCell ref="F68:G68"/>
    <mergeCell ref="F81:G81"/>
    <mergeCell ref="F82:G82"/>
    <mergeCell ref="F83:G83"/>
    <mergeCell ref="F84:G84"/>
    <mergeCell ref="F85:G85"/>
    <mergeCell ref="F86:G86"/>
    <mergeCell ref="F75:G75"/>
    <mergeCell ref="F76:G76"/>
    <mergeCell ref="F77:G77"/>
    <mergeCell ref="F78:G78"/>
    <mergeCell ref="F79:G79"/>
    <mergeCell ref="F80:G80"/>
    <mergeCell ref="F96:G96"/>
    <mergeCell ref="F97:G97"/>
    <mergeCell ref="F98:G98"/>
    <mergeCell ref="F99:G99"/>
    <mergeCell ref="F100:G100"/>
    <mergeCell ref="F101:G101"/>
    <mergeCell ref="F87:G87"/>
    <mergeCell ref="F89:G89"/>
    <mergeCell ref="F90:G90"/>
    <mergeCell ref="F91:G91"/>
    <mergeCell ref="F92:G92"/>
    <mergeCell ref="F95:G95"/>
    <mergeCell ref="F108:G108"/>
    <mergeCell ref="F109:G109"/>
    <mergeCell ref="F110:G110"/>
    <mergeCell ref="F111:G111"/>
    <mergeCell ref="F112:G112"/>
    <mergeCell ref="F113:G113"/>
    <mergeCell ref="F102:G102"/>
    <mergeCell ref="F103:G103"/>
    <mergeCell ref="F104:G104"/>
    <mergeCell ref="F105:G105"/>
    <mergeCell ref="F106:G106"/>
    <mergeCell ref="F107:I107"/>
    <mergeCell ref="F121:G121"/>
    <mergeCell ref="F122:G122"/>
    <mergeCell ref="F123:G123"/>
    <mergeCell ref="F124:G124"/>
    <mergeCell ref="F125:G125"/>
    <mergeCell ref="F126:G126"/>
    <mergeCell ref="F114:G114"/>
    <mergeCell ref="F115:G115"/>
    <mergeCell ref="F116:G116"/>
    <mergeCell ref="F117:G117"/>
    <mergeCell ref="F118:G118"/>
    <mergeCell ref="F120:G120"/>
    <mergeCell ref="F133:G133"/>
    <mergeCell ref="F134:G134"/>
    <mergeCell ref="F135:G135"/>
    <mergeCell ref="F136:G136"/>
    <mergeCell ref="F137:G137"/>
    <mergeCell ref="F139:G139"/>
    <mergeCell ref="F127:G127"/>
    <mergeCell ref="F128:G128"/>
    <mergeCell ref="F129:G129"/>
    <mergeCell ref="F130:G130"/>
    <mergeCell ref="F131:G131"/>
    <mergeCell ref="F132:G132"/>
    <mergeCell ref="F148:G148"/>
    <mergeCell ref="B149:C149"/>
    <mergeCell ref="F149:G149"/>
    <mergeCell ref="B150:C150"/>
    <mergeCell ref="F150:G150"/>
    <mergeCell ref="B151:C151"/>
    <mergeCell ref="F151:G151"/>
    <mergeCell ref="F140:G140"/>
    <mergeCell ref="F141:G141"/>
    <mergeCell ref="B142:I142"/>
    <mergeCell ref="B143:I143"/>
    <mergeCell ref="F145:G145"/>
    <mergeCell ref="F146:G146"/>
    <mergeCell ref="F159:G159"/>
    <mergeCell ref="F160:G160"/>
    <mergeCell ref="F161:G161"/>
    <mergeCell ref="F162:G162"/>
    <mergeCell ref="F163:G163"/>
    <mergeCell ref="F164:G164"/>
    <mergeCell ref="F152:G152"/>
    <mergeCell ref="F153:G153"/>
    <mergeCell ref="F155:G155"/>
    <mergeCell ref="F156:G156"/>
    <mergeCell ref="F157:G157"/>
    <mergeCell ref="F158:G158"/>
    <mergeCell ref="F174:G174"/>
    <mergeCell ref="F175:G175"/>
    <mergeCell ref="F176:G176"/>
    <mergeCell ref="F177:G177"/>
    <mergeCell ref="F178:G178"/>
    <mergeCell ref="F179:G179"/>
    <mergeCell ref="F166:G166"/>
    <mergeCell ref="B168:I168"/>
    <mergeCell ref="F170:G170"/>
    <mergeCell ref="F171:G171"/>
    <mergeCell ref="F172:G172"/>
    <mergeCell ref="F173:G173"/>
    <mergeCell ref="F188:G188"/>
    <mergeCell ref="F189:G189"/>
    <mergeCell ref="B190:I190"/>
    <mergeCell ref="F193:G193"/>
    <mergeCell ref="F194:G194"/>
    <mergeCell ref="F196:G196"/>
    <mergeCell ref="F180:G180"/>
    <mergeCell ref="F181:G181"/>
    <mergeCell ref="F183:G183"/>
    <mergeCell ref="F185:G185"/>
    <mergeCell ref="F186:G186"/>
    <mergeCell ref="F187:G187"/>
    <mergeCell ref="F204:G204"/>
    <mergeCell ref="B205:I205"/>
    <mergeCell ref="F208:G208"/>
    <mergeCell ref="F209:G209"/>
    <mergeCell ref="F210:G210"/>
    <mergeCell ref="F211:G211"/>
    <mergeCell ref="F197:G197"/>
    <mergeCell ref="F198:G198"/>
    <mergeCell ref="F199:G199"/>
    <mergeCell ref="F201:G201"/>
    <mergeCell ref="F202:G202"/>
    <mergeCell ref="F203:G203"/>
    <mergeCell ref="F225:I225"/>
    <mergeCell ref="F227:G227"/>
    <mergeCell ref="F228:G228"/>
    <mergeCell ref="F229:G229"/>
    <mergeCell ref="F230:G230"/>
    <mergeCell ref="F231:G231"/>
    <mergeCell ref="F212:G212"/>
    <mergeCell ref="F218:G218"/>
    <mergeCell ref="F219:G219"/>
    <mergeCell ref="F220:G220"/>
    <mergeCell ref="F221:G221"/>
    <mergeCell ref="F222:G222"/>
    <mergeCell ref="F245:G245"/>
    <mergeCell ref="B247:I247"/>
    <mergeCell ref="F250:G250"/>
    <mergeCell ref="F251:G251"/>
    <mergeCell ref="F254:G254"/>
    <mergeCell ref="F255:G255"/>
    <mergeCell ref="F233:G233"/>
    <mergeCell ref="F234:G234"/>
    <mergeCell ref="F238:I238"/>
    <mergeCell ref="F239:G239"/>
    <mergeCell ref="F242:G242"/>
    <mergeCell ref="F243:G243"/>
    <mergeCell ref="F272:G272"/>
    <mergeCell ref="F273:G273"/>
    <mergeCell ref="F274:G274"/>
    <mergeCell ref="F275:G275"/>
    <mergeCell ref="F276:G276"/>
    <mergeCell ref="F277:G277"/>
    <mergeCell ref="F256:G256"/>
    <mergeCell ref="F257:G257"/>
    <mergeCell ref="F258:G258"/>
    <mergeCell ref="F259:G259"/>
    <mergeCell ref="F260:G260"/>
    <mergeCell ref="F261:G261"/>
    <mergeCell ref="F285:G285"/>
    <mergeCell ref="F286:G286"/>
    <mergeCell ref="F287:G287"/>
    <mergeCell ref="F288:G288"/>
    <mergeCell ref="F289:G289"/>
    <mergeCell ref="F290:G290"/>
    <mergeCell ref="F278:G278"/>
    <mergeCell ref="F279:G279"/>
    <mergeCell ref="F280:G280"/>
    <mergeCell ref="F281:G281"/>
    <mergeCell ref="F282:G282"/>
    <mergeCell ref="F283:G283"/>
    <mergeCell ref="B303:C303"/>
    <mergeCell ref="F303:G303"/>
    <mergeCell ref="F304:G304"/>
    <mergeCell ref="F291:G291"/>
    <mergeCell ref="F292:G292"/>
    <mergeCell ref="F293:G293"/>
    <mergeCell ref="F294:G294"/>
    <mergeCell ref="F295:G295"/>
    <mergeCell ref="B297:I297"/>
    <mergeCell ref="F305:I305"/>
    <mergeCell ref="F306:G306"/>
    <mergeCell ref="F309:G309"/>
    <mergeCell ref="F310:G310"/>
    <mergeCell ref="F311:G311"/>
    <mergeCell ref="F312:G312"/>
    <mergeCell ref="F300:G300"/>
    <mergeCell ref="F301:G301"/>
    <mergeCell ref="F302:G302"/>
    <mergeCell ref="F318:G318"/>
    <mergeCell ref="F319:G319"/>
    <mergeCell ref="F320:G320"/>
    <mergeCell ref="F321:G321"/>
    <mergeCell ref="F322:G322"/>
    <mergeCell ref="F323:G323"/>
    <mergeCell ref="F313:G313"/>
    <mergeCell ref="F314:G314"/>
    <mergeCell ref="B315:C315"/>
    <mergeCell ref="F316:G316"/>
    <mergeCell ref="B317:C317"/>
    <mergeCell ref="F317:G317"/>
    <mergeCell ref="F336:G336"/>
    <mergeCell ref="F337:G337"/>
    <mergeCell ref="F338:G338"/>
    <mergeCell ref="F339:G339"/>
    <mergeCell ref="F340:G340"/>
    <mergeCell ref="F341:G341"/>
    <mergeCell ref="F324:G324"/>
    <mergeCell ref="F325:G325"/>
    <mergeCell ref="F326:G326"/>
    <mergeCell ref="F327:G327"/>
    <mergeCell ref="F328:G328"/>
    <mergeCell ref="F333:G333"/>
    <mergeCell ref="F351:G351"/>
    <mergeCell ref="F352:G352"/>
    <mergeCell ref="F354:G354"/>
    <mergeCell ref="F355:G355"/>
    <mergeCell ref="B358:I358"/>
    <mergeCell ref="F362:G362"/>
    <mergeCell ref="B342:I342"/>
    <mergeCell ref="F344:I344"/>
    <mergeCell ref="F345:G345"/>
    <mergeCell ref="F347:G347"/>
    <mergeCell ref="F348:G348"/>
    <mergeCell ref="F350:G350"/>
    <mergeCell ref="F372:G372"/>
    <mergeCell ref="F373:G373"/>
    <mergeCell ref="F374:G374"/>
    <mergeCell ref="F375:G375"/>
    <mergeCell ref="F376:G376"/>
    <mergeCell ref="F377:G377"/>
    <mergeCell ref="F363:G363"/>
    <mergeCell ref="F368:G368"/>
    <mergeCell ref="B369:C369"/>
    <mergeCell ref="F369:G369"/>
    <mergeCell ref="F370:G370"/>
    <mergeCell ref="F371:G371"/>
    <mergeCell ref="B384:C384"/>
    <mergeCell ref="F384:G384"/>
    <mergeCell ref="F385:G385"/>
    <mergeCell ref="F386:G386"/>
    <mergeCell ref="F387:G387"/>
    <mergeCell ref="F388:G388"/>
    <mergeCell ref="F379:G379"/>
    <mergeCell ref="F381:G381"/>
    <mergeCell ref="B382:C382"/>
    <mergeCell ref="F382:G382"/>
    <mergeCell ref="B383:C383"/>
    <mergeCell ref="F383:G383"/>
    <mergeCell ref="F395:G395"/>
    <mergeCell ref="F396:G396"/>
    <mergeCell ref="F401:G401"/>
    <mergeCell ref="F402:G402"/>
    <mergeCell ref="F405:G405"/>
    <mergeCell ref="B406:I406"/>
    <mergeCell ref="F389:G389"/>
    <mergeCell ref="F390:G390"/>
    <mergeCell ref="F391:G391"/>
    <mergeCell ref="F392:G392"/>
    <mergeCell ref="F393:G393"/>
    <mergeCell ref="F394:G394"/>
    <mergeCell ref="F468:G468"/>
    <mergeCell ref="F469:G469"/>
    <mergeCell ref="F422:G422"/>
    <mergeCell ref="F462:G462"/>
    <mergeCell ref="F463:G463"/>
    <mergeCell ref="F464:G464"/>
    <mergeCell ref="F465:G465"/>
    <mergeCell ref="F467:G467"/>
    <mergeCell ref="F410:G410"/>
    <mergeCell ref="F411:G411"/>
    <mergeCell ref="F412:G412"/>
    <mergeCell ref="F415:G415"/>
    <mergeCell ref="F416:G416"/>
    <mergeCell ref="F421:G421"/>
  </mergeCells>
  <dataValidations count="10">
    <dataValidation type="list" allowBlank="1" showInputMessage="1" showErrorMessage="1" sqref="F60:H60">
      <formula1>$T$121:$T$122</formula1>
    </dataValidation>
    <dataValidation type="list" allowBlank="1" showInputMessage="1" showErrorMessage="1" sqref="F59:H59">
      <formula1>$T$117:$T$118</formula1>
    </dataValidation>
    <dataValidation type="list" allowBlank="1" showInputMessage="1" showErrorMessage="1" sqref="F58:H58">
      <formula1>$T$107:$T$109</formula1>
    </dataValidation>
    <dataValidation type="list" allowBlank="1" showInputMessage="1" showErrorMessage="1" sqref="F57:H57">
      <formula1>$T$103:$T$104</formula1>
    </dataValidation>
    <dataValidation type="list" allowBlank="1" showInputMessage="1" showErrorMessage="1" sqref="F24:H24">
      <formula1>$Q$23:$Q$32</formula1>
    </dataValidation>
    <dataValidation type="list" allowBlank="1" showInputMessage="1" showErrorMessage="1" sqref="F56">
      <formula1>$T$100:$T$101</formula1>
    </dataValidation>
    <dataValidation type="list" allowBlank="1" showInputMessage="1" showErrorMessage="1" sqref="F111:G111">
      <formula1>$T$97:$T$98</formula1>
    </dataValidation>
    <dataValidation type="list" allowBlank="1" showInputMessage="1" showErrorMessage="1" sqref="F107">
      <formula1>$T$92:$T$95</formula1>
    </dataValidation>
    <dataValidation type="list" allowBlank="1" showInputMessage="1" showErrorMessage="1" sqref="G25:H25">
      <formula1>$T$29:$T$34</formula1>
    </dataValidation>
    <dataValidation type="list" allowBlank="1" showInputMessage="1" showErrorMessage="1" sqref="F77:G77">
      <formula1>$T$75:$T$86</formula1>
    </dataValidation>
  </dataValidations>
  <printOptions horizontalCentered="1"/>
  <pageMargins left="0.7" right="0.5" top="0.75" bottom="0.75" header="0" footer="0"/>
  <pageSetup paperSize="9" scale="90" fitToHeight="14" orientation="portrait" horizontalDpi="300" verticalDpi="300" r:id="rId2"/>
  <headerFooter alignWithMargins="0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I26" sqref="I26:I28"/>
    </sheetView>
  </sheetViews>
  <sheetFormatPr defaultRowHeight="12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IS 801 cold formed design check</vt:lpstr>
      <vt:lpstr>Sheet1</vt:lpstr>
      <vt:lpstr>'IS 801 cold formed design check'!Print_Area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sourabh1</dc:creator>
  <cp:lastModifiedBy>Gokul</cp:lastModifiedBy>
  <dcterms:created xsi:type="dcterms:W3CDTF">2015-07-22T12:14:13Z</dcterms:created>
  <dcterms:modified xsi:type="dcterms:W3CDTF">2018-08-16T15:36:49Z</dcterms:modified>
</cp:coreProperties>
</file>