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0490" windowHeight="7755" firstSheet="1" activeTab="7"/>
  </bookViews>
  <sheets>
    <sheet name="GS" sheetId="12" state="hidden" r:id="rId1"/>
    <sheet name="RGH" sheetId="4" r:id="rId2"/>
    <sheet name="NB-ALL" sheetId="13" state="hidden" r:id="rId3"/>
    <sheet name="GRADE" sheetId="16" r:id="rId4"/>
    <sheet name="NB-LIB" sheetId="3" r:id="rId5"/>
    <sheet name="RHS-LIB" sheetId="6" r:id="rId6"/>
    <sheet name="UB-UC" sheetId="15" r:id="rId7"/>
    <sheet name="CHS" sheetId="1" r:id="rId8"/>
    <sheet name="BOX" sheetId="5" r:id="rId9"/>
    <sheet name="I-SECT" sheetId="7" r:id="rId10"/>
    <sheet name="CFT-CHS" sheetId="17" r:id="rId11"/>
    <sheet name="CFT-RHS" sheetId="18" r:id="rId12"/>
    <sheet name="Chk" sheetId="19" r:id="rId13"/>
    <sheet name="py" sheetId="20" r:id="rId14"/>
  </sheets>
  <definedNames>
    <definedName name="_xlnm._FilterDatabase" localSheetId="2" hidden="1">'NB-ALL'!$B$1:$M$82</definedName>
    <definedName name="_xlnm._FilterDatabase" localSheetId="6">'UB-UC'!$A$1:$U$113</definedName>
    <definedName name="_xlnm.Print_Area" localSheetId="3">GRADE!#REF!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6" i="1" l="1"/>
  <c r="E214" i="7" l="1"/>
  <c r="E47" i="7" l="1"/>
  <c r="E35" i="7"/>
  <c r="E34" i="7"/>
  <c r="I28" i="7" l="1"/>
  <c r="I25" i="7"/>
  <c r="J71" i="17" l="1"/>
  <c r="J73" i="17" s="1"/>
  <c r="F44" i="17" l="1"/>
  <c r="H307" i="18"/>
  <c r="H306" i="18"/>
  <c r="H305" i="18"/>
  <c r="H304" i="18"/>
  <c r="H303" i="18"/>
  <c r="H302" i="18"/>
  <c r="E49" i="18"/>
  <c r="E27" i="18"/>
  <c r="E26" i="18"/>
  <c r="E9" i="18"/>
  <c r="E8" i="18"/>
  <c r="E7" i="18"/>
  <c r="E6" i="18"/>
  <c r="E5" i="18"/>
  <c r="E4" i="18"/>
  <c r="I214" i="17"/>
  <c r="I213" i="17"/>
  <c r="I212" i="17"/>
  <c r="I211" i="17"/>
  <c r="I210" i="17"/>
  <c r="I209" i="17"/>
  <c r="E44" i="17"/>
  <c r="E25" i="17"/>
  <c r="E24" i="17"/>
  <c r="E9" i="17"/>
  <c r="E8" i="17"/>
  <c r="E7" i="17"/>
  <c r="E6" i="17"/>
  <c r="E5" i="17"/>
  <c r="E4" i="17"/>
  <c r="E70" i="17" s="1"/>
  <c r="E208" i="17" s="1"/>
  <c r="E69" i="17" l="1"/>
  <c r="D208" i="17" s="1"/>
  <c r="E181" i="17"/>
  <c r="E79" i="18"/>
  <c r="D301" i="18" s="1"/>
  <c r="E80" i="18"/>
  <c r="E301" i="18" s="1"/>
  <c r="E274" i="18"/>
  <c r="V3" i="3" l="1"/>
  <c r="W3" i="3"/>
  <c r="X3" i="3"/>
  <c r="V4" i="3"/>
  <c r="W4" i="3"/>
  <c r="AB4" i="3"/>
  <c r="V5" i="3"/>
  <c r="W5" i="3"/>
  <c r="X5" i="3"/>
  <c r="V6" i="3"/>
  <c r="W6" i="3"/>
  <c r="V7" i="3"/>
  <c r="W7" i="3"/>
  <c r="X7" i="3"/>
  <c r="Y7" i="3"/>
  <c r="V8" i="3"/>
  <c r="W8" i="3"/>
  <c r="V9" i="3"/>
  <c r="W9" i="3"/>
  <c r="V10" i="3"/>
  <c r="W10" i="3"/>
  <c r="V11" i="3"/>
  <c r="W11" i="3"/>
  <c r="V12" i="3"/>
  <c r="W12" i="3"/>
  <c r="V13" i="3"/>
  <c r="X13" i="3" s="1"/>
  <c r="W13" i="3"/>
  <c r="V14" i="3"/>
  <c r="W14" i="3"/>
  <c r="V15" i="3"/>
  <c r="W15" i="3"/>
  <c r="X15" i="3"/>
  <c r="F3" i="3"/>
  <c r="G3" i="3" s="1"/>
  <c r="H3" i="3"/>
  <c r="I3" i="3"/>
  <c r="L3" i="3"/>
  <c r="M3" i="3"/>
  <c r="Q3" i="3" s="1"/>
  <c r="N3" i="3"/>
  <c r="O3" i="3"/>
  <c r="R3" i="3"/>
  <c r="F4" i="3"/>
  <c r="Y4" i="3" s="1"/>
  <c r="H4" i="3"/>
  <c r="P4" i="3" s="1"/>
  <c r="I4" i="3"/>
  <c r="K4" i="3" s="1"/>
  <c r="L4" i="3"/>
  <c r="Q4" i="3" s="1"/>
  <c r="M4" i="3"/>
  <c r="N4" i="3"/>
  <c r="O4" i="3"/>
  <c r="R4" i="3"/>
  <c r="S4" i="3"/>
  <c r="F5" i="3"/>
  <c r="G5" i="3" s="1"/>
  <c r="H5" i="3"/>
  <c r="J5" i="3" s="1"/>
  <c r="I5" i="3"/>
  <c r="L5" i="3"/>
  <c r="M5" i="3"/>
  <c r="N5" i="3"/>
  <c r="O5" i="3"/>
  <c r="R5" i="3"/>
  <c r="S5" i="3"/>
  <c r="F6" i="3"/>
  <c r="J6" i="3" s="1"/>
  <c r="H6" i="3"/>
  <c r="I6" i="3"/>
  <c r="L6" i="3"/>
  <c r="Q6" i="3" s="1"/>
  <c r="M6" i="3"/>
  <c r="N6" i="3"/>
  <c r="O6" i="3"/>
  <c r="P6" i="3"/>
  <c r="R6" i="3"/>
  <c r="F7" i="3"/>
  <c r="G7" i="3" s="1"/>
  <c r="H7" i="3"/>
  <c r="J7" i="3" s="1"/>
  <c r="I7" i="3"/>
  <c r="L7" i="3"/>
  <c r="M7" i="3"/>
  <c r="N7" i="3"/>
  <c r="O7" i="3"/>
  <c r="R7" i="3"/>
  <c r="F8" i="3"/>
  <c r="H8" i="3"/>
  <c r="I8" i="3"/>
  <c r="K8" i="3" s="1"/>
  <c r="L8" i="3"/>
  <c r="M8" i="3"/>
  <c r="N8" i="3"/>
  <c r="O8" i="3"/>
  <c r="R8" i="3"/>
  <c r="F9" i="3"/>
  <c r="G9" i="3" s="1"/>
  <c r="H9" i="3"/>
  <c r="I9" i="3"/>
  <c r="L9" i="3"/>
  <c r="M9" i="3"/>
  <c r="Q9" i="3" s="1"/>
  <c r="N9" i="3"/>
  <c r="O9" i="3"/>
  <c r="R9" i="3"/>
  <c r="F10" i="3"/>
  <c r="J10" i="3" s="1"/>
  <c r="H10" i="3"/>
  <c r="I10" i="3"/>
  <c r="L10" i="3"/>
  <c r="M10" i="3"/>
  <c r="N10" i="3"/>
  <c r="O10" i="3"/>
  <c r="R10" i="3"/>
  <c r="F11" i="3"/>
  <c r="G11" i="3" s="1"/>
  <c r="H11" i="3"/>
  <c r="I11" i="3"/>
  <c r="L11" i="3"/>
  <c r="M11" i="3"/>
  <c r="Q11" i="3" s="1"/>
  <c r="N11" i="3"/>
  <c r="O11" i="3"/>
  <c r="R11" i="3"/>
  <c r="F12" i="3"/>
  <c r="J12" i="3" s="1"/>
  <c r="H12" i="3"/>
  <c r="I12" i="3"/>
  <c r="L12" i="3"/>
  <c r="M12" i="3"/>
  <c r="N12" i="3"/>
  <c r="O12" i="3"/>
  <c r="R12" i="3"/>
  <c r="F13" i="3"/>
  <c r="G13" i="3" s="1"/>
  <c r="H13" i="3"/>
  <c r="I13" i="3"/>
  <c r="L13" i="3"/>
  <c r="M13" i="3"/>
  <c r="Q13" i="3" s="1"/>
  <c r="N13" i="3"/>
  <c r="O13" i="3"/>
  <c r="R13" i="3"/>
  <c r="F14" i="3"/>
  <c r="J14" i="3" s="1"/>
  <c r="H14" i="3"/>
  <c r="I14" i="3"/>
  <c r="P14" i="3" s="1"/>
  <c r="L14" i="3"/>
  <c r="Q14" i="3" s="1"/>
  <c r="M14" i="3"/>
  <c r="N14" i="3"/>
  <c r="O14" i="3"/>
  <c r="R14" i="3"/>
  <c r="F15" i="3"/>
  <c r="G15" i="3" s="1"/>
  <c r="H15" i="3"/>
  <c r="I15" i="3"/>
  <c r="L15" i="3"/>
  <c r="M15" i="3"/>
  <c r="N15" i="3"/>
  <c r="O15" i="3"/>
  <c r="R15" i="3"/>
  <c r="AC11" i="3" l="1"/>
  <c r="AF11" i="3"/>
  <c r="AI11" i="3"/>
  <c r="AE11" i="3"/>
  <c r="AJ11" i="3"/>
  <c r="AC6" i="3"/>
  <c r="K14" i="3"/>
  <c r="Q12" i="3"/>
  <c r="Q10" i="3"/>
  <c r="Q8" i="3"/>
  <c r="J8" i="3"/>
  <c r="Q7" i="3"/>
  <c r="X14" i="3"/>
  <c r="Z14" i="3" s="1"/>
  <c r="AE14" i="3"/>
  <c r="AI14" i="3"/>
  <c r="AF14" i="3"/>
  <c r="AJ14" i="3"/>
  <c r="X12" i="3"/>
  <c r="Z12" i="3" s="1"/>
  <c r="AE12" i="3"/>
  <c r="AI12" i="3"/>
  <c r="AF12" i="3"/>
  <c r="AJ12" i="3"/>
  <c r="AC9" i="3"/>
  <c r="AE9" i="3"/>
  <c r="AJ9" i="3"/>
  <c r="AF9" i="3"/>
  <c r="AI9" i="3"/>
  <c r="K6" i="3"/>
  <c r="S3" i="3"/>
  <c r="P12" i="3"/>
  <c r="P10" i="3"/>
  <c r="X11" i="3"/>
  <c r="Z11" i="3" s="1"/>
  <c r="X10" i="3"/>
  <c r="Z10" i="3" s="1"/>
  <c r="AE10" i="3"/>
  <c r="AI10" i="3"/>
  <c r="AF10" i="3"/>
  <c r="AJ10" i="3"/>
  <c r="X6" i="3"/>
  <c r="Z6" i="3" s="1"/>
  <c r="AJ6" i="3"/>
  <c r="AE6" i="3"/>
  <c r="AF6" i="3"/>
  <c r="AI6" i="3"/>
  <c r="AC5" i="3"/>
  <c r="AF5" i="3"/>
  <c r="AJ5" i="3"/>
  <c r="AE5" i="3"/>
  <c r="AI5" i="3"/>
  <c r="X4" i="3"/>
  <c r="Z4" i="3" s="1"/>
  <c r="AF4" i="3"/>
  <c r="AI4" i="3"/>
  <c r="AJ4" i="3"/>
  <c r="AE4" i="3"/>
  <c r="AI3" i="3"/>
  <c r="AE3" i="3"/>
  <c r="AJ3" i="3"/>
  <c r="AF3" i="3"/>
  <c r="Q15" i="3"/>
  <c r="P8" i="3"/>
  <c r="G6" i="3"/>
  <c r="P5" i="3"/>
  <c r="J3" i="3"/>
  <c r="AC15" i="3"/>
  <c r="AE15" i="3"/>
  <c r="AJ15" i="3"/>
  <c r="AF15" i="3"/>
  <c r="AI15" i="3"/>
  <c r="X9" i="3"/>
  <c r="AI8" i="3"/>
  <c r="AE8" i="3"/>
  <c r="AJ8" i="3"/>
  <c r="AF8" i="3"/>
  <c r="AC7" i="3"/>
  <c r="AE7" i="3"/>
  <c r="AI7" i="3"/>
  <c r="AF7" i="3"/>
  <c r="AJ7" i="3"/>
  <c r="Y5" i="3"/>
  <c r="AC4" i="3"/>
  <c r="Y3" i="3"/>
  <c r="AC13" i="3"/>
  <c r="AI13" i="3"/>
  <c r="AE13" i="3"/>
  <c r="AJ13" i="3"/>
  <c r="AF13" i="3"/>
  <c r="K12" i="3"/>
  <c r="AC14" i="3"/>
  <c r="Y13" i="3"/>
  <c r="Y11" i="3"/>
  <c r="Y9" i="3"/>
  <c r="S14" i="3"/>
  <c r="S12" i="3"/>
  <c r="S10" i="3"/>
  <c r="S8" i="3"/>
  <c r="S7" i="3"/>
  <c r="Z15" i="3"/>
  <c r="AB14" i="3"/>
  <c r="Z13" i="3"/>
  <c r="AB12" i="3"/>
  <c r="AB10" i="3"/>
  <c r="Z9" i="3"/>
  <c r="AB8" i="3"/>
  <c r="Z7" i="3"/>
  <c r="AB6" i="3"/>
  <c r="Z5" i="3"/>
  <c r="Z3" i="3"/>
  <c r="P15" i="3"/>
  <c r="K13" i="3"/>
  <c r="P11" i="3"/>
  <c r="K9" i="3"/>
  <c r="S6" i="3"/>
  <c r="Q5" i="3"/>
  <c r="G4" i="3"/>
  <c r="Y14" i="3"/>
  <c r="Y12" i="3"/>
  <c r="Y10" i="3"/>
  <c r="Y8" i="3"/>
  <c r="Y6" i="3"/>
  <c r="AC3" i="3"/>
  <c r="K10" i="3"/>
  <c r="Y15" i="3"/>
  <c r="AC12" i="3"/>
  <c r="AC10" i="3"/>
  <c r="AC8" i="3"/>
  <c r="J15" i="3"/>
  <c r="G14" i="3"/>
  <c r="J13" i="3"/>
  <c r="G12" i="3"/>
  <c r="J11" i="3"/>
  <c r="G10" i="3"/>
  <c r="J9" i="3"/>
  <c r="G8" i="3"/>
  <c r="P7" i="3"/>
  <c r="J4" i="3"/>
  <c r="K3" i="3"/>
  <c r="AB15" i="3"/>
  <c r="AB13" i="3"/>
  <c r="AB11" i="3"/>
  <c r="AB9" i="3"/>
  <c r="X8" i="3"/>
  <c r="Z8" i="3" s="1"/>
  <c r="AB7" i="3"/>
  <c r="AB5" i="3"/>
  <c r="AB3" i="3"/>
  <c r="AA15" i="3"/>
  <c r="AA14" i="3"/>
  <c r="AA13" i="3"/>
  <c r="AA12" i="3"/>
  <c r="AA11" i="3"/>
  <c r="AA10" i="3"/>
  <c r="AA9" i="3"/>
  <c r="AA7" i="3"/>
  <c r="AA6" i="3"/>
  <c r="AA5" i="3"/>
  <c r="AA3" i="3"/>
  <c r="P13" i="3"/>
  <c r="P9" i="3"/>
  <c r="P3" i="3"/>
  <c r="S15" i="3"/>
  <c r="K15" i="3"/>
  <c r="S13" i="3"/>
  <c r="S11" i="3"/>
  <c r="K11" i="3"/>
  <c r="S9" i="3"/>
  <c r="K7" i="3"/>
  <c r="K5" i="3"/>
  <c r="AG6" i="3" l="1"/>
  <c r="AH6" i="3"/>
  <c r="AG9" i="3"/>
  <c r="AH9" i="3"/>
  <c r="AG15" i="3"/>
  <c r="AH15" i="3"/>
  <c r="AG12" i="3"/>
  <c r="AH12" i="3"/>
  <c r="AG11" i="3"/>
  <c r="AH11" i="3"/>
  <c r="AA4" i="3"/>
  <c r="AG3" i="3"/>
  <c r="AH3" i="3"/>
  <c r="AG5" i="3"/>
  <c r="AH5" i="3"/>
  <c r="AH10" i="3"/>
  <c r="AG10" i="3"/>
  <c r="AG14" i="3"/>
  <c r="AH14" i="3"/>
  <c r="AG4" i="3"/>
  <c r="AH4" i="3"/>
  <c r="AH7" i="3"/>
  <c r="AG7" i="3"/>
  <c r="AG8" i="3"/>
  <c r="AH8" i="3"/>
  <c r="AG13" i="3"/>
  <c r="AH13" i="3"/>
  <c r="AA8" i="3"/>
  <c r="H56" i="4"/>
  <c r="E10" i="7" l="1"/>
  <c r="E125" i="7" s="1"/>
  <c r="E127" i="7" s="1"/>
  <c r="AE45" i="15"/>
  <c r="AE109" i="15"/>
  <c r="AD15" i="15"/>
  <c r="AD79" i="15"/>
  <c r="AD141" i="15"/>
  <c r="Z14" i="15"/>
  <c r="Z30" i="15"/>
  <c r="Z46" i="15"/>
  <c r="Z62" i="15"/>
  <c r="Z78" i="15"/>
  <c r="Z94" i="15"/>
  <c r="Z110" i="15"/>
  <c r="Z126" i="15"/>
  <c r="AC126" i="15" s="1"/>
  <c r="Z142" i="15"/>
  <c r="AC142" i="15" s="1"/>
  <c r="Z158" i="15"/>
  <c r="AC158" i="15" s="1"/>
  <c r="Y159" i="15"/>
  <c r="X159" i="15"/>
  <c r="Y158" i="15"/>
  <c r="X158" i="15"/>
  <c r="Y157" i="15"/>
  <c r="X157" i="15"/>
  <c r="AD157" i="15" s="1"/>
  <c r="Y156" i="15"/>
  <c r="X156" i="15"/>
  <c r="Y155" i="15"/>
  <c r="X155" i="15"/>
  <c r="Y154" i="15"/>
  <c r="X154" i="15"/>
  <c r="Z154" i="15" s="1"/>
  <c r="Y153" i="15"/>
  <c r="X153" i="15"/>
  <c r="Y152" i="15"/>
  <c r="X152" i="15"/>
  <c r="Y151" i="15"/>
  <c r="X151" i="15"/>
  <c r="Y150" i="15"/>
  <c r="X150" i="15"/>
  <c r="Z150" i="15" s="1"/>
  <c r="Y149" i="15"/>
  <c r="X149" i="15"/>
  <c r="AE149" i="15" s="1"/>
  <c r="Y148" i="15"/>
  <c r="X148" i="15"/>
  <c r="Y147" i="15"/>
  <c r="X147" i="15"/>
  <c r="Y146" i="15"/>
  <c r="X146" i="15"/>
  <c r="Y145" i="15"/>
  <c r="X145" i="15"/>
  <c r="Y144" i="15"/>
  <c r="X144" i="15"/>
  <c r="Y143" i="15"/>
  <c r="X143" i="15"/>
  <c r="Y142" i="15"/>
  <c r="X142" i="15"/>
  <c r="Y141" i="15"/>
  <c r="X141" i="15"/>
  <c r="AE141" i="15" s="1"/>
  <c r="Y140" i="15"/>
  <c r="X140" i="15"/>
  <c r="Y139" i="15"/>
  <c r="X139" i="15"/>
  <c r="Y138" i="15"/>
  <c r="X138" i="15"/>
  <c r="Z138" i="15" s="1"/>
  <c r="Y137" i="15"/>
  <c r="X137" i="15"/>
  <c r="Y136" i="15"/>
  <c r="X136" i="15"/>
  <c r="Y135" i="15"/>
  <c r="X135" i="15"/>
  <c r="Y134" i="15"/>
  <c r="X134" i="15"/>
  <c r="Z134" i="15" s="1"/>
  <c r="Y133" i="15"/>
  <c r="X133" i="15"/>
  <c r="Y132" i="15"/>
  <c r="X132" i="15"/>
  <c r="Y131" i="15"/>
  <c r="X131" i="15"/>
  <c r="Y130" i="15"/>
  <c r="X130" i="15"/>
  <c r="Y129" i="15"/>
  <c r="X129" i="15"/>
  <c r="Y128" i="15"/>
  <c r="X128" i="15"/>
  <c r="Y127" i="15"/>
  <c r="X127" i="15"/>
  <c r="AE127" i="15" s="1"/>
  <c r="Y126" i="15"/>
  <c r="X126" i="15"/>
  <c r="Y125" i="15"/>
  <c r="X125" i="15"/>
  <c r="AD125" i="15" s="1"/>
  <c r="Y124" i="15"/>
  <c r="X124" i="15"/>
  <c r="Y123" i="15"/>
  <c r="X123" i="15"/>
  <c r="Y122" i="15"/>
  <c r="X122" i="15"/>
  <c r="Z122" i="15" s="1"/>
  <c r="Y121" i="15"/>
  <c r="X121" i="15"/>
  <c r="Y120" i="15"/>
  <c r="X120" i="15"/>
  <c r="Y119" i="15"/>
  <c r="X119" i="15"/>
  <c r="Y118" i="15"/>
  <c r="X118" i="15"/>
  <c r="Z118" i="15" s="1"/>
  <c r="Y117" i="15"/>
  <c r="X117" i="15"/>
  <c r="Y116" i="15"/>
  <c r="X116" i="15"/>
  <c r="Y115" i="15"/>
  <c r="X115" i="15"/>
  <c r="Y114" i="15"/>
  <c r="X114" i="15"/>
  <c r="Y113" i="15"/>
  <c r="X113" i="15"/>
  <c r="Y112" i="15"/>
  <c r="X112" i="15"/>
  <c r="Y111" i="15"/>
  <c r="X111" i="15"/>
  <c r="AE111" i="15" s="1"/>
  <c r="Y110" i="15"/>
  <c r="X110" i="15"/>
  <c r="Y109" i="15"/>
  <c r="X109" i="15"/>
  <c r="AD109" i="15" s="1"/>
  <c r="Y108" i="15"/>
  <c r="X108" i="15"/>
  <c r="Y107" i="15"/>
  <c r="X107" i="15"/>
  <c r="Y106" i="15"/>
  <c r="X106" i="15"/>
  <c r="Z106" i="15" s="1"/>
  <c r="Y105" i="15"/>
  <c r="X105" i="15"/>
  <c r="Y104" i="15"/>
  <c r="X104" i="15"/>
  <c r="Y103" i="15"/>
  <c r="X103" i="15"/>
  <c r="Y102" i="15"/>
  <c r="X102" i="15"/>
  <c r="Z102" i="15" s="1"/>
  <c r="Y101" i="15"/>
  <c r="X101" i="15"/>
  <c r="Y100" i="15"/>
  <c r="X100" i="15"/>
  <c r="Y99" i="15"/>
  <c r="X99" i="15"/>
  <c r="Y98" i="15"/>
  <c r="X98" i="15"/>
  <c r="Y97" i="15"/>
  <c r="X97" i="15"/>
  <c r="Y96" i="15"/>
  <c r="X96" i="15"/>
  <c r="Y95" i="15"/>
  <c r="X95" i="15"/>
  <c r="AE95" i="15" s="1"/>
  <c r="Y94" i="15"/>
  <c r="X94" i="15"/>
  <c r="Y93" i="15"/>
  <c r="X93" i="15"/>
  <c r="AD93" i="15" s="1"/>
  <c r="Y92" i="15"/>
  <c r="X92" i="15"/>
  <c r="Y91" i="15"/>
  <c r="X91" i="15"/>
  <c r="Y90" i="15"/>
  <c r="X90" i="15"/>
  <c r="Z90" i="15" s="1"/>
  <c r="Y89" i="15"/>
  <c r="X89" i="15"/>
  <c r="Y88" i="15"/>
  <c r="X88" i="15"/>
  <c r="Y87" i="15"/>
  <c r="X87" i="15"/>
  <c r="Y86" i="15"/>
  <c r="X86" i="15"/>
  <c r="Z86" i="15" s="1"/>
  <c r="Y85" i="15"/>
  <c r="X85" i="15"/>
  <c r="Y84" i="15"/>
  <c r="X84" i="15"/>
  <c r="Y83" i="15"/>
  <c r="X83" i="15"/>
  <c r="Y82" i="15"/>
  <c r="X82" i="15"/>
  <c r="Y81" i="15"/>
  <c r="X81" i="15"/>
  <c r="Y80" i="15"/>
  <c r="X80" i="15"/>
  <c r="Y79" i="15"/>
  <c r="X79" i="15"/>
  <c r="AE79" i="15" s="1"/>
  <c r="Y78" i="15"/>
  <c r="X78" i="15"/>
  <c r="Y77" i="15"/>
  <c r="X77" i="15"/>
  <c r="AD77" i="15" s="1"/>
  <c r="Y76" i="15"/>
  <c r="X76" i="15"/>
  <c r="Y75" i="15"/>
  <c r="X75" i="15"/>
  <c r="Y74" i="15"/>
  <c r="X74" i="15"/>
  <c r="Z74" i="15" s="1"/>
  <c r="Y73" i="15"/>
  <c r="X73" i="15"/>
  <c r="Y72" i="15"/>
  <c r="X72" i="15"/>
  <c r="Y71" i="15"/>
  <c r="X71" i="15"/>
  <c r="Y70" i="15"/>
  <c r="X70" i="15"/>
  <c r="Z70" i="15" s="1"/>
  <c r="Y69" i="15"/>
  <c r="X69" i="15"/>
  <c r="Y68" i="15"/>
  <c r="X68" i="15"/>
  <c r="Y67" i="15"/>
  <c r="X67" i="15"/>
  <c r="Y66" i="15"/>
  <c r="X66" i="15"/>
  <c r="Y65" i="15"/>
  <c r="X65" i="15"/>
  <c r="Y64" i="15"/>
  <c r="X64" i="15"/>
  <c r="Y63" i="15"/>
  <c r="X63" i="15"/>
  <c r="AE63" i="15" s="1"/>
  <c r="Y62" i="15"/>
  <c r="X62" i="15"/>
  <c r="Y61" i="15"/>
  <c r="X61" i="15"/>
  <c r="AD61" i="15" s="1"/>
  <c r="Y60" i="15"/>
  <c r="X60" i="15"/>
  <c r="Y59" i="15"/>
  <c r="X59" i="15"/>
  <c r="Y58" i="15"/>
  <c r="X58" i="15"/>
  <c r="Z58" i="15" s="1"/>
  <c r="Y57" i="15"/>
  <c r="X57" i="15"/>
  <c r="Y56" i="15"/>
  <c r="X56" i="15"/>
  <c r="Y55" i="15"/>
  <c r="X55" i="15"/>
  <c r="Y54" i="15"/>
  <c r="X54" i="15"/>
  <c r="Z54" i="15" s="1"/>
  <c r="Y53" i="15"/>
  <c r="X53" i="15"/>
  <c r="Y52" i="15"/>
  <c r="X52" i="15"/>
  <c r="Y51" i="15"/>
  <c r="X51" i="15"/>
  <c r="Y50" i="15"/>
  <c r="X50" i="15"/>
  <c r="Y49" i="15"/>
  <c r="X49" i="15"/>
  <c r="Y48" i="15"/>
  <c r="X48" i="15"/>
  <c r="Y47" i="15"/>
  <c r="X47" i="15"/>
  <c r="AE47" i="15" s="1"/>
  <c r="Y46" i="15"/>
  <c r="X46" i="15"/>
  <c r="Y45" i="15"/>
  <c r="X45" i="15"/>
  <c r="AD45" i="15" s="1"/>
  <c r="Y44" i="15"/>
  <c r="X44" i="15"/>
  <c r="Y43" i="15"/>
  <c r="X43" i="15"/>
  <c r="Y42" i="15"/>
  <c r="X42" i="15"/>
  <c r="Z42" i="15" s="1"/>
  <c r="Y41" i="15"/>
  <c r="X41" i="15"/>
  <c r="Y40" i="15"/>
  <c r="X40" i="15"/>
  <c r="Y39" i="15"/>
  <c r="X39" i="15"/>
  <c r="Y38" i="15"/>
  <c r="X38" i="15"/>
  <c r="Z38" i="15" s="1"/>
  <c r="Y37" i="15"/>
  <c r="X37" i="15"/>
  <c r="Y36" i="15"/>
  <c r="X36" i="15"/>
  <c r="Y35" i="15"/>
  <c r="X35" i="15"/>
  <c r="Y34" i="15"/>
  <c r="X34" i="15"/>
  <c r="Y33" i="15"/>
  <c r="X33" i="15"/>
  <c r="Y32" i="15"/>
  <c r="X32" i="15"/>
  <c r="Y31" i="15"/>
  <c r="X31" i="15"/>
  <c r="AE31" i="15" s="1"/>
  <c r="Y30" i="15"/>
  <c r="X30" i="15"/>
  <c r="Y29" i="15"/>
  <c r="X29" i="15"/>
  <c r="AD29" i="15" s="1"/>
  <c r="Y28" i="15"/>
  <c r="X28" i="15"/>
  <c r="Y27" i="15"/>
  <c r="X27" i="15"/>
  <c r="Y26" i="15"/>
  <c r="X26" i="15"/>
  <c r="Z26" i="15" s="1"/>
  <c r="Y25" i="15"/>
  <c r="X25" i="15"/>
  <c r="Y24" i="15"/>
  <c r="X24" i="15"/>
  <c r="Y23" i="15"/>
  <c r="X23" i="15"/>
  <c r="Y22" i="15"/>
  <c r="X22" i="15"/>
  <c r="Z22" i="15" s="1"/>
  <c r="Y21" i="15"/>
  <c r="X21" i="15"/>
  <c r="Y20" i="15"/>
  <c r="X20" i="15"/>
  <c r="Y19" i="15"/>
  <c r="X19" i="15"/>
  <c r="Y18" i="15"/>
  <c r="X18" i="15"/>
  <c r="Y17" i="15"/>
  <c r="X17" i="15"/>
  <c r="Y16" i="15"/>
  <c r="X16" i="15"/>
  <c r="Y15" i="15"/>
  <c r="X15" i="15"/>
  <c r="AE15" i="15" s="1"/>
  <c r="Y14" i="15"/>
  <c r="X14" i="15"/>
  <c r="Y13" i="15"/>
  <c r="X13" i="15"/>
  <c r="AD13" i="15" s="1"/>
  <c r="Y12" i="15"/>
  <c r="X12" i="15"/>
  <c r="Y11" i="15"/>
  <c r="X11" i="15"/>
  <c r="Y10" i="15"/>
  <c r="X10" i="15"/>
  <c r="Z10" i="15" s="1"/>
  <c r="Y9" i="15"/>
  <c r="X9" i="15"/>
  <c r="Y8" i="15"/>
  <c r="X8" i="15"/>
  <c r="Y7" i="15"/>
  <c r="X7" i="15"/>
  <c r="Y6" i="15"/>
  <c r="X6" i="15"/>
  <c r="Z6" i="15" s="1"/>
  <c r="Y5" i="15"/>
  <c r="X5" i="15"/>
  <c r="Y4" i="15"/>
  <c r="X4" i="15"/>
  <c r="Y3" i="15"/>
  <c r="X3" i="15"/>
  <c r="E48" i="7"/>
  <c r="V3" i="15"/>
  <c r="V4" i="15"/>
  <c r="V5" i="15"/>
  <c r="V6" i="15"/>
  <c r="V7" i="15"/>
  <c r="V8" i="15"/>
  <c r="V9" i="15"/>
  <c r="V10" i="15"/>
  <c r="V11" i="15"/>
  <c r="V12" i="15"/>
  <c r="V13" i="15"/>
  <c r="V14" i="15"/>
  <c r="V15" i="15"/>
  <c r="V16" i="15"/>
  <c r="V17" i="15"/>
  <c r="V18" i="15"/>
  <c r="V19" i="15"/>
  <c r="V20" i="15"/>
  <c r="V21" i="15"/>
  <c r="V22" i="15"/>
  <c r="V23" i="15"/>
  <c r="V24" i="15"/>
  <c r="V25" i="15"/>
  <c r="V26" i="15"/>
  <c r="V27" i="15"/>
  <c r="V28" i="15"/>
  <c r="V29" i="15"/>
  <c r="V30" i="15"/>
  <c r="V31" i="15"/>
  <c r="V32" i="15"/>
  <c r="V33" i="15"/>
  <c r="V34" i="15"/>
  <c r="V35" i="15"/>
  <c r="V36" i="15"/>
  <c r="V37" i="15"/>
  <c r="V38" i="15"/>
  <c r="V39" i="15"/>
  <c r="V40" i="15"/>
  <c r="V41" i="15"/>
  <c r="V42" i="15"/>
  <c r="V43" i="15"/>
  <c r="V44" i="15"/>
  <c r="V45" i="15"/>
  <c r="V46" i="15"/>
  <c r="V47" i="15"/>
  <c r="V48" i="15"/>
  <c r="V49" i="15"/>
  <c r="V50" i="15"/>
  <c r="V51" i="15"/>
  <c r="V52" i="15"/>
  <c r="V53" i="15"/>
  <c r="V54" i="15"/>
  <c r="V55" i="15"/>
  <c r="V56" i="15"/>
  <c r="V57" i="15"/>
  <c r="V58" i="15"/>
  <c r="V59" i="15"/>
  <c r="V60" i="15"/>
  <c r="V61" i="15"/>
  <c r="V62" i="15"/>
  <c r="V63" i="15"/>
  <c r="V64" i="15"/>
  <c r="V65" i="15"/>
  <c r="V66" i="15"/>
  <c r="V67" i="15"/>
  <c r="V68" i="15"/>
  <c r="V69" i="15"/>
  <c r="V70" i="15"/>
  <c r="V71" i="15"/>
  <c r="V72" i="15"/>
  <c r="V73" i="15"/>
  <c r="V74" i="15"/>
  <c r="V75" i="15"/>
  <c r="V76" i="15"/>
  <c r="V77" i="15"/>
  <c r="V78" i="15"/>
  <c r="V79" i="15"/>
  <c r="V80" i="15"/>
  <c r="V81" i="15"/>
  <c r="V82" i="15"/>
  <c r="V83" i="15"/>
  <c r="V84" i="15"/>
  <c r="V85" i="15"/>
  <c r="V86" i="15"/>
  <c r="V87" i="15"/>
  <c r="V88" i="15"/>
  <c r="V89" i="15"/>
  <c r="V90" i="15"/>
  <c r="V91" i="15"/>
  <c r="V92" i="15"/>
  <c r="V93" i="15"/>
  <c r="V94" i="15"/>
  <c r="V95" i="15"/>
  <c r="V96" i="15"/>
  <c r="V97" i="15"/>
  <c r="V98" i="15"/>
  <c r="V99" i="15"/>
  <c r="V100" i="15"/>
  <c r="V101" i="15"/>
  <c r="V102" i="15"/>
  <c r="V103" i="15"/>
  <c r="V104" i="15"/>
  <c r="V105" i="15"/>
  <c r="V106" i="15"/>
  <c r="V107" i="15"/>
  <c r="V108" i="15"/>
  <c r="V109" i="15"/>
  <c r="V110" i="15"/>
  <c r="V111" i="15"/>
  <c r="V112" i="15"/>
  <c r="V113" i="15"/>
  <c r="V114" i="15"/>
  <c r="V115" i="15"/>
  <c r="V116" i="15"/>
  <c r="V117" i="15"/>
  <c r="V118" i="15"/>
  <c r="V119" i="15"/>
  <c r="V120" i="15"/>
  <c r="V121" i="15"/>
  <c r="V122" i="15"/>
  <c r="V123" i="15"/>
  <c r="V124" i="15"/>
  <c r="V125" i="15"/>
  <c r="V126" i="15"/>
  <c r="V127" i="15"/>
  <c r="V128" i="15"/>
  <c r="V129" i="15"/>
  <c r="V130" i="15"/>
  <c r="V131" i="15"/>
  <c r="V132" i="15"/>
  <c r="V133" i="15"/>
  <c r="V134" i="15"/>
  <c r="V135" i="15"/>
  <c r="V136" i="15"/>
  <c r="V137" i="15"/>
  <c r="V138" i="15"/>
  <c r="V139" i="15"/>
  <c r="V140" i="15"/>
  <c r="V141" i="15"/>
  <c r="V142" i="15"/>
  <c r="V143" i="15"/>
  <c r="V144" i="15"/>
  <c r="V145" i="15"/>
  <c r="V146" i="15"/>
  <c r="V147" i="15"/>
  <c r="V148" i="15"/>
  <c r="V149" i="15"/>
  <c r="V150" i="15"/>
  <c r="V151" i="15"/>
  <c r="V152" i="15"/>
  <c r="V153" i="15"/>
  <c r="V154" i="15"/>
  <c r="V155" i="15"/>
  <c r="V156" i="15"/>
  <c r="V157" i="15"/>
  <c r="V158" i="15"/>
  <c r="V159" i="15"/>
  <c r="V2" i="15"/>
  <c r="E46" i="7"/>
  <c r="E45" i="7"/>
  <c r="E44" i="7"/>
  <c r="E43" i="7"/>
  <c r="E42" i="7"/>
  <c r="E41" i="7"/>
  <c r="E40" i="7"/>
  <c r="E39" i="7"/>
  <c r="E36" i="7"/>
  <c r="Y2" i="15"/>
  <c r="X2" i="15"/>
  <c r="E28" i="7"/>
  <c r="E108" i="7" s="1"/>
  <c r="E25" i="7"/>
  <c r="I23" i="7"/>
  <c r="I24" i="7"/>
  <c r="I26" i="7" s="1"/>
  <c r="I27" i="7"/>
  <c r="I29" i="7"/>
  <c r="E29" i="7"/>
  <c r="E24" i="7"/>
  <c r="E23" i="7"/>
  <c r="G50" i="7"/>
  <c r="V3" i="6"/>
  <c r="W3" i="6"/>
  <c r="V4" i="6"/>
  <c r="W4" i="6"/>
  <c r="V5" i="6"/>
  <c r="W5" i="6"/>
  <c r="V6" i="6"/>
  <c r="W6" i="6"/>
  <c r="V7" i="6"/>
  <c r="W7" i="6"/>
  <c r="V8" i="6"/>
  <c r="W8" i="6"/>
  <c r="V9" i="6"/>
  <c r="W9" i="6"/>
  <c r="V10" i="6"/>
  <c r="W10" i="6"/>
  <c r="V11" i="6"/>
  <c r="W11" i="6"/>
  <c r="V12" i="6"/>
  <c r="W12" i="6"/>
  <c r="V13" i="6"/>
  <c r="W13" i="6"/>
  <c r="V14" i="6"/>
  <c r="W14" i="6"/>
  <c r="V15" i="6"/>
  <c r="W15" i="6"/>
  <c r="V16" i="6"/>
  <c r="W16" i="6"/>
  <c r="V17" i="6"/>
  <c r="W17" i="6"/>
  <c r="V18" i="6"/>
  <c r="W18" i="6"/>
  <c r="V19" i="6"/>
  <c r="W19" i="6"/>
  <c r="W2" i="6"/>
  <c r="V2" i="6"/>
  <c r="W2" i="3"/>
  <c r="V2" i="3"/>
  <c r="F36" i="16"/>
  <c r="F35" i="16"/>
  <c r="F34" i="16"/>
  <c r="F33" i="16"/>
  <c r="F32" i="16"/>
  <c r="F31" i="16"/>
  <c r="F30" i="16"/>
  <c r="K6" i="16"/>
  <c r="L6" i="16" s="1"/>
  <c r="M6" i="16" s="1"/>
  <c r="N6" i="16" s="1"/>
  <c r="O6" i="16" s="1"/>
  <c r="AC22" i="15" l="1"/>
  <c r="AB22" i="15"/>
  <c r="AC42" i="15"/>
  <c r="AB42" i="15"/>
  <c r="AC70" i="15"/>
  <c r="AB70" i="15"/>
  <c r="AC90" i="15"/>
  <c r="AB90" i="15"/>
  <c r="AC106" i="15"/>
  <c r="AB106" i="15"/>
  <c r="AC122" i="15"/>
  <c r="AB122" i="15"/>
  <c r="AC134" i="15"/>
  <c r="AB134" i="15"/>
  <c r="AC138" i="15"/>
  <c r="AB138" i="15"/>
  <c r="AC150" i="15"/>
  <c r="AB150" i="15"/>
  <c r="AC154" i="15"/>
  <c r="AB154" i="15"/>
  <c r="AC26" i="15"/>
  <c r="AB26" i="15"/>
  <c r="AC54" i="15"/>
  <c r="AB54" i="15"/>
  <c r="AC74" i="15"/>
  <c r="AB74" i="15"/>
  <c r="AC118" i="15"/>
  <c r="AB118" i="15"/>
  <c r="AC10" i="15"/>
  <c r="AB10" i="15"/>
  <c r="AC38" i="15"/>
  <c r="AB38" i="15"/>
  <c r="AC58" i="15"/>
  <c r="AB58" i="15"/>
  <c r="AC86" i="15"/>
  <c r="AB86" i="15"/>
  <c r="AC102" i="15"/>
  <c r="AB102" i="15"/>
  <c r="AC6" i="15"/>
  <c r="AB6" i="15"/>
  <c r="AC110" i="15"/>
  <c r="AB110" i="15"/>
  <c r="AC94" i="15"/>
  <c r="AB94" i="15"/>
  <c r="AC78" i="15"/>
  <c r="AB78" i="15"/>
  <c r="AC62" i="15"/>
  <c r="AB62" i="15"/>
  <c r="AC46" i="15"/>
  <c r="AB46" i="15"/>
  <c r="AC30" i="15"/>
  <c r="AB30" i="15"/>
  <c r="AC14" i="15"/>
  <c r="AB14" i="15"/>
  <c r="AE17" i="6"/>
  <c r="AE13" i="6"/>
  <c r="AE9" i="6"/>
  <c r="AE5" i="6"/>
  <c r="AE3" i="15"/>
  <c r="AD3" i="15"/>
  <c r="AD5" i="15"/>
  <c r="AE5" i="15"/>
  <c r="AE7" i="15"/>
  <c r="AD7" i="15"/>
  <c r="AD9" i="15"/>
  <c r="AE9" i="15"/>
  <c r="AE11" i="15"/>
  <c r="AD11" i="15"/>
  <c r="AD17" i="15"/>
  <c r="AE17" i="15"/>
  <c r="AE19" i="15"/>
  <c r="AD19" i="15"/>
  <c r="AD21" i="15"/>
  <c r="AE21" i="15"/>
  <c r="AE23" i="15"/>
  <c r="AD23" i="15"/>
  <c r="AD25" i="15"/>
  <c r="AE25" i="15"/>
  <c r="AE27" i="15"/>
  <c r="AD27" i="15"/>
  <c r="AD33" i="15"/>
  <c r="AE33" i="15"/>
  <c r="AE35" i="15"/>
  <c r="AD35" i="15"/>
  <c r="AD37" i="15"/>
  <c r="AE37" i="15"/>
  <c r="AE39" i="15"/>
  <c r="AD39" i="15"/>
  <c r="AD41" i="15"/>
  <c r="AE41" i="15"/>
  <c r="AE43" i="15"/>
  <c r="AD43" i="15"/>
  <c r="AD49" i="15"/>
  <c r="AE49" i="15"/>
  <c r="AE51" i="15"/>
  <c r="AD51" i="15"/>
  <c r="AD53" i="15"/>
  <c r="AE53" i="15"/>
  <c r="AE55" i="15"/>
  <c r="AD55" i="15"/>
  <c r="AD57" i="15"/>
  <c r="AE57" i="15"/>
  <c r="AE59" i="15"/>
  <c r="AD59" i="15"/>
  <c r="AD65" i="15"/>
  <c r="AE65" i="15"/>
  <c r="AE67" i="15"/>
  <c r="AD67" i="15"/>
  <c r="AD69" i="15"/>
  <c r="AE69" i="15"/>
  <c r="AE71" i="15"/>
  <c r="AD71" i="15"/>
  <c r="AD73" i="15"/>
  <c r="AE73" i="15"/>
  <c r="AE75" i="15"/>
  <c r="AD75" i="15"/>
  <c r="AD81" i="15"/>
  <c r="AE81" i="15"/>
  <c r="AE83" i="15"/>
  <c r="AD83" i="15"/>
  <c r="AD85" i="15"/>
  <c r="AE85" i="15"/>
  <c r="AE87" i="15"/>
  <c r="AD87" i="15"/>
  <c r="AD89" i="15"/>
  <c r="AE89" i="15"/>
  <c r="AE91" i="15"/>
  <c r="AD91" i="15"/>
  <c r="AD97" i="15"/>
  <c r="AE97" i="15"/>
  <c r="AE99" i="15"/>
  <c r="AD99" i="15"/>
  <c r="AD101" i="15"/>
  <c r="AE101" i="15"/>
  <c r="AE103" i="15"/>
  <c r="AD103" i="15"/>
  <c r="AD105" i="15"/>
  <c r="AE105" i="15"/>
  <c r="AE107" i="15"/>
  <c r="AD107" i="15"/>
  <c r="AD113" i="15"/>
  <c r="AE113" i="15"/>
  <c r="AE115" i="15"/>
  <c r="AD115" i="15"/>
  <c r="AD117" i="15"/>
  <c r="AE117" i="15"/>
  <c r="Z119" i="15"/>
  <c r="AE119" i="15"/>
  <c r="AD119" i="15"/>
  <c r="AD121" i="15"/>
  <c r="AE121" i="15"/>
  <c r="AE123" i="15"/>
  <c r="AD123" i="15"/>
  <c r="AD129" i="15"/>
  <c r="AE129" i="15"/>
  <c r="AE131" i="15"/>
  <c r="AD131" i="15"/>
  <c r="AD133" i="15"/>
  <c r="AE133" i="15"/>
  <c r="Z135" i="15"/>
  <c r="AE135" i="15"/>
  <c r="AD135" i="15"/>
  <c r="AD137" i="15"/>
  <c r="AE137" i="15"/>
  <c r="AE139" i="15"/>
  <c r="AD139" i="15"/>
  <c r="AE143" i="15"/>
  <c r="AD143" i="15"/>
  <c r="AE145" i="15"/>
  <c r="AD145" i="15"/>
  <c r="AE147" i="15"/>
  <c r="AD147" i="15"/>
  <c r="Z151" i="15"/>
  <c r="AE151" i="15"/>
  <c r="AD151" i="15"/>
  <c r="AD153" i="15"/>
  <c r="AE153" i="15"/>
  <c r="AE155" i="15"/>
  <c r="AD155" i="15"/>
  <c r="AE159" i="15"/>
  <c r="AD159" i="15"/>
  <c r="AB158" i="15"/>
  <c r="AB142" i="15"/>
  <c r="AB126" i="15"/>
  <c r="AD127" i="15"/>
  <c r="AD63" i="15"/>
  <c r="AE157" i="15"/>
  <c r="AE93" i="15"/>
  <c r="AE29" i="15"/>
  <c r="AE2" i="3"/>
  <c r="AE19" i="6"/>
  <c r="AE15" i="6"/>
  <c r="AE11" i="6"/>
  <c r="AE7" i="6"/>
  <c r="AE3" i="6"/>
  <c r="AE2" i="6"/>
  <c r="E84" i="7"/>
  <c r="E86" i="7" s="1"/>
  <c r="AD111" i="15"/>
  <c r="AD47" i="15"/>
  <c r="AE77" i="15"/>
  <c r="AE13" i="15"/>
  <c r="AE18" i="6"/>
  <c r="AE16" i="6"/>
  <c r="AE14" i="6"/>
  <c r="AE12" i="6"/>
  <c r="AE10" i="6"/>
  <c r="AE8" i="6"/>
  <c r="AE6" i="6"/>
  <c r="AE4" i="6"/>
  <c r="E26" i="7"/>
  <c r="G38" i="7" s="1"/>
  <c r="Z2" i="15"/>
  <c r="AD2" i="15"/>
  <c r="AE2" i="15"/>
  <c r="AA4" i="15"/>
  <c r="AD4" i="15"/>
  <c r="AE4" i="15"/>
  <c r="AA6" i="15"/>
  <c r="AE6" i="15"/>
  <c r="AD6" i="15"/>
  <c r="AA8" i="15"/>
  <c r="AD8" i="15"/>
  <c r="AE8" i="15"/>
  <c r="AA10" i="15"/>
  <c r="AE10" i="15"/>
  <c r="AD10" i="15"/>
  <c r="AA12" i="15"/>
  <c r="AD12" i="15"/>
  <c r="AE12" i="15"/>
  <c r="AA14" i="15"/>
  <c r="AE14" i="15"/>
  <c r="AD14" i="15"/>
  <c r="AA16" i="15"/>
  <c r="AD16" i="15"/>
  <c r="AE16" i="15"/>
  <c r="AA18" i="15"/>
  <c r="AE18" i="15"/>
  <c r="AD18" i="15"/>
  <c r="AA20" i="15"/>
  <c r="AD20" i="15"/>
  <c r="AE20" i="15"/>
  <c r="AA22" i="15"/>
  <c r="AE22" i="15"/>
  <c r="AD22" i="15"/>
  <c r="AA24" i="15"/>
  <c r="AD24" i="15"/>
  <c r="AE24" i="15"/>
  <c r="AA26" i="15"/>
  <c r="AE26" i="15"/>
  <c r="AD26" i="15"/>
  <c r="AA28" i="15"/>
  <c r="AD28" i="15"/>
  <c r="AE28" i="15"/>
  <c r="AA30" i="15"/>
  <c r="AE30" i="15"/>
  <c r="AD30" i="15"/>
  <c r="AA32" i="15"/>
  <c r="AD32" i="15"/>
  <c r="AE32" i="15"/>
  <c r="AA34" i="15"/>
  <c r="AE34" i="15"/>
  <c r="AD34" i="15"/>
  <c r="AA36" i="15"/>
  <c r="AD36" i="15"/>
  <c r="AE36" i="15"/>
  <c r="AA38" i="15"/>
  <c r="AE38" i="15"/>
  <c r="AD38" i="15"/>
  <c r="AA40" i="15"/>
  <c r="AD40" i="15"/>
  <c r="AE40" i="15"/>
  <c r="AA42" i="15"/>
  <c r="AE42" i="15"/>
  <c r="AD42" i="15"/>
  <c r="AA44" i="15"/>
  <c r="AD44" i="15"/>
  <c r="AE44" i="15"/>
  <c r="AA46" i="15"/>
  <c r="AE46" i="15"/>
  <c r="AD46" i="15"/>
  <c r="AA48" i="15"/>
  <c r="AD48" i="15"/>
  <c r="AE48" i="15"/>
  <c r="AA50" i="15"/>
  <c r="AE50" i="15"/>
  <c r="AD50" i="15"/>
  <c r="AA52" i="15"/>
  <c r="AD52" i="15"/>
  <c r="AE52" i="15"/>
  <c r="AA54" i="15"/>
  <c r="AE54" i="15"/>
  <c r="AD54" i="15"/>
  <c r="AA56" i="15"/>
  <c r="AD56" i="15"/>
  <c r="AE56" i="15"/>
  <c r="AA58" i="15"/>
  <c r="AE58" i="15"/>
  <c r="AD58" i="15"/>
  <c r="AA60" i="15"/>
  <c r="AD60" i="15"/>
  <c r="AE60" i="15"/>
  <c r="AA62" i="15"/>
  <c r="AE62" i="15"/>
  <c r="AD62" i="15"/>
  <c r="AA64" i="15"/>
  <c r="AD64" i="15"/>
  <c r="AE64" i="15"/>
  <c r="AA66" i="15"/>
  <c r="AE66" i="15"/>
  <c r="AD66" i="15"/>
  <c r="AA68" i="15"/>
  <c r="AD68" i="15"/>
  <c r="AE68" i="15"/>
  <c r="AA70" i="15"/>
  <c r="AE70" i="15"/>
  <c r="AD70" i="15"/>
  <c r="AA72" i="15"/>
  <c r="AD72" i="15"/>
  <c r="AE72" i="15"/>
  <c r="AA74" i="15"/>
  <c r="AE74" i="15"/>
  <c r="AD74" i="15"/>
  <c r="AA76" i="15"/>
  <c r="AD76" i="15"/>
  <c r="AE76" i="15"/>
  <c r="AA78" i="15"/>
  <c r="AE78" i="15"/>
  <c r="AD78" i="15"/>
  <c r="AA80" i="15"/>
  <c r="AD80" i="15"/>
  <c r="AE80" i="15"/>
  <c r="AA82" i="15"/>
  <c r="AE82" i="15"/>
  <c r="AD82" i="15"/>
  <c r="AA84" i="15"/>
  <c r="AD84" i="15"/>
  <c r="AE84" i="15"/>
  <c r="AA86" i="15"/>
  <c r="AE86" i="15"/>
  <c r="AD86" i="15"/>
  <c r="AA88" i="15"/>
  <c r="AD88" i="15"/>
  <c r="AE88" i="15"/>
  <c r="AA90" i="15"/>
  <c r="AE90" i="15"/>
  <c r="AD90" i="15"/>
  <c r="AA92" i="15"/>
  <c r="AD92" i="15"/>
  <c r="AE92" i="15"/>
  <c r="AA94" i="15"/>
  <c r="AE94" i="15"/>
  <c r="AD94" i="15"/>
  <c r="AA96" i="15"/>
  <c r="AD96" i="15"/>
  <c r="AE96" i="15"/>
  <c r="AA98" i="15"/>
  <c r="AE98" i="15"/>
  <c r="AD98" i="15"/>
  <c r="AA100" i="15"/>
  <c r="AD100" i="15"/>
  <c r="AE100" i="15"/>
  <c r="AA102" i="15"/>
  <c r="AE102" i="15"/>
  <c r="AD102" i="15"/>
  <c r="AA104" i="15"/>
  <c r="AD104" i="15"/>
  <c r="AE104" i="15"/>
  <c r="AA106" i="15"/>
  <c r="AE106" i="15"/>
  <c r="AD106" i="15"/>
  <c r="AA108" i="15"/>
  <c r="AD108" i="15"/>
  <c r="AE108" i="15"/>
  <c r="AA110" i="15"/>
  <c r="AE110" i="15"/>
  <c r="AD110" i="15"/>
  <c r="AA112" i="15"/>
  <c r="AD112" i="15"/>
  <c r="AE112" i="15"/>
  <c r="AA114" i="15"/>
  <c r="AE114" i="15"/>
  <c r="AD114" i="15"/>
  <c r="AA116" i="15"/>
  <c r="AD116" i="15"/>
  <c r="AE116" i="15"/>
  <c r="AA118" i="15"/>
  <c r="AE118" i="15"/>
  <c r="AD118" i="15"/>
  <c r="AA120" i="15"/>
  <c r="AD120" i="15"/>
  <c r="AE120" i="15"/>
  <c r="AA122" i="15"/>
  <c r="AE122" i="15"/>
  <c r="AD122" i="15"/>
  <c r="AA124" i="15"/>
  <c r="AD124" i="15"/>
  <c r="AE124" i="15"/>
  <c r="AA126" i="15"/>
  <c r="AE126" i="15"/>
  <c r="AD126" i="15"/>
  <c r="AA128" i="15"/>
  <c r="AD128" i="15"/>
  <c r="AE128" i="15"/>
  <c r="AA130" i="15"/>
  <c r="AE130" i="15"/>
  <c r="AD130" i="15"/>
  <c r="AA132" i="15"/>
  <c r="AD132" i="15"/>
  <c r="AE132" i="15"/>
  <c r="AA134" i="15"/>
  <c r="AE134" i="15"/>
  <c r="AD134" i="15"/>
  <c r="AA136" i="15"/>
  <c r="AD136" i="15"/>
  <c r="AE136" i="15"/>
  <c r="AA138" i="15"/>
  <c r="AE138" i="15"/>
  <c r="AD138" i="15"/>
  <c r="AA140" i="15"/>
  <c r="AD140" i="15"/>
  <c r="AE140" i="15"/>
  <c r="AA142" i="15"/>
  <c r="AE142" i="15"/>
  <c r="AD142" i="15"/>
  <c r="AA144" i="15"/>
  <c r="AD144" i="15"/>
  <c r="AE144" i="15"/>
  <c r="AA146" i="15"/>
  <c r="AE146" i="15"/>
  <c r="AD146" i="15"/>
  <c r="AA148" i="15"/>
  <c r="AD148" i="15"/>
  <c r="AE148" i="15"/>
  <c r="AA150" i="15"/>
  <c r="AE150" i="15"/>
  <c r="AD150" i="15"/>
  <c r="AA152" i="15"/>
  <c r="AD152" i="15"/>
  <c r="AE152" i="15"/>
  <c r="AA154" i="15"/>
  <c r="AE154" i="15"/>
  <c r="AD154" i="15"/>
  <c r="AA156" i="15"/>
  <c r="AD156" i="15"/>
  <c r="AE156" i="15"/>
  <c r="AA158" i="15"/>
  <c r="AE158" i="15"/>
  <c r="AD158" i="15"/>
  <c r="AA135" i="15"/>
  <c r="Z146" i="15"/>
  <c r="Z130" i="15"/>
  <c r="Z114" i="15"/>
  <c r="Z98" i="15"/>
  <c r="Z82" i="15"/>
  <c r="Z66" i="15"/>
  <c r="Z50" i="15"/>
  <c r="Z34" i="15"/>
  <c r="Z18" i="15"/>
  <c r="AD149" i="15"/>
  <c r="AD95" i="15"/>
  <c r="AD31" i="15"/>
  <c r="AE125" i="15"/>
  <c r="AE61" i="15"/>
  <c r="E51" i="7"/>
  <c r="E149" i="7"/>
  <c r="AA3" i="15"/>
  <c r="Z3" i="15"/>
  <c r="AA5" i="15"/>
  <c r="Z5" i="15"/>
  <c r="AA7" i="15"/>
  <c r="Z7" i="15"/>
  <c r="AA9" i="15"/>
  <c r="Z9" i="15"/>
  <c r="AA11" i="15"/>
  <c r="Z11" i="15"/>
  <c r="AA13" i="15"/>
  <c r="Z13" i="15"/>
  <c r="AA15" i="15"/>
  <c r="Z15" i="15"/>
  <c r="AA17" i="15"/>
  <c r="Z17" i="15"/>
  <c r="AA19" i="15"/>
  <c r="Z19" i="15"/>
  <c r="AA21" i="15"/>
  <c r="Z21" i="15"/>
  <c r="AA23" i="15"/>
  <c r="Z23" i="15"/>
  <c r="AA25" i="15"/>
  <c r="Z25" i="15"/>
  <c r="AA27" i="15"/>
  <c r="Z27" i="15"/>
  <c r="AA29" i="15"/>
  <c r="Z29" i="15"/>
  <c r="AA31" i="15"/>
  <c r="Z31" i="15"/>
  <c r="AA33" i="15"/>
  <c r="Z33" i="15"/>
  <c r="AA35" i="15"/>
  <c r="Z35" i="15"/>
  <c r="AA37" i="15"/>
  <c r="Z37" i="15"/>
  <c r="AA39" i="15"/>
  <c r="Z39" i="15"/>
  <c r="AA41" i="15"/>
  <c r="Z41" i="15"/>
  <c r="AA43" i="15"/>
  <c r="Z43" i="15"/>
  <c r="AA45" i="15"/>
  <c r="Z45" i="15"/>
  <c r="AA47" i="15"/>
  <c r="Z47" i="15"/>
  <c r="AA49" i="15"/>
  <c r="Z49" i="15"/>
  <c r="AA51" i="15"/>
  <c r="Z51" i="15"/>
  <c r="AA53" i="15"/>
  <c r="Z53" i="15"/>
  <c r="AA55" i="15"/>
  <c r="Z55" i="15"/>
  <c r="AA57" i="15"/>
  <c r="Z57" i="15"/>
  <c r="AA59" i="15"/>
  <c r="Z59" i="15"/>
  <c r="AA61" i="15"/>
  <c r="Z61" i="15"/>
  <c r="AA63" i="15"/>
  <c r="Z63" i="15"/>
  <c r="AA65" i="15"/>
  <c r="Z65" i="15"/>
  <c r="AA67" i="15"/>
  <c r="Z67" i="15"/>
  <c r="AA69" i="15"/>
  <c r="Z69" i="15"/>
  <c r="AA71" i="15"/>
  <c r="Z71" i="15"/>
  <c r="AA73" i="15"/>
  <c r="Z73" i="15"/>
  <c r="AA75" i="15"/>
  <c r="Z75" i="15"/>
  <c r="AA77" i="15"/>
  <c r="Z77" i="15"/>
  <c r="AA79" i="15"/>
  <c r="Z79" i="15"/>
  <c r="AA81" i="15"/>
  <c r="Z81" i="15"/>
  <c r="AA83" i="15"/>
  <c r="Z83" i="15"/>
  <c r="AA85" i="15"/>
  <c r="Z85" i="15"/>
  <c r="AA87" i="15"/>
  <c r="Z87" i="15"/>
  <c r="AA89" i="15"/>
  <c r="Z89" i="15"/>
  <c r="AA91" i="15"/>
  <c r="Z91" i="15"/>
  <c r="AA93" i="15"/>
  <c r="Z93" i="15"/>
  <c r="AA95" i="15"/>
  <c r="Z95" i="15"/>
  <c r="AA97" i="15"/>
  <c r="Z97" i="15"/>
  <c r="AA99" i="15"/>
  <c r="Z99" i="15"/>
  <c r="AA101" i="15"/>
  <c r="Z101" i="15"/>
  <c r="AA103" i="15"/>
  <c r="Z103" i="15"/>
  <c r="AA105" i="15"/>
  <c r="Z105" i="15"/>
  <c r="AA107" i="15"/>
  <c r="Z107" i="15"/>
  <c r="AA109" i="15"/>
  <c r="Z109" i="15"/>
  <c r="AA111" i="15"/>
  <c r="Z111" i="15"/>
  <c r="AA113" i="15"/>
  <c r="Z113" i="15"/>
  <c r="AA115" i="15"/>
  <c r="Z115" i="15"/>
  <c r="AA117" i="15"/>
  <c r="Z117" i="15"/>
  <c r="AA121" i="15"/>
  <c r="Z121" i="15"/>
  <c r="Z123" i="15"/>
  <c r="AA123" i="15"/>
  <c r="AA125" i="15"/>
  <c r="Z125" i="15"/>
  <c r="Z127" i="15"/>
  <c r="AA127" i="15"/>
  <c r="AA129" i="15"/>
  <c r="Z129" i="15"/>
  <c r="Z131" i="15"/>
  <c r="AA131" i="15"/>
  <c r="AA133" i="15"/>
  <c r="Z133" i="15"/>
  <c r="AA137" i="15"/>
  <c r="Z137" i="15"/>
  <c r="Z139" i="15"/>
  <c r="AA139" i="15"/>
  <c r="AA141" i="15"/>
  <c r="Z141" i="15"/>
  <c r="Z143" i="15"/>
  <c r="AA143" i="15"/>
  <c r="AA145" i="15"/>
  <c r="Z145" i="15"/>
  <c r="Z147" i="15"/>
  <c r="AA147" i="15"/>
  <c r="AA149" i="15"/>
  <c r="Z149" i="15"/>
  <c r="AA153" i="15"/>
  <c r="Z153" i="15"/>
  <c r="Z155" i="15"/>
  <c r="AA155" i="15"/>
  <c r="AA157" i="15"/>
  <c r="Z157" i="15"/>
  <c r="Z159" i="15"/>
  <c r="AA159" i="15"/>
  <c r="AA119" i="15"/>
  <c r="AA151" i="15"/>
  <c r="Z156" i="15"/>
  <c r="Z152" i="15"/>
  <c r="Z148" i="15"/>
  <c r="Z144" i="15"/>
  <c r="Z140" i="15"/>
  <c r="Z136" i="15"/>
  <c r="Z132" i="15"/>
  <c r="Z128" i="15"/>
  <c r="Z124" i="15"/>
  <c r="Z120" i="15"/>
  <c r="Z116" i="15"/>
  <c r="Z112" i="15"/>
  <c r="Z108" i="15"/>
  <c r="Z104" i="15"/>
  <c r="Z100" i="15"/>
  <c r="Z96" i="15"/>
  <c r="Z92" i="15"/>
  <c r="Z88" i="15"/>
  <c r="Z84" i="15"/>
  <c r="Z80" i="15"/>
  <c r="Z76" i="15"/>
  <c r="Z72" i="15"/>
  <c r="Z68" i="15"/>
  <c r="Z64" i="15"/>
  <c r="Z60" i="15"/>
  <c r="Z56" i="15"/>
  <c r="Z52" i="15"/>
  <c r="Z48" i="15"/>
  <c r="Z44" i="15"/>
  <c r="Z40" i="15"/>
  <c r="Z36" i="15"/>
  <c r="Z32" i="15"/>
  <c r="Z28" i="15"/>
  <c r="Z24" i="15"/>
  <c r="Z20" i="15"/>
  <c r="Z16" i="15"/>
  <c r="Z12" i="15"/>
  <c r="Z8" i="15"/>
  <c r="Z4" i="15"/>
  <c r="AA2" i="15"/>
  <c r="E27" i="7"/>
  <c r="E176" i="7" s="1"/>
  <c r="X2" i="3"/>
  <c r="AB32" i="15" l="1"/>
  <c r="AC32" i="15"/>
  <c r="AB64" i="15"/>
  <c r="AC64" i="15"/>
  <c r="AB96" i="15"/>
  <c r="AC96" i="15"/>
  <c r="AC128" i="15"/>
  <c r="AB128" i="15"/>
  <c r="AC157" i="15"/>
  <c r="AB157" i="15"/>
  <c r="AB133" i="15"/>
  <c r="AC133" i="15"/>
  <c r="AB129" i="15"/>
  <c r="AC129" i="15"/>
  <c r="AC125" i="15"/>
  <c r="AB125" i="15"/>
  <c r="AC121" i="15"/>
  <c r="AB121" i="15"/>
  <c r="AC115" i="15"/>
  <c r="AB115" i="15"/>
  <c r="AC111" i="15"/>
  <c r="AB111" i="15"/>
  <c r="AC107" i="15"/>
  <c r="AB107" i="15"/>
  <c r="AC103" i="15"/>
  <c r="AB103" i="15"/>
  <c r="AC99" i="15"/>
  <c r="AB99" i="15"/>
  <c r="AC95" i="15"/>
  <c r="AB95" i="15"/>
  <c r="AC91" i="15"/>
  <c r="AB91" i="15"/>
  <c r="AC87" i="15"/>
  <c r="AB87" i="15"/>
  <c r="AC83" i="15"/>
  <c r="AB83" i="15"/>
  <c r="AC79" i="15"/>
  <c r="AB79" i="15"/>
  <c r="AC75" i="15"/>
  <c r="AB75" i="15"/>
  <c r="AC71" i="15"/>
  <c r="AB71" i="15"/>
  <c r="AC67" i="15"/>
  <c r="AB67" i="15"/>
  <c r="AC63" i="15"/>
  <c r="AB63" i="15"/>
  <c r="AC59" i="15"/>
  <c r="AB59" i="15"/>
  <c r="AC55" i="15"/>
  <c r="AB55" i="15"/>
  <c r="AC51" i="15"/>
  <c r="AB51" i="15"/>
  <c r="AC47" i="15"/>
  <c r="AB47" i="15"/>
  <c r="AC43" i="15"/>
  <c r="AB43" i="15"/>
  <c r="AC39" i="15"/>
  <c r="AB39" i="15"/>
  <c r="AC35" i="15"/>
  <c r="AB35" i="15"/>
  <c r="AC31" i="15"/>
  <c r="AB31" i="15"/>
  <c r="AC27" i="15"/>
  <c r="AB27" i="15"/>
  <c r="AC23" i="15"/>
  <c r="AB23" i="15"/>
  <c r="AC19" i="15"/>
  <c r="AB19" i="15"/>
  <c r="AB15" i="15"/>
  <c r="AC15" i="15"/>
  <c r="AC11" i="15"/>
  <c r="AB11" i="15"/>
  <c r="AC7" i="15"/>
  <c r="AB7" i="15"/>
  <c r="AC3" i="15"/>
  <c r="AB3" i="15"/>
  <c r="AC66" i="15"/>
  <c r="AB66" i="15"/>
  <c r="AC130" i="15"/>
  <c r="AB130" i="15"/>
  <c r="AC135" i="15"/>
  <c r="AB135" i="15"/>
  <c r="AC16" i="15"/>
  <c r="AB16" i="15"/>
  <c r="AB48" i="15"/>
  <c r="AC48" i="15"/>
  <c r="AB80" i="15"/>
  <c r="AC80" i="15"/>
  <c r="AB112" i="15"/>
  <c r="AC112" i="15"/>
  <c r="AC144" i="15"/>
  <c r="AB144" i="15"/>
  <c r="AC153" i="15"/>
  <c r="AB153" i="15"/>
  <c r="AC4" i="15"/>
  <c r="AB4" i="15"/>
  <c r="AC20" i="15"/>
  <c r="AB20" i="15"/>
  <c r="AB36" i="15"/>
  <c r="AC36" i="15"/>
  <c r="AB52" i="15"/>
  <c r="AC52" i="15"/>
  <c r="AB68" i="15"/>
  <c r="AC68" i="15"/>
  <c r="AB84" i="15"/>
  <c r="AC84" i="15"/>
  <c r="AB100" i="15"/>
  <c r="AC100" i="15"/>
  <c r="AC116" i="15"/>
  <c r="AB116" i="15"/>
  <c r="AC132" i="15"/>
  <c r="AB132" i="15"/>
  <c r="AC148" i="15"/>
  <c r="AB148" i="15"/>
  <c r="AC147" i="15"/>
  <c r="AB147" i="15"/>
  <c r="AC143" i="15"/>
  <c r="AB143" i="15"/>
  <c r="AC139" i="15"/>
  <c r="AB139" i="15"/>
  <c r="AC18" i="15"/>
  <c r="AB18" i="15"/>
  <c r="AC82" i="15"/>
  <c r="AB82" i="15"/>
  <c r="AC146" i="15"/>
  <c r="AB146" i="15"/>
  <c r="E172" i="7"/>
  <c r="E173" i="7" s="1"/>
  <c r="AC119" i="15"/>
  <c r="AB119" i="15"/>
  <c r="AB40" i="15"/>
  <c r="AC40" i="15"/>
  <c r="AB72" i="15"/>
  <c r="AC72" i="15"/>
  <c r="AB88" i="15"/>
  <c r="AC88" i="15"/>
  <c r="AB104" i="15"/>
  <c r="AC104" i="15"/>
  <c r="AC120" i="15"/>
  <c r="AB120" i="15"/>
  <c r="AC136" i="15"/>
  <c r="AB136" i="15"/>
  <c r="AC152" i="15"/>
  <c r="AB152" i="15"/>
  <c r="AB149" i="15"/>
  <c r="AC149" i="15"/>
  <c r="AB145" i="15"/>
  <c r="AC145" i="15"/>
  <c r="AC141" i="15"/>
  <c r="AB141" i="15"/>
  <c r="AC137" i="15"/>
  <c r="AB137" i="15"/>
  <c r="AB117" i="15"/>
  <c r="AC117" i="15"/>
  <c r="AC113" i="15"/>
  <c r="AB113" i="15"/>
  <c r="AB109" i="15"/>
  <c r="AC109" i="15"/>
  <c r="AB105" i="15"/>
  <c r="AC105" i="15"/>
  <c r="AB101" i="15"/>
  <c r="AC101" i="15"/>
  <c r="AB97" i="15"/>
  <c r="AC97" i="15"/>
  <c r="AB93" i="15"/>
  <c r="AC93" i="15"/>
  <c r="AB89" i="15"/>
  <c r="AC89" i="15"/>
  <c r="AB85" i="15"/>
  <c r="AC85" i="15"/>
  <c r="AB81" i="15"/>
  <c r="AC81" i="15"/>
  <c r="AB77" i="15"/>
  <c r="AC77" i="15"/>
  <c r="AB73" i="15"/>
  <c r="AC73" i="15"/>
  <c r="AB69" i="15"/>
  <c r="AC69" i="15"/>
  <c r="AB65" i="15"/>
  <c r="AC65" i="15"/>
  <c r="AB61" i="15"/>
  <c r="AC61" i="15"/>
  <c r="AB57" i="15"/>
  <c r="AC57" i="15"/>
  <c r="AB53" i="15"/>
  <c r="AC53" i="15"/>
  <c r="AB49" i="15"/>
  <c r="AC49" i="15"/>
  <c r="AB45" i="15"/>
  <c r="AC45" i="15"/>
  <c r="AB41" i="15"/>
  <c r="AC41" i="15"/>
  <c r="AB37" i="15"/>
  <c r="AC37" i="15"/>
  <c r="AB33" i="15"/>
  <c r="AC33" i="15"/>
  <c r="AB29" i="15"/>
  <c r="AC29" i="15"/>
  <c r="AC25" i="15"/>
  <c r="AB25" i="15"/>
  <c r="AB21" i="15"/>
  <c r="AC21" i="15"/>
  <c r="AC17" i="15"/>
  <c r="AB17" i="15"/>
  <c r="AB13" i="15"/>
  <c r="AC13" i="15"/>
  <c r="AC9" i="15"/>
  <c r="AB9" i="15"/>
  <c r="AB5" i="15"/>
  <c r="AC5" i="15"/>
  <c r="AC34" i="15"/>
  <c r="AB34" i="15"/>
  <c r="AC98" i="15"/>
  <c r="AB98" i="15"/>
  <c r="AC8" i="15"/>
  <c r="AB8" i="15"/>
  <c r="AC24" i="15"/>
  <c r="AB24" i="15"/>
  <c r="AB56" i="15"/>
  <c r="AC56" i="15"/>
  <c r="AC12" i="15"/>
  <c r="AB12" i="15"/>
  <c r="AB28" i="15"/>
  <c r="AC28" i="15"/>
  <c r="AB44" i="15"/>
  <c r="AC44" i="15"/>
  <c r="AB60" i="15"/>
  <c r="AC60" i="15"/>
  <c r="AB76" i="15"/>
  <c r="AC76" i="15"/>
  <c r="AB92" i="15"/>
  <c r="AC92" i="15"/>
  <c r="AB108" i="15"/>
  <c r="AC108" i="15"/>
  <c r="AC124" i="15"/>
  <c r="AB124" i="15"/>
  <c r="AC140" i="15"/>
  <c r="AB140" i="15"/>
  <c r="AC156" i="15"/>
  <c r="AB156" i="15"/>
  <c r="AC159" i="15"/>
  <c r="AB159" i="15"/>
  <c r="AC155" i="15"/>
  <c r="AB155" i="15"/>
  <c r="AC131" i="15"/>
  <c r="AB131" i="15"/>
  <c r="AC127" i="15"/>
  <c r="AB127" i="15"/>
  <c r="AC123" i="15"/>
  <c r="AB123" i="15"/>
  <c r="AC50" i="15"/>
  <c r="AB50" i="15"/>
  <c r="AC114" i="15"/>
  <c r="AB114" i="15"/>
  <c r="AC2" i="15"/>
  <c r="AB2" i="15"/>
  <c r="AC151" i="15"/>
  <c r="AB151" i="15"/>
  <c r="G48" i="7"/>
  <c r="G34" i="7"/>
  <c r="G47" i="7"/>
  <c r="G40" i="7" l="1"/>
  <c r="G35" i="7"/>
  <c r="G46" i="7" l="1"/>
  <c r="G36" i="7"/>
  <c r="G45" i="7"/>
  <c r="G37" i="7"/>
  <c r="A74" i="7" l="1"/>
  <c r="A64" i="7"/>
  <c r="A61" i="5"/>
  <c r="A51" i="5"/>
  <c r="A56" i="1"/>
  <c r="A46" i="1"/>
  <c r="A190" i="7"/>
  <c r="A210" i="7"/>
  <c r="A217" i="7"/>
  <c r="A163" i="7"/>
  <c r="A105" i="7"/>
  <c r="A147" i="7"/>
  <c r="A147" i="5"/>
  <c r="A169" i="5"/>
  <c r="A176" i="5"/>
  <c r="A123" i="5"/>
  <c r="A89" i="5"/>
  <c r="A107" i="5"/>
  <c r="A134" i="1"/>
  <c r="A150" i="1"/>
  <c r="A158" i="1"/>
  <c r="A115" i="1"/>
  <c r="A85" i="1"/>
  <c r="A100" i="1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2" i="3"/>
  <c r="E19" i="17" l="1"/>
  <c r="E74" i="17" s="1"/>
  <c r="E16" i="17"/>
  <c r="E14" i="17"/>
  <c r="E45" i="17" s="1"/>
  <c r="E15" i="17"/>
  <c r="E13" i="17"/>
  <c r="E23" i="1"/>
  <c r="E22" i="1"/>
  <c r="E85" i="7"/>
  <c r="E87" i="7" s="1"/>
  <c r="F85" i="7"/>
  <c r="F84" i="7"/>
  <c r="F87" i="7"/>
  <c r="F86" i="7"/>
  <c r="F113" i="7"/>
  <c r="F112" i="7"/>
  <c r="F111" i="7"/>
  <c r="F121" i="7"/>
  <c r="E121" i="7"/>
  <c r="E27" i="17" l="1"/>
  <c r="E29" i="17"/>
  <c r="E30" i="17" s="1"/>
  <c r="E31" i="17"/>
  <c r="E61" i="17"/>
  <c r="E114" i="17"/>
  <c r="E115" i="17"/>
  <c r="E132" i="17" s="1"/>
  <c r="E167" i="17"/>
  <c r="E26" i="17"/>
  <c r="E32" i="17" s="1"/>
  <c r="E81" i="17"/>
  <c r="E46" i="17"/>
  <c r="E91" i="17"/>
  <c r="E77" i="17"/>
  <c r="E59" i="17"/>
  <c r="E55" i="17"/>
  <c r="E118" i="17"/>
  <c r="E57" i="17"/>
  <c r="E22" i="7"/>
  <c r="E107" i="7"/>
  <c r="E33" i="17" l="1"/>
  <c r="E28" i="17"/>
  <c r="E89" i="17"/>
  <c r="E63" i="17"/>
  <c r="E62" i="17"/>
  <c r="E171" i="17"/>
  <c r="E154" i="17"/>
  <c r="E156" i="17" s="1"/>
  <c r="E157" i="17" s="1"/>
  <c r="E67" i="17"/>
  <c r="E68" i="17" s="1"/>
  <c r="E169" i="17"/>
  <c r="E48" i="17"/>
  <c r="E49" i="17" s="1"/>
  <c r="E120" i="17"/>
  <c r="E122" i="17" s="1"/>
  <c r="E124" i="17" s="1"/>
  <c r="P19" i="6"/>
  <c r="Q19" i="6" s="1"/>
  <c r="O19" i="6"/>
  <c r="N19" i="6"/>
  <c r="I19" i="6"/>
  <c r="H19" i="6"/>
  <c r="L19" i="6" s="1"/>
  <c r="F19" i="6"/>
  <c r="A19" i="6"/>
  <c r="P18" i="6"/>
  <c r="Q18" i="6" s="1"/>
  <c r="O18" i="6"/>
  <c r="N18" i="6"/>
  <c r="I18" i="6"/>
  <c r="H18" i="6"/>
  <c r="L18" i="6" s="1"/>
  <c r="F18" i="6"/>
  <c r="A18" i="6"/>
  <c r="P17" i="6"/>
  <c r="Q17" i="6" s="1"/>
  <c r="O17" i="6"/>
  <c r="N17" i="6"/>
  <c r="I17" i="6"/>
  <c r="H17" i="6"/>
  <c r="L17" i="6" s="1"/>
  <c r="F17" i="6"/>
  <c r="A17" i="6"/>
  <c r="P16" i="6"/>
  <c r="Q16" i="6" s="1"/>
  <c r="O16" i="6"/>
  <c r="N16" i="6"/>
  <c r="I16" i="6"/>
  <c r="H16" i="6"/>
  <c r="L16" i="6" s="1"/>
  <c r="F16" i="6"/>
  <c r="A16" i="6"/>
  <c r="P15" i="6"/>
  <c r="Q15" i="6" s="1"/>
  <c r="O15" i="6"/>
  <c r="N15" i="6"/>
  <c r="I15" i="6"/>
  <c r="H15" i="6"/>
  <c r="L15" i="6" s="1"/>
  <c r="F15" i="6"/>
  <c r="A15" i="6"/>
  <c r="P14" i="6"/>
  <c r="Q14" i="6" s="1"/>
  <c r="O14" i="6"/>
  <c r="N14" i="6"/>
  <c r="I14" i="6"/>
  <c r="H14" i="6"/>
  <c r="L14" i="6" s="1"/>
  <c r="F14" i="6"/>
  <c r="A14" i="6"/>
  <c r="P13" i="6"/>
  <c r="Q13" i="6" s="1"/>
  <c r="O13" i="6"/>
  <c r="N13" i="6"/>
  <c r="I13" i="6"/>
  <c r="H13" i="6"/>
  <c r="L13" i="6" s="1"/>
  <c r="F13" i="6"/>
  <c r="A13" i="6"/>
  <c r="P12" i="6"/>
  <c r="Q12" i="6" s="1"/>
  <c r="O12" i="6"/>
  <c r="N12" i="6"/>
  <c r="I12" i="6"/>
  <c r="K12" i="6" s="1"/>
  <c r="H12" i="6"/>
  <c r="L12" i="6" s="1"/>
  <c r="F12" i="6"/>
  <c r="A12" i="6"/>
  <c r="Q11" i="6"/>
  <c r="P11" i="6"/>
  <c r="O11" i="6"/>
  <c r="N11" i="6"/>
  <c r="I11" i="6"/>
  <c r="M11" i="6" s="1"/>
  <c r="H11" i="6"/>
  <c r="L11" i="6" s="1"/>
  <c r="F11" i="6"/>
  <c r="A11" i="6"/>
  <c r="Q10" i="6"/>
  <c r="P10" i="6"/>
  <c r="O10" i="6"/>
  <c r="N10" i="6"/>
  <c r="I10" i="6"/>
  <c r="H10" i="6"/>
  <c r="L10" i="6" s="1"/>
  <c r="F10" i="6"/>
  <c r="A10" i="6"/>
  <c r="P9" i="6"/>
  <c r="Q9" i="6" s="1"/>
  <c r="O9" i="6"/>
  <c r="N9" i="6"/>
  <c r="I9" i="6"/>
  <c r="M9" i="6" s="1"/>
  <c r="H9" i="6"/>
  <c r="L9" i="6" s="1"/>
  <c r="F9" i="6"/>
  <c r="A9" i="6"/>
  <c r="P8" i="6"/>
  <c r="Q8" i="6" s="1"/>
  <c r="O8" i="6"/>
  <c r="N8" i="6"/>
  <c r="I8" i="6"/>
  <c r="H8" i="6"/>
  <c r="L8" i="6" s="1"/>
  <c r="F8" i="6"/>
  <c r="A8" i="6"/>
  <c r="P7" i="6"/>
  <c r="Q7" i="6" s="1"/>
  <c r="O7" i="6"/>
  <c r="N7" i="6"/>
  <c r="I7" i="6"/>
  <c r="M7" i="6" s="1"/>
  <c r="H7" i="6"/>
  <c r="L7" i="6" s="1"/>
  <c r="F7" i="6"/>
  <c r="A7" i="6"/>
  <c r="P6" i="6"/>
  <c r="Q6" i="6" s="1"/>
  <c r="O6" i="6"/>
  <c r="N6" i="6"/>
  <c r="I6" i="6"/>
  <c r="H6" i="6"/>
  <c r="L6" i="6" s="1"/>
  <c r="F6" i="6"/>
  <c r="G6" i="6" s="1"/>
  <c r="A6" i="6"/>
  <c r="P5" i="6"/>
  <c r="Q5" i="6" s="1"/>
  <c r="O5" i="6"/>
  <c r="N5" i="6"/>
  <c r="I5" i="6"/>
  <c r="H5" i="6"/>
  <c r="L5" i="6" s="1"/>
  <c r="F5" i="6"/>
  <c r="G5" i="6" s="1"/>
  <c r="A5" i="6"/>
  <c r="P4" i="6"/>
  <c r="Q4" i="6" s="1"/>
  <c r="O4" i="6"/>
  <c r="N4" i="6"/>
  <c r="I4" i="6"/>
  <c r="M4" i="6" s="1"/>
  <c r="H4" i="6"/>
  <c r="L4" i="6" s="1"/>
  <c r="F4" i="6"/>
  <c r="G4" i="6" s="1"/>
  <c r="A4" i="6"/>
  <c r="Q3" i="6"/>
  <c r="P3" i="6"/>
  <c r="O3" i="6"/>
  <c r="N3" i="6"/>
  <c r="I3" i="6"/>
  <c r="H3" i="6"/>
  <c r="L3" i="6" s="1"/>
  <c r="F3" i="6"/>
  <c r="A3" i="6"/>
  <c r="Q2" i="6"/>
  <c r="P2" i="6"/>
  <c r="O2" i="6"/>
  <c r="N2" i="6"/>
  <c r="I2" i="6"/>
  <c r="H2" i="6"/>
  <c r="L2" i="6" s="1"/>
  <c r="F2" i="6"/>
  <c r="A2" i="6"/>
  <c r="E20" i="5" s="1"/>
  <c r="R2" i="3"/>
  <c r="O2" i="3"/>
  <c r="AH2" i="3" s="1"/>
  <c r="N2" i="3"/>
  <c r="AG2" i="3" s="1"/>
  <c r="M2" i="3"/>
  <c r="L2" i="3"/>
  <c r="I2" i="3"/>
  <c r="H2" i="3"/>
  <c r="F2" i="3"/>
  <c r="R16" i="6" l="1"/>
  <c r="Y16" i="6"/>
  <c r="S16" i="6"/>
  <c r="AC16" i="6"/>
  <c r="AB16" i="6"/>
  <c r="X16" i="6"/>
  <c r="AF16" i="6"/>
  <c r="R17" i="6"/>
  <c r="S17" i="6"/>
  <c r="Y17" i="6"/>
  <c r="X17" i="6"/>
  <c r="AC17" i="6"/>
  <c r="AF17" i="6"/>
  <c r="AB17" i="6"/>
  <c r="E23" i="5"/>
  <c r="R10" i="6"/>
  <c r="AC10" i="6"/>
  <c r="S10" i="6"/>
  <c r="Y10" i="6"/>
  <c r="AB10" i="6"/>
  <c r="AF10" i="6"/>
  <c r="X10" i="6"/>
  <c r="R11" i="6"/>
  <c r="Y11" i="6"/>
  <c r="AB11" i="6"/>
  <c r="S11" i="6"/>
  <c r="AC11" i="6"/>
  <c r="AF11" i="6"/>
  <c r="X11" i="6"/>
  <c r="R12" i="6"/>
  <c r="S12" i="6"/>
  <c r="Y12" i="6"/>
  <c r="AC12" i="6"/>
  <c r="AF12" i="6"/>
  <c r="AB12" i="6"/>
  <c r="X12" i="6"/>
  <c r="R13" i="6"/>
  <c r="S13" i="6"/>
  <c r="Y13" i="6"/>
  <c r="AB13" i="6"/>
  <c r="X13" i="6"/>
  <c r="AF13" i="6"/>
  <c r="AC13" i="6"/>
  <c r="R14" i="6"/>
  <c r="S14" i="6"/>
  <c r="Y14" i="6"/>
  <c r="AC14" i="6"/>
  <c r="AF14" i="6"/>
  <c r="X14" i="6"/>
  <c r="AB14" i="6"/>
  <c r="R15" i="6"/>
  <c r="Y15" i="6"/>
  <c r="S15" i="6"/>
  <c r="AB15" i="6"/>
  <c r="AF15" i="6"/>
  <c r="AC15" i="6"/>
  <c r="X15" i="6"/>
  <c r="AF2" i="3"/>
  <c r="AI2" i="3"/>
  <c r="AJ2" i="3"/>
  <c r="E37" i="5"/>
  <c r="E28" i="5"/>
  <c r="E30" i="5"/>
  <c r="G32" i="5" s="1"/>
  <c r="E34" i="5"/>
  <c r="E36" i="5"/>
  <c r="E31" i="5"/>
  <c r="G33" i="5" s="1"/>
  <c r="E36" i="18"/>
  <c r="E134" i="18" s="1"/>
  <c r="E28" i="18"/>
  <c r="E16" i="18"/>
  <c r="E51" i="18" s="1"/>
  <c r="E31" i="18"/>
  <c r="E21" i="18"/>
  <c r="E83" i="18" s="1"/>
  <c r="E86" i="18" s="1"/>
  <c r="E15" i="18"/>
  <c r="E50" i="18" s="1"/>
  <c r="E34" i="18"/>
  <c r="E30" i="18"/>
  <c r="E18" i="18"/>
  <c r="H54" i="18" s="1"/>
  <c r="E14" i="18"/>
  <c r="E37" i="18"/>
  <c r="E135" i="18" s="1"/>
  <c r="E17" i="18"/>
  <c r="E13" i="18"/>
  <c r="E25" i="5"/>
  <c r="E24" i="5"/>
  <c r="R8" i="6"/>
  <c r="Y8" i="6"/>
  <c r="S8" i="6"/>
  <c r="AC8" i="6"/>
  <c r="AB8" i="6"/>
  <c r="X8" i="6"/>
  <c r="AF8" i="6"/>
  <c r="R9" i="6"/>
  <c r="S9" i="6"/>
  <c r="Y9" i="6"/>
  <c r="X9" i="6"/>
  <c r="AB9" i="6"/>
  <c r="AF9" i="6"/>
  <c r="AC9" i="6"/>
  <c r="G12" i="6"/>
  <c r="G13" i="6"/>
  <c r="E29" i="5" s="1"/>
  <c r="G14" i="6"/>
  <c r="E21" i="5"/>
  <c r="R2" i="6"/>
  <c r="Y2" i="6"/>
  <c r="AB2" i="6"/>
  <c r="S2" i="6"/>
  <c r="AF2" i="6"/>
  <c r="X2" i="6"/>
  <c r="AC2" i="6"/>
  <c r="R3" i="6"/>
  <c r="Y3" i="6"/>
  <c r="AB3" i="6"/>
  <c r="S3" i="6"/>
  <c r="AC3" i="6"/>
  <c r="AF3" i="6"/>
  <c r="X3" i="6"/>
  <c r="R4" i="6"/>
  <c r="Y4" i="6"/>
  <c r="S4" i="6"/>
  <c r="AC4" i="6"/>
  <c r="AF4" i="6"/>
  <c r="AB4" i="6"/>
  <c r="X4" i="6"/>
  <c r="R5" i="6"/>
  <c r="S5" i="6"/>
  <c r="Y5" i="6"/>
  <c r="AC5" i="6"/>
  <c r="X5" i="6"/>
  <c r="AF5" i="6"/>
  <c r="AB5" i="6"/>
  <c r="R6" i="6"/>
  <c r="S6" i="6"/>
  <c r="Y6" i="6"/>
  <c r="AC6" i="6"/>
  <c r="AF6" i="6"/>
  <c r="X6" i="6"/>
  <c r="AB6" i="6"/>
  <c r="R7" i="6"/>
  <c r="Y7" i="6"/>
  <c r="S7" i="6"/>
  <c r="AB7" i="6"/>
  <c r="AF7" i="6"/>
  <c r="AC7" i="6"/>
  <c r="X7" i="6"/>
  <c r="R18" i="6"/>
  <c r="Y18" i="6"/>
  <c r="S18" i="6"/>
  <c r="AC18" i="6"/>
  <c r="AB18" i="6"/>
  <c r="AF18" i="6"/>
  <c r="X18" i="6"/>
  <c r="R19" i="6"/>
  <c r="Y19" i="6"/>
  <c r="AB19" i="6"/>
  <c r="S19" i="6"/>
  <c r="AC19" i="6"/>
  <c r="AF19" i="6"/>
  <c r="X19" i="6"/>
  <c r="E22" i="5"/>
  <c r="G34" i="5" s="1"/>
  <c r="E161" i="17"/>
  <c r="E158" i="17"/>
  <c r="E38" i="5"/>
  <c r="G36" i="5"/>
  <c r="G28" i="5"/>
  <c r="G30" i="5"/>
  <c r="G35" i="5"/>
  <c r="G31" i="5"/>
  <c r="G38" i="5"/>
  <c r="L209" i="17"/>
  <c r="E51" i="17"/>
  <c r="E50" i="17"/>
  <c r="AA2" i="3"/>
  <c r="E129" i="17"/>
  <c r="G129" i="17" s="1"/>
  <c r="E127" i="17"/>
  <c r="E104" i="17"/>
  <c r="E93" i="17"/>
  <c r="E95" i="17" s="1"/>
  <c r="E97" i="17" s="1"/>
  <c r="K2" i="3"/>
  <c r="E86" i="17"/>
  <c r="E84" i="17"/>
  <c r="E173" i="17"/>
  <c r="E176" i="17" s="1"/>
  <c r="E177" i="17" s="1"/>
  <c r="Y2" i="3"/>
  <c r="S2" i="3"/>
  <c r="AB2" i="3"/>
  <c r="AC2" i="3"/>
  <c r="Q2" i="3"/>
  <c r="Z2" i="3"/>
  <c r="E20" i="1"/>
  <c r="E21" i="1"/>
  <c r="G8" i="6"/>
  <c r="G2" i="6"/>
  <c r="G9" i="6"/>
  <c r="G10" i="6"/>
  <c r="G17" i="6"/>
  <c r="G18" i="6"/>
  <c r="E29" i="18" s="1"/>
  <c r="G16" i="6"/>
  <c r="K8" i="6"/>
  <c r="K16" i="6"/>
  <c r="G3" i="6"/>
  <c r="K5" i="6"/>
  <c r="G7" i="6"/>
  <c r="G11" i="6"/>
  <c r="K13" i="6"/>
  <c r="E33" i="5" s="1"/>
  <c r="G15" i="6"/>
  <c r="K17" i="6"/>
  <c r="G19" i="6"/>
  <c r="K2" i="6"/>
  <c r="K6" i="6"/>
  <c r="K10" i="6"/>
  <c r="K14" i="6"/>
  <c r="K18" i="6"/>
  <c r="E33" i="18" s="1"/>
  <c r="K3" i="6"/>
  <c r="K15" i="6"/>
  <c r="K19" i="6"/>
  <c r="M5" i="6"/>
  <c r="M6" i="6"/>
  <c r="M8" i="6"/>
  <c r="M10" i="6"/>
  <c r="M12" i="6"/>
  <c r="M13" i="6"/>
  <c r="E35" i="5" s="1"/>
  <c r="M14" i="6"/>
  <c r="M15" i="6"/>
  <c r="M16" i="6"/>
  <c r="M17" i="6"/>
  <c r="M18" i="6"/>
  <c r="E35" i="18" s="1"/>
  <c r="M19" i="6"/>
  <c r="J2" i="6"/>
  <c r="J3" i="6"/>
  <c r="J4" i="6"/>
  <c r="J5" i="6"/>
  <c r="J6" i="6"/>
  <c r="J7" i="6"/>
  <c r="J8" i="6"/>
  <c r="J9" i="6"/>
  <c r="J10" i="6"/>
  <c r="J11" i="6"/>
  <c r="J12" i="6"/>
  <c r="J13" i="6"/>
  <c r="E32" i="5" s="1"/>
  <c r="J14" i="6"/>
  <c r="J15" i="6"/>
  <c r="J16" i="6"/>
  <c r="J17" i="6"/>
  <c r="J18" i="6"/>
  <c r="E32" i="18" s="1"/>
  <c r="J19" i="6"/>
  <c r="M2" i="6"/>
  <c r="M3" i="6"/>
  <c r="K4" i="6"/>
  <c r="K7" i="6"/>
  <c r="K9" i="6"/>
  <c r="K11" i="6"/>
  <c r="J2" i="3"/>
  <c r="P2" i="3"/>
  <c r="G2" i="3"/>
  <c r="Z6" i="6" l="1"/>
  <c r="AA6" i="6"/>
  <c r="Z18" i="6"/>
  <c r="AA18" i="6"/>
  <c r="Z4" i="6"/>
  <c r="AA4" i="6"/>
  <c r="AA9" i="6"/>
  <c r="Z9" i="6"/>
  <c r="G32" i="18"/>
  <c r="E106" i="18"/>
  <c r="G33" i="18"/>
  <c r="E107" i="18"/>
  <c r="E55" i="5"/>
  <c r="G29" i="5"/>
  <c r="Z12" i="6"/>
  <c r="AA12" i="6"/>
  <c r="Z19" i="6"/>
  <c r="AA19" i="6"/>
  <c r="E132" i="5"/>
  <c r="AA8" i="6"/>
  <c r="Z8" i="6"/>
  <c r="E53" i="18"/>
  <c r="E151" i="18" s="1"/>
  <c r="E188" i="18"/>
  <c r="G35" i="18"/>
  <c r="G31" i="18"/>
  <c r="E69" i="18"/>
  <c r="E102" i="18" s="1"/>
  <c r="G37" i="18"/>
  <c r="AA17" i="6"/>
  <c r="Z17" i="6"/>
  <c r="E26" i="1"/>
  <c r="E32" i="1" s="1"/>
  <c r="E27" i="1"/>
  <c r="E31" i="1"/>
  <c r="E29" i="1"/>
  <c r="G37" i="5"/>
  <c r="E65" i="18"/>
  <c r="E194" i="18"/>
  <c r="E195" i="18"/>
  <c r="E67" i="18"/>
  <c r="E63" i="18"/>
  <c r="E251" i="18"/>
  <c r="E153" i="18"/>
  <c r="G36" i="18"/>
  <c r="G52" i="18"/>
  <c r="G28" i="18"/>
  <c r="E71" i="18"/>
  <c r="E54" i="18"/>
  <c r="G30" i="18"/>
  <c r="E68" i="18"/>
  <c r="E100" i="18" s="1"/>
  <c r="E104" i="18" s="1"/>
  <c r="E190" i="18"/>
  <c r="E249" i="18"/>
  <c r="G34" i="18"/>
  <c r="E52" i="18"/>
  <c r="Z10" i="6"/>
  <c r="AA10" i="6"/>
  <c r="AA16" i="6"/>
  <c r="Z16" i="6"/>
  <c r="Z7" i="6"/>
  <c r="AA7" i="6"/>
  <c r="AA5" i="6"/>
  <c r="Z5" i="6"/>
  <c r="Z3" i="6"/>
  <c r="AA3" i="6"/>
  <c r="Z2" i="6"/>
  <c r="AA2" i="6"/>
  <c r="E38" i="18"/>
  <c r="G29" i="18"/>
  <c r="Z15" i="6"/>
  <c r="AA15" i="6"/>
  <c r="Z14" i="6"/>
  <c r="AA14" i="6"/>
  <c r="AA13" i="6"/>
  <c r="Z13" i="6"/>
  <c r="Z11" i="6"/>
  <c r="AA11" i="6"/>
  <c r="K212" i="17"/>
  <c r="E200" i="17"/>
  <c r="E202" i="17" s="1"/>
  <c r="K210" i="17"/>
  <c r="E196" i="17"/>
  <c r="E159" i="17"/>
  <c r="E198" i="17"/>
  <c r="K211" i="17"/>
  <c r="E162" i="17"/>
  <c r="E100" i="17"/>
  <c r="E98" i="17" s="1"/>
  <c r="E106" i="17" s="1"/>
  <c r="E108" i="17" s="1"/>
  <c r="E109" i="17" s="1"/>
  <c r="E102" i="17"/>
  <c r="G127" i="17"/>
  <c r="E134" i="17"/>
  <c r="E71" i="7"/>
  <c r="E72" i="7" s="1"/>
  <c r="E16" i="1"/>
  <c r="E15" i="1"/>
  <c r="E33" i="1" l="1"/>
  <c r="E28" i="1"/>
  <c r="E136" i="18"/>
  <c r="E91" i="18"/>
  <c r="E141" i="18"/>
  <c r="E196" i="18"/>
  <c r="E230" i="18"/>
  <c r="E197" i="18"/>
  <c r="E227" i="18" s="1"/>
  <c r="E232" i="18"/>
  <c r="E73" i="18"/>
  <c r="E72" i="18"/>
  <c r="E145" i="18"/>
  <c r="E143" i="18"/>
  <c r="E30" i="1"/>
  <c r="E149" i="18"/>
  <c r="E92" i="18"/>
  <c r="E137" i="18"/>
  <c r="E56" i="18"/>
  <c r="E57" i="18" s="1"/>
  <c r="E123" i="18"/>
  <c r="E95" i="18"/>
  <c r="E77" i="18"/>
  <c r="E78" i="18" s="1"/>
  <c r="K302" i="18" s="1"/>
  <c r="E135" i="17"/>
  <c r="E143" i="17" s="1"/>
  <c r="E139" i="17"/>
  <c r="E163" i="17"/>
  <c r="E213" i="17" s="1"/>
  <c r="D213" i="17"/>
  <c r="E110" i="17"/>
  <c r="E182" i="17"/>
  <c r="E188" i="17" s="1"/>
  <c r="K209" i="17"/>
  <c r="D212" i="17"/>
  <c r="E160" i="17"/>
  <c r="E212" i="17" s="1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2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J3" i="13"/>
  <c r="L3" i="13" s="1"/>
  <c r="M3" i="13" s="1"/>
  <c r="K3" i="13"/>
  <c r="J4" i="13"/>
  <c r="K4" i="13"/>
  <c r="J5" i="13"/>
  <c r="K5" i="13"/>
  <c r="J6" i="13"/>
  <c r="K6" i="13"/>
  <c r="J7" i="13"/>
  <c r="L7" i="13" s="1"/>
  <c r="M7" i="13" s="1"/>
  <c r="K7" i="13"/>
  <c r="J8" i="13"/>
  <c r="K8" i="13"/>
  <c r="J9" i="13"/>
  <c r="K9" i="13"/>
  <c r="J10" i="13"/>
  <c r="K10" i="13"/>
  <c r="J11" i="13"/>
  <c r="L11" i="13" s="1"/>
  <c r="M11" i="13" s="1"/>
  <c r="K11" i="13"/>
  <c r="J12" i="13"/>
  <c r="K12" i="13"/>
  <c r="J13" i="13"/>
  <c r="K13" i="13"/>
  <c r="J14" i="13"/>
  <c r="K14" i="13"/>
  <c r="J15" i="13"/>
  <c r="L15" i="13" s="1"/>
  <c r="M15" i="13" s="1"/>
  <c r="K15" i="13"/>
  <c r="J16" i="13"/>
  <c r="K16" i="13"/>
  <c r="J17" i="13"/>
  <c r="K17" i="13"/>
  <c r="J18" i="13"/>
  <c r="K18" i="13"/>
  <c r="J19" i="13"/>
  <c r="L19" i="13" s="1"/>
  <c r="M19" i="13" s="1"/>
  <c r="K19" i="13"/>
  <c r="J20" i="13"/>
  <c r="K20" i="13"/>
  <c r="J21" i="13"/>
  <c r="K21" i="13"/>
  <c r="J22" i="13"/>
  <c r="K22" i="13"/>
  <c r="J23" i="13"/>
  <c r="L23" i="13" s="1"/>
  <c r="M23" i="13" s="1"/>
  <c r="K23" i="13"/>
  <c r="J24" i="13"/>
  <c r="K24" i="13"/>
  <c r="J25" i="13"/>
  <c r="K25" i="13"/>
  <c r="J26" i="13"/>
  <c r="K26" i="13"/>
  <c r="J27" i="13"/>
  <c r="L27" i="13" s="1"/>
  <c r="M27" i="13" s="1"/>
  <c r="K27" i="13"/>
  <c r="J28" i="13"/>
  <c r="K28" i="13"/>
  <c r="J29" i="13"/>
  <c r="K29" i="13"/>
  <c r="J30" i="13"/>
  <c r="K30" i="13"/>
  <c r="J31" i="13"/>
  <c r="L31" i="13" s="1"/>
  <c r="M31" i="13" s="1"/>
  <c r="K31" i="13"/>
  <c r="J32" i="13"/>
  <c r="K32" i="13"/>
  <c r="J33" i="13"/>
  <c r="K33" i="13"/>
  <c r="J34" i="13"/>
  <c r="K34" i="13"/>
  <c r="J35" i="13"/>
  <c r="L35" i="13" s="1"/>
  <c r="M35" i="13" s="1"/>
  <c r="K35" i="13"/>
  <c r="J36" i="13"/>
  <c r="K36" i="13"/>
  <c r="J37" i="13"/>
  <c r="K37" i="13"/>
  <c r="J38" i="13"/>
  <c r="K38" i="13"/>
  <c r="J39" i="13"/>
  <c r="L39" i="13" s="1"/>
  <c r="M39" i="13" s="1"/>
  <c r="K39" i="13"/>
  <c r="J40" i="13"/>
  <c r="K40" i="13"/>
  <c r="J41" i="13"/>
  <c r="K41" i="13"/>
  <c r="J42" i="13"/>
  <c r="K42" i="13"/>
  <c r="J43" i="13"/>
  <c r="L43" i="13" s="1"/>
  <c r="M43" i="13" s="1"/>
  <c r="K43" i="13"/>
  <c r="J44" i="13"/>
  <c r="K44" i="13"/>
  <c r="J45" i="13"/>
  <c r="K45" i="13"/>
  <c r="J46" i="13"/>
  <c r="K46" i="13"/>
  <c r="J47" i="13"/>
  <c r="L47" i="13" s="1"/>
  <c r="M47" i="13" s="1"/>
  <c r="K47" i="13"/>
  <c r="J48" i="13"/>
  <c r="K48" i="13"/>
  <c r="J49" i="13"/>
  <c r="K49" i="13"/>
  <c r="J50" i="13"/>
  <c r="K50" i="13"/>
  <c r="J51" i="13"/>
  <c r="K51" i="13"/>
  <c r="J52" i="13"/>
  <c r="K52" i="13"/>
  <c r="J53" i="13"/>
  <c r="K53" i="13"/>
  <c r="J54" i="13"/>
  <c r="K54" i="13"/>
  <c r="J55" i="13"/>
  <c r="K55" i="13"/>
  <c r="J56" i="13"/>
  <c r="K56" i="13"/>
  <c r="J57" i="13"/>
  <c r="K57" i="13"/>
  <c r="J58" i="13"/>
  <c r="K58" i="13"/>
  <c r="J59" i="13"/>
  <c r="K59" i="13"/>
  <c r="J60" i="13"/>
  <c r="K60" i="13"/>
  <c r="J61" i="13"/>
  <c r="K61" i="13"/>
  <c r="J62" i="13"/>
  <c r="K62" i="13"/>
  <c r="J63" i="13"/>
  <c r="K63" i="13"/>
  <c r="J64" i="13"/>
  <c r="K64" i="13"/>
  <c r="J65" i="13"/>
  <c r="K65" i="13"/>
  <c r="J66" i="13"/>
  <c r="K66" i="13"/>
  <c r="J67" i="13"/>
  <c r="K67" i="13"/>
  <c r="J68" i="13"/>
  <c r="K68" i="13"/>
  <c r="J69" i="13"/>
  <c r="K69" i="13"/>
  <c r="J70" i="13"/>
  <c r="K70" i="13"/>
  <c r="J71" i="13"/>
  <c r="K71" i="13"/>
  <c r="J72" i="13"/>
  <c r="K72" i="13"/>
  <c r="J73" i="13"/>
  <c r="K73" i="13"/>
  <c r="J74" i="13"/>
  <c r="K74" i="13"/>
  <c r="J75" i="13"/>
  <c r="K75" i="13"/>
  <c r="J76" i="13"/>
  <c r="K76" i="13"/>
  <c r="J77" i="13"/>
  <c r="K77" i="13"/>
  <c r="J78" i="13"/>
  <c r="K78" i="13"/>
  <c r="J79" i="13"/>
  <c r="K79" i="13"/>
  <c r="J80" i="13"/>
  <c r="K80" i="13"/>
  <c r="J81" i="13"/>
  <c r="K81" i="13"/>
  <c r="J82" i="13"/>
  <c r="K82" i="13"/>
  <c r="K2" i="13"/>
  <c r="J2" i="13"/>
  <c r="F2" i="13"/>
  <c r="E2" i="13" s="1"/>
  <c r="E109" i="18" l="1"/>
  <c r="E119" i="18"/>
  <c r="E117" i="18" s="1"/>
  <c r="E58" i="18"/>
  <c r="E59" i="18"/>
  <c r="D162" i="18"/>
  <c r="E139" i="18"/>
  <c r="D159" i="18" s="1"/>
  <c r="C162" i="18"/>
  <c r="E162" i="18" s="1"/>
  <c r="E147" i="18"/>
  <c r="D170" i="18" s="1"/>
  <c r="C174" i="18"/>
  <c r="D174" i="18"/>
  <c r="E238" i="18"/>
  <c r="E243" i="18" s="1"/>
  <c r="E266" i="18"/>
  <c r="E269" i="18" s="1"/>
  <c r="E270" i="18" s="1"/>
  <c r="E212" i="18"/>
  <c r="E236" i="18" s="1"/>
  <c r="E240" i="18" s="1"/>
  <c r="E97" i="18"/>
  <c r="E121" i="18" s="1"/>
  <c r="E141" i="17"/>
  <c r="E137" i="17"/>
  <c r="D209" i="17"/>
  <c r="E111" i="17"/>
  <c r="E209" i="17" s="1"/>
  <c r="L76" i="13"/>
  <c r="M76" i="13" s="1"/>
  <c r="L64" i="13"/>
  <c r="M64" i="13" s="1"/>
  <c r="L60" i="13"/>
  <c r="M60" i="13" s="1"/>
  <c r="L48" i="13"/>
  <c r="M48" i="13" s="1"/>
  <c r="L44" i="13"/>
  <c r="M44" i="13" s="1"/>
  <c r="L32" i="13"/>
  <c r="M32" i="13" s="1"/>
  <c r="L28" i="13"/>
  <c r="M28" i="13" s="1"/>
  <c r="L2" i="13"/>
  <c r="M2" i="13" s="1"/>
  <c r="L46" i="13"/>
  <c r="M46" i="13" s="1"/>
  <c r="L26" i="13"/>
  <c r="M26" i="13" s="1"/>
  <c r="L74" i="13"/>
  <c r="M74" i="13" s="1"/>
  <c r="L62" i="13"/>
  <c r="M62" i="13" s="1"/>
  <c r="L58" i="13"/>
  <c r="M58" i="13" s="1"/>
  <c r="L42" i="13"/>
  <c r="M42" i="13" s="1"/>
  <c r="L30" i="13"/>
  <c r="M30" i="13" s="1"/>
  <c r="L49" i="13"/>
  <c r="M49" i="13" s="1"/>
  <c r="L45" i="13"/>
  <c r="M45" i="13" s="1"/>
  <c r="L41" i="13"/>
  <c r="M41" i="13" s="1"/>
  <c r="L37" i="13"/>
  <c r="M37" i="13" s="1"/>
  <c r="L33" i="13"/>
  <c r="M33" i="13" s="1"/>
  <c r="L29" i="13"/>
  <c r="M29" i="13" s="1"/>
  <c r="L25" i="13"/>
  <c r="M25" i="13" s="1"/>
  <c r="L21" i="13"/>
  <c r="M21" i="13" s="1"/>
  <c r="L17" i="13"/>
  <c r="M17" i="13" s="1"/>
  <c r="L13" i="13"/>
  <c r="M13" i="13" s="1"/>
  <c r="L9" i="13"/>
  <c r="M9" i="13" s="1"/>
  <c r="L5" i="13"/>
  <c r="M5" i="13" s="1"/>
  <c r="L81" i="13"/>
  <c r="M81" i="13" s="1"/>
  <c r="L79" i="13"/>
  <c r="M79" i="13" s="1"/>
  <c r="L77" i="13"/>
  <c r="M77" i="13" s="1"/>
  <c r="L75" i="13"/>
  <c r="M75" i="13" s="1"/>
  <c r="L73" i="13"/>
  <c r="M73" i="13" s="1"/>
  <c r="L71" i="13"/>
  <c r="M71" i="13" s="1"/>
  <c r="L69" i="13"/>
  <c r="M69" i="13" s="1"/>
  <c r="L67" i="13"/>
  <c r="M67" i="13" s="1"/>
  <c r="L65" i="13"/>
  <c r="M65" i="13" s="1"/>
  <c r="L63" i="13"/>
  <c r="M63" i="13" s="1"/>
  <c r="L61" i="13"/>
  <c r="M61" i="13" s="1"/>
  <c r="L59" i="13"/>
  <c r="M59" i="13" s="1"/>
  <c r="L57" i="13"/>
  <c r="M57" i="13" s="1"/>
  <c r="L55" i="13"/>
  <c r="M55" i="13" s="1"/>
  <c r="L53" i="13"/>
  <c r="M53" i="13" s="1"/>
  <c r="L51" i="13"/>
  <c r="M51" i="13" s="1"/>
  <c r="L20" i="13"/>
  <c r="M20" i="13" s="1"/>
  <c r="L18" i="13"/>
  <c r="M18" i="13" s="1"/>
  <c r="L12" i="13"/>
  <c r="M12" i="13" s="1"/>
  <c r="L10" i="13"/>
  <c r="M10" i="13" s="1"/>
  <c r="L82" i="13"/>
  <c r="M82" i="13" s="1"/>
  <c r="L80" i="13"/>
  <c r="M80" i="13" s="1"/>
  <c r="L78" i="13"/>
  <c r="M78" i="13" s="1"/>
  <c r="L72" i="13"/>
  <c r="M72" i="13" s="1"/>
  <c r="L70" i="13"/>
  <c r="M70" i="13" s="1"/>
  <c r="L56" i="13"/>
  <c r="M56" i="13" s="1"/>
  <c r="L54" i="13"/>
  <c r="M54" i="13" s="1"/>
  <c r="L40" i="13"/>
  <c r="M40" i="13" s="1"/>
  <c r="L38" i="13"/>
  <c r="M38" i="13" s="1"/>
  <c r="L24" i="13"/>
  <c r="M24" i="13" s="1"/>
  <c r="L16" i="13"/>
  <c r="M16" i="13" s="1"/>
  <c r="L8" i="13"/>
  <c r="M8" i="13" s="1"/>
  <c r="L6" i="13"/>
  <c r="M6" i="13" s="1"/>
  <c r="L4" i="13"/>
  <c r="M4" i="13" s="1"/>
  <c r="L68" i="13"/>
  <c r="M68" i="13" s="1"/>
  <c r="L66" i="13"/>
  <c r="M66" i="13" s="1"/>
  <c r="L52" i="13"/>
  <c r="M52" i="13" s="1"/>
  <c r="L50" i="13"/>
  <c r="M50" i="13" s="1"/>
  <c r="L36" i="13"/>
  <c r="M36" i="13" s="1"/>
  <c r="L34" i="13"/>
  <c r="M34" i="13" s="1"/>
  <c r="L22" i="13"/>
  <c r="M22" i="13" s="1"/>
  <c r="L14" i="13"/>
  <c r="M14" i="13" s="1"/>
  <c r="D175" i="18" l="1"/>
  <c r="D158" i="18"/>
  <c r="E241" i="18"/>
  <c r="E289" i="18"/>
  <c r="J303" i="18"/>
  <c r="C171" i="18"/>
  <c r="E174" i="18"/>
  <c r="C163" i="18"/>
  <c r="C160" i="18"/>
  <c r="C158" i="18"/>
  <c r="E158" i="18" s="1"/>
  <c r="D157" i="18"/>
  <c r="D160" i="18"/>
  <c r="C161" i="18"/>
  <c r="D161" i="18"/>
  <c r="D164" i="18"/>
  <c r="C164" i="18"/>
  <c r="J305" i="18"/>
  <c r="E293" i="18"/>
  <c r="E295" i="18" s="1"/>
  <c r="C159" i="18"/>
  <c r="E159" i="18" s="1"/>
  <c r="C175" i="18"/>
  <c r="E175" i="18" s="1"/>
  <c r="C172" i="18"/>
  <c r="C170" i="18"/>
  <c r="E170" i="18" s="1"/>
  <c r="D169" i="18"/>
  <c r="C173" i="18"/>
  <c r="E173" i="18" s="1"/>
  <c r="D173" i="18"/>
  <c r="D172" i="18"/>
  <c r="D176" i="18"/>
  <c r="C169" i="18"/>
  <c r="E169" i="18" s="1"/>
  <c r="C176" i="18"/>
  <c r="E111" i="18"/>
  <c r="E114" i="18" s="1"/>
  <c r="E112" i="18"/>
  <c r="E115" i="18" s="1"/>
  <c r="J304" i="18"/>
  <c r="E291" i="18"/>
  <c r="E244" i="18"/>
  <c r="D163" i="18"/>
  <c r="D171" i="18"/>
  <c r="C157" i="18"/>
  <c r="E144" i="17"/>
  <c r="B48" i="4"/>
  <c r="C48" i="4"/>
  <c r="E157" i="18" l="1"/>
  <c r="E163" i="18"/>
  <c r="E161" i="18"/>
  <c r="E160" i="18"/>
  <c r="E145" i="17"/>
  <c r="E148" i="17"/>
  <c r="D306" i="18"/>
  <c r="E245" i="18"/>
  <c r="E306" i="18" s="1"/>
  <c r="E116" i="18"/>
  <c r="E125" i="18" s="1"/>
  <c r="E127" i="18" s="1"/>
  <c r="E128" i="18" s="1"/>
  <c r="E164" i="18"/>
  <c r="D305" i="18"/>
  <c r="E242" i="18"/>
  <c r="E305" i="18" s="1"/>
  <c r="E165" i="18"/>
  <c r="E179" i="18" s="1"/>
  <c r="E176" i="18"/>
  <c r="E172" i="18"/>
  <c r="E171" i="18"/>
  <c r="E177" i="18" s="1"/>
  <c r="E182" i="18" s="1"/>
  <c r="E178" i="7"/>
  <c r="E124" i="7"/>
  <c r="E279" i="18" l="1"/>
  <c r="J307" i="18"/>
  <c r="E183" i="18"/>
  <c r="J306" i="18"/>
  <c r="E180" i="18"/>
  <c r="E277" i="18"/>
  <c r="E186" i="17"/>
  <c r="E149" i="17"/>
  <c r="K214" i="17"/>
  <c r="I128" i="18"/>
  <c r="J302" i="18"/>
  <c r="L310" i="18" s="1"/>
  <c r="E275" i="18"/>
  <c r="E281" i="18" s="1"/>
  <c r="E284" i="18" s="1"/>
  <c r="E129" i="18"/>
  <c r="K213" i="17"/>
  <c r="E184" i="17"/>
  <c r="E146" i="17"/>
  <c r="E175" i="7"/>
  <c r="E151" i="7"/>
  <c r="D210" i="17" l="1"/>
  <c r="E147" i="17"/>
  <c r="E210" i="17" s="1"/>
  <c r="D307" i="18"/>
  <c r="E285" i="18"/>
  <c r="E307" i="18" s="1"/>
  <c r="E297" i="18"/>
  <c r="E191" i="17"/>
  <c r="F191" i="17"/>
  <c r="F204" i="17" s="1"/>
  <c r="D304" i="18"/>
  <c r="E184" i="18"/>
  <c r="E304" i="18" s="1"/>
  <c r="D211" i="17"/>
  <c r="E150" i="17"/>
  <c r="E211" i="17" s="1"/>
  <c r="F284" i="18"/>
  <c r="F297" i="18" s="1"/>
  <c r="D302" i="18"/>
  <c r="E130" i="18"/>
  <c r="E302" i="18" s="1"/>
  <c r="E181" i="18"/>
  <c r="E303" i="18" s="1"/>
  <c r="D303" i="18"/>
  <c r="E50" i="7"/>
  <c r="E38" i="7"/>
  <c r="E204" i="17" l="1"/>
  <c r="E192" i="17"/>
  <c r="E214" i="17" s="1"/>
  <c r="D214" i="17"/>
  <c r="D308" i="18"/>
  <c r="E298" i="18"/>
  <c r="E308" i="18" s="1"/>
  <c r="E174" i="7"/>
  <c r="E205" i="17" l="1"/>
  <c r="E215" i="17" s="1"/>
  <c r="D215" i="17"/>
  <c r="A48" i="4"/>
  <c r="E177" i="7"/>
  <c r="G44" i="7" l="1"/>
  <c r="G42" i="7"/>
  <c r="E192" i="7"/>
  <c r="D49" i="4"/>
  <c r="E37" i="7"/>
  <c r="G43" i="7" s="1"/>
  <c r="G39" i="7" l="1"/>
  <c r="E110" i="7"/>
  <c r="E17" i="7"/>
  <c r="E16" i="7"/>
  <c r="E111" i="7" l="1"/>
  <c r="E158" i="7"/>
  <c r="G111" i="7"/>
  <c r="G41" i="7"/>
  <c r="G152" i="7"/>
  <c r="E122" i="7"/>
  <c r="E129" i="7" s="1"/>
  <c r="E152" i="7"/>
  <c r="E155" i="7" s="1"/>
  <c r="E211" i="7"/>
  <c r="E5" i="5"/>
  <c r="E6" i="5"/>
  <c r="E7" i="5"/>
  <c r="E8" i="5"/>
  <c r="E9" i="5"/>
  <c r="A49" i="4" l="1"/>
  <c r="B55" i="4"/>
  <c r="B56" i="4" s="1"/>
  <c r="B57" i="4" s="1"/>
  <c r="B60" i="4" s="1"/>
  <c r="B61" i="4" s="1"/>
  <c r="B62" i="4" s="1"/>
  <c r="B63" i="4" s="1"/>
  <c r="C47" i="4"/>
  <c r="D48" i="4"/>
  <c r="A47" i="4"/>
  <c r="A50" i="4" s="1"/>
  <c r="D50" i="4"/>
  <c r="D55" i="4"/>
  <c r="D56" i="4" s="1"/>
  <c r="D57" i="4" s="1"/>
  <c r="D60" i="4" s="1"/>
  <c r="D61" i="4" s="1"/>
  <c r="D62" i="4" s="1"/>
  <c r="D63" i="4" s="1"/>
  <c r="C49" i="4"/>
  <c r="C55" i="4"/>
  <c r="C56" i="4" s="1"/>
  <c r="C57" i="4" s="1"/>
  <c r="C60" i="4" s="1"/>
  <c r="C61" i="4" s="1"/>
  <c r="C62" i="4" s="1"/>
  <c r="C63" i="4" s="1"/>
  <c r="B49" i="4"/>
  <c r="B47" i="4"/>
  <c r="F214" i="7"/>
  <c r="E112" i="7"/>
  <c r="G112" i="7"/>
  <c r="E76" i="7"/>
  <c r="E79" i="7" s="1"/>
  <c r="E82" i="7" s="1"/>
  <c r="E153" i="7"/>
  <c r="E77" i="7"/>
  <c r="E68" i="7"/>
  <c r="E97" i="7"/>
  <c r="E66" i="7"/>
  <c r="E70" i="7" l="1"/>
  <c r="B50" i="4"/>
  <c r="C50" i="4"/>
  <c r="D51" i="4"/>
  <c r="E215" i="7"/>
  <c r="E250" i="7" s="1"/>
  <c r="D250" i="7"/>
  <c r="E80" i="7"/>
  <c r="E83" i="7" s="1"/>
  <c r="G113" i="7"/>
  <c r="E115" i="7" s="1"/>
  <c r="E118" i="7" s="1"/>
  <c r="E143" i="7" s="1"/>
  <c r="H155" i="7"/>
  <c r="H156" i="7" s="1"/>
  <c r="J243" i="7"/>
  <c r="K243" i="7" s="1"/>
  <c r="E156" i="7"/>
  <c r="E165" i="7"/>
  <c r="H158" i="7"/>
  <c r="H159" i="7" s="1"/>
  <c r="E167" i="7"/>
  <c r="J244" i="7"/>
  <c r="K244" i="7" s="1"/>
  <c r="E159" i="7"/>
  <c r="E224" i="7"/>
  <c r="E89" i="7"/>
  <c r="E92" i="7" s="1"/>
  <c r="E95" i="7" s="1"/>
  <c r="E16" i="5"/>
  <c r="E15" i="5"/>
  <c r="E99" i="7" l="1"/>
  <c r="E222" i="7" s="1"/>
  <c r="B51" i="4"/>
  <c r="E91" i="5"/>
  <c r="E112" i="5" s="1"/>
  <c r="J21" i="5"/>
  <c r="E90" i="5"/>
  <c r="D247" i="7"/>
  <c r="E160" i="7"/>
  <c r="E247" i="7" s="1"/>
  <c r="D246" i="7"/>
  <c r="E157" i="7"/>
  <c r="E246" i="7" s="1"/>
  <c r="K242" i="7"/>
  <c r="D243" i="7"/>
  <c r="E243" i="7"/>
  <c r="E90" i="7"/>
  <c r="E93" i="7" s="1"/>
  <c r="E96" i="7" s="1"/>
  <c r="E223" i="7"/>
  <c r="E225" i="7" s="1"/>
  <c r="E114" i="7"/>
  <c r="E117" i="7" s="1"/>
  <c r="E113" i="7"/>
  <c r="E171" i="7"/>
  <c r="E168" i="7"/>
  <c r="E170" i="7"/>
  <c r="E166" i="7"/>
  <c r="J20" i="5"/>
  <c r="E134" i="5"/>
  <c r="E135" i="5"/>
  <c r="E133" i="5"/>
  <c r="E131" i="7" l="1"/>
  <c r="E133" i="7" s="1"/>
  <c r="E135" i="7" s="1"/>
  <c r="G218" i="7"/>
  <c r="E218" i="7"/>
  <c r="E229" i="7"/>
  <c r="E100" i="7"/>
  <c r="E101" i="7" s="1"/>
  <c r="E144" i="7"/>
  <c r="E181" i="7"/>
  <c r="J247" i="7"/>
  <c r="E186" i="7"/>
  <c r="E151" i="5"/>
  <c r="E153" i="5"/>
  <c r="E64" i="5"/>
  <c r="E111" i="5"/>
  <c r="E109" i="5"/>
  <c r="E93" i="5"/>
  <c r="G112" i="5" s="1"/>
  <c r="E4" i="5"/>
  <c r="E118" i="5" l="1"/>
  <c r="E115" i="5"/>
  <c r="E137" i="7"/>
  <c r="E139" i="7" s="1"/>
  <c r="E140" i="7" s="1"/>
  <c r="E221" i="7"/>
  <c r="E227" i="7" s="1"/>
  <c r="D245" i="7"/>
  <c r="E145" i="7"/>
  <c r="E245" i="7" s="1"/>
  <c r="E194" i="7"/>
  <c r="E198" i="7" s="1"/>
  <c r="E187" i="7"/>
  <c r="E188" i="7" s="1"/>
  <c r="G95" i="5"/>
  <c r="G94" i="5"/>
  <c r="E94" i="5"/>
  <c r="E95" i="5"/>
  <c r="E113" i="5"/>
  <c r="E170" i="5"/>
  <c r="E5" i="1"/>
  <c r="E6" i="1"/>
  <c r="E8" i="1"/>
  <c r="E9" i="1"/>
  <c r="E4" i="1"/>
  <c r="E219" i="7" l="1"/>
  <c r="E180" i="7"/>
  <c r="E183" i="7"/>
  <c r="E196" i="7" s="1"/>
  <c r="E141" i="7"/>
  <c r="G219" i="7"/>
  <c r="E102" i="7"/>
  <c r="E200" i="7"/>
  <c r="J242" i="7"/>
  <c r="E53" i="1"/>
  <c r="E54" i="1" s="1"/>
  <c r="E220" i="7"/>
  <c r="E231" i="7" s="1"/>
  <c r="F234" i="7" s="1"/>
  <c r="G96" i="5"/>
  <c r="E98" i="5" s="1"/>
  <c r="E103" i="5" s="1"/>
  <c r="J246" i="7"/>
  <c r="E184" i="7"/>
  <c r="E238" i="7"/>
  <c r="F238" i="7"/>
  <c r="E125" i="5"/>
  <c r="E130" i="5" s="1"/>
  <c r="J202" i="5"/>
  <c r="K202" i="5" s="1"/>
  <c r="H118" i="5"/>
  <c r="H119" i="5" s="1"/>
  <c r="J203" i="5"/>
  <c r="K203" i="5" s="1"/>
  <c r="H115" i="5"/>
  <c r="H116" i="5" s="1"/>
  <c r="E127" i="5"/>
  <c r="E151" i="1"/>
  <c r="F155" i="1" s="1"/>
  <c r="E155" i="1" l="1"/>
  <c r="F203" i="7"/>
  <c r="E207" i="7"/>
  <c r="E208" i="7" s="1"/>
  <c r="E249" i="7" s="1"/>
  <c r="F207" i="7"/>
  <c r="E185" i="7"/>
  <c r="D242" i="7"/>
  <c r="E103" i="7"/>
  <c r="E242" i="7" s="1"/>
  <c r="D244" i="7"/>
  <c r="E142" i="7"/>
  <c r="E244" i="7" s="1"/>
  <c r="E96" i="5"/>
  <c r="E97" i="5"/>
  <c r="E100" i="5" s="1"/>
  <c r="D252" i="7"/>
  <c r="E239" i="7"/>
  <c r="E252" i="7" s="1"/>
  <c r="E234" i="7"/>
  <c r="J206" i="5"/>
  <c r="E177" i="5"/>
  <c r="E128" i="5"/>
  <c r="E131" i="5"/>
  <c r="A8" i="4"/>
  <c r="E203" i="7" l="1"/>
  <c r="D248" i="7" s="1"/>
  <c r="D249" i="7"/>
  <c r="E178" i="5"/>
  <c r="F173" i="5"/>
  <c r="E173" i="5"/>
  <c r="E137" i="5"/>
  <c r="E140" i="5" s="1"/>
  <c r="J205" i="5"/>
  <c r="E138" i="5"/>
  <c r="E143" i="5" s="1"/>
  <c r="D251" i="7"/>
  <c r="E235" i="7"/>
  <c r="E251" i="7" s="1"/>
  <c r="E88" i="1"/>
  <c r="G103" i="1" s="1"/>
  <c r="E204" i="7" l="1"/>
  <c r="E248" i="7" s="1"/>
  <c r="D209" i="5"/>
  <c r="E174" i="5"/>
  <c r="E209" i="5" s="1"/>
  <c r="D183" i="1"/>
  <c r="E86" i="1" l="1"/>
  <c r="E90" i="1" s="1"/>
  <c r="E92" i="1" s="1"/>
  <c r="C11" i="4"/>
  <c r="E53" i="5"/>
  <c r="E81" i="5"/>
  <c r="E96" i="1" l="1"/>
  <c r="E93" i="1"/>
  <c r="E160" i="1"/>
  <c r="G160" i="1"/>
  <c r="E159" i="1"/>
  <c r="G159" i="1"/>
  <c r="G57" i="5"/>
  <c r="E57" i="5"/>
  <c r="E63" i="5"/>
  <c r="E89" i="1"/>
  <c r="E103" i="1"/>
  <c r="E50" i="1"/>
  <c r="E48" i="1"/>
  <c r="E102" i="1"/>
  <c r="E76" i="1"/>
  <c r="E67" i="5"/>
  <c r="E70" i="5" s="1"/>
  <c r="E182" i="5" s="1"/>
  <c r="E66" i="5"/>
  <c r="E69" i="5" s="1"/>
  <c r="E58" i="5"/>
  <c r="E59" i="5" s="1"/>
  <c r="E179" i="5"/>
  <c r="E161" i="1" l="1"/>
  <c r="G161" i="1"/>
  <c r="E120" i="1"/>
  <c r="E106" i="1"/>
  <c r="E52" i="1"/>
  <c r="E183" i="1"/>
  <c r="E104" i="1"/>
  <c r="E59" i="1"/>
  <c r="E62" i="1" s="1"/>
  <c r="E65" i="1" s="1"/>
  <c r="E58" i="1"/>
  <c r="E74" i="5"/>
  <c r="E77" i="5" s="1"/>
  <c r="E80" i="5" s="1"/>
  <c r="E73" i="5"/>
  <c r="E183" i="5"/>
  <c r="E184" i="5" s="1"/>
  <c r="K201" i="5"/>
  <c r="D202" i="5"/>
  <c r="E202" i="5"/>
  <c r="B13" i="4"/>
  <c r="E121" i="1"/>
  <c r="E123" i="1" s="1"/>
  <c r="C12" i="4"/>
  <c r="G120" i="1"/>
  <c r="E104" i="5"/>
  <c r="E116" i="5"/>
  <c r="E126" i="5"/>
  <c r="E156" i="1"/>
  <c r="E119" i="5"/>
  <c r="E101" i="5"/>
  <c r="E110" i="1" l="1"/>
  <c r="J186" i="1" s="1"/>
  <c r="K186" i="1" s="1"/>
  <c r="E107" i="1"/>
  <c r="J185" i="1" s="1"/>
  <c r="K185" i="1" s="1"/>
  <c r="E76" i="5"/>
  <c r="E69" i="1"/>
  <c r="E72" i="1" s="1"/>
  <c r="E75" i="1" s="1"/>
  <c r="E79" i="1" s="1"/>
  <c r="E162" i="1" s="1"/>
  <c r="E164" i="1"/>
  <c r="D205" i="5"/>
  <c r="E117" i="5"/>
  <c r="E205" i="5" s="1"/>
  <c r="D203" i="5"/>
  <c r="E102" i="5"/>
  <c r="E203" i="5" s="1"/>
  <c r="D206" i="5"/>
  <c r="E120" i="5"/>
  <c r="E206" i="5" s="1"/>
  <c r="D204" i="5"/>
  <c r="E105" i="5"/>
  <c r="E204" i="5" s="1"/>
  <c r="H106" i="1"/>
  <c r="E116" i="1"/>
  <c r="E119" i="1" s="1"/>
  <c r="E83" i="5"/>
  <c r="E61" i="1"/>
  <c r="E64" i="1" s="1"/>
  <c r="E108" i="1"/>
  <c r="E111" i="1"/>
  <c r="E122" i="1"/>
  <c r="B8" i="4" s="1"/>
  <c r="D191" i="1"/>
  <c r="E191" i="1"/>
  <c r="E79" i="5" l="1"/>
  <c r="E84" i="5" s="1"/>
  <c r="E180" i="5"/>
  <c r="E190" i="5" s="1"/>
  <c r="E117" i="1"/>
  <c r="D188" i="1"/>
  <c r="E112" i="1"/>
  <c r="E188" i="1" s="1"/>
  <c r="J189" i="1"/>
  <c r="J188" i="1"/>
  <c r="E153" i="1"/>
  <c r="D187" i="1"/>
  <c r="E109" i="1"/>
  <c r="E187" i="1" s="1"/>
  <c r="E124" i="1"/>
  <c r="E68" i="1"/>
  <c r="E71" i="1" s="1"/>
  <c r="E165" i="1"/>
  <c r="E166" i="1" s="1"/>
  <c r="E181" i="5" l="1"/>
  <c r="E188" i="5" s="1"/>
  <c r="E85" i="5"/>
  <c r="E149" i="5"/>
  <c r="F166" i="5"/>
  <c r="E186" i="5"/>
  <c r="E193" i="5" s="1"/>
  <c r="E194" i="5" s="1"/>
  <c r="E210" i="5" s="1"/>
  <c r="E172" i="1"/>
  <c r="E97" i="1"/>
  <c r="E130" i="1"/>
  <c r="E94" i="1"/>
  <c r="E127" i="1"/>
  <c r="E74" i="1"/>
  <c r="E78" i="1" s="1"/>
  <c r="E157" i="5" l="1"/>
  <c r="E155" i="5"/>
  <c r="E86" i="5"/>
  <c r="J201" i="5"/>
  <c r="E166" i="5"/>
  <c r="E167" i="5" s="1"/>
  <c r="E80" i="1"/>
  <c r="E81" i="1" s="1"/>
  <c r="E159" i="5"/>
  <c r="E160" i="5" s="1"/>
  <c r="F193" i="5"/>
  <c r="E197" i="5"/>
  <c r="D211" i="5" s="1"/>
  <c r="F197" i="5"/>
  <c r="D210" i="5"/>
  <c r="E163" i="1"/>
  <c r="E170" i="1" s="1"/>
  <c r="D185" i="1"/>
  <c r="E95" i="1"/>
  <c r="E185" i="1" s="1"/>
  <c r="D186" i="1"/>
  <c r="E98" i="1"/>
  <c r="E186" i="1" s="1"/>
  <c r="E144" i="5"/>
  <c r="E145" i="5" s="1"/>
  <c r="E141" i="5"/>
  <c r="E142" i="5" s="1"/>
  <c r="E131" i="1"/>
  <c r="E132" i="1" s="1"/>
  <c r="E128" i="1"/>
  <c r="E129" i="1" s="1"/>
  <c r="D201" i="5" l="1"/>
  <c r="E87" i="5"/>
  <c r="E201" i="5" s="1"/>
  <c r="F162" i="5"/>
  <c r="E162" i="5"/>
  <c r="E163" i="5" s="1"/>
  <c r="E207" i="5" s="1"/>
  <c r="F147" i="1"/>
  <c r="E198" i="5"/>
  <c r="E211" i="5" s="1"/>
  <c r="E136" i="1"/>
  <c r="E138" i="1" s="1"/>
  <c r="J184" i="1"/>
  <c r="E147" i="1"/>
  <c r="E148" i="1" s="1"/>
  <c r="E190" i="1" s="1"/>
  <c r="D184" i="1"/>
  <c r="E82" i="1"/>
  <c r="E184" i="1" s="1"/>
  <c r="E168" i="1"/>
  <c r="E175" i="1" s="1"/>
  <c r="E208" i="5"/>
  <c r="D208" i="5"/>
  <c r="D207" i="5" l="1"/>
  <c r="E139" i="1"/>
  <c r="E143" i="1" s="1"/>
  <c r="E144" i="1" s="1"/>
  <c r="E189" i="1" s="1"/>
  <c r="D190" i="1"/>
  <c r="E176" i="1"/>
  <c r="F175" i="1"/>
  <c r="F179" i="1"/>
  <c r="E179" i="1"/>
  <c r="F143" i="1" l="1"/>
  <c r="D192" i="1"/>
  <c r="E192" i="1"/>
  <c r="D189" i="1"/>
  <c r="E180" i="1"/>
  <c r="E193" i="1" s="1"/>
  <c r="D193" i="1"/>
</calcChain>
</file>

<file path=xl/sharedStrings.xml><?xml version="1.0" encoding="utf-8"?>
<sst xmlns="http://schemas.openxmlformats.org/spreadsheetml/2006/main" count="4066" uniqueCount="1612">
  <si>
    <t>SL. NO.</t>
  </si>
  <si>
    <t>DESCRIPTION</t>
  </si>
  <si>
    <t>UOM</t>
  </si>
  <si>
    <t>NOTATION</t>
  </si>
  <si>
    <t>Length</t>
  </si>
  <si>
    <t>L</t>
  </si>
  <si>
    <t>A</t>
  </si>
  <si>
    <t>kNm</t>
  </si>
  <si>
    <t>mm</t>
  </si>
  <si>
    <t>MEMBER FORCES</t>
  </si>
  <si>
    <t>Axial Force</t>
  </si>
  <si>
    <t>P</t>
  </si>
  <si>
    <t>kN</t>
  </si>
  <si>
    <t>V2</t>
  </si>
  <si>
    <t>V3</t>
  </si>
  <si>
    <t>Torsional moment</t>
  </si>
  <si>
    <t>T</t>
  </si>
  <si>
    <t>Bending moment abt major axis</t>
  </si>
  <si>
    <t>M3</t>
  </si>
  <si>
    <t>Bending moment abt minor axis</t>
  </si>
  <si>
    <t>M2</t>
  </si>
  <si>
    <t>REFERENCE
IS 800:2007</t>
  </si>
  <si>
    <t>Outside diameter</t>
  </si>
  <si>
    <t>Thickness</t>
  </si>
  <si>
    <t>MEMBER PROPERTIES</t>
  </si>
  <si>
    <t>Name</t>
  </si>
  <si>
    <t>Moment of Inertia
(cm4)</t>
  </si>
  <si>
    <t>Radius of Gyration
(cm)</t>
  </si>
  <si>
    <t>Program Comments</t>
  </si>
  <si>
    <t>Inside diameter</t>
  </si>
  <si>
    <t>Do</t>
  </si>
  <si>
    <t>t</t>
  </si>
  <si>
    <t>Di</t>
  </si>
  <si>
    <t>Cross-sectional area</t>
  </si>
  <si>
    <t>mm2</t>
  </si>
  <si>
    <t>mm4</t>
  </si>
  <si>
    <t>mm3</t>
  </si>
  <si>
    <t>I</t>
  </si>
  <si>
    <t>r</t>
  </si>
  <si>
    <t>GS= Geosuite</t>
  </si>
  <si>
    <t>Input value from GS</t>
  </si>
  <si>
    <t>MEMBER DESIGN</t>
  </si>
  <si>
    <t>DESIGN FACTORS AND CONSTANTS</t>
  </si>
  <si>
    <t>AXIAL COMPRESSION CAPACITY</t>
  </si>
  <si>
    <t>Yield Strength</t>
  </si>
  <si>
    <t>fy</t>
  </si>
  <si>
    <t>Ultimate Strength</t>
  </si>
  <si>
    <t>fu</t>
  </si>
  <si>
    <t>MPa</t>
  </si>
  <si>
    <t>Design compressive strength</t>
  </si>
  <si>
    <t>Pd</t>
  </si>
  <si>
    <t>Ae*fcd</t>
  </si>
  <si>
    <t>Effective sectional area</t>
  </si>
  <si>
    <t>Ae</t>
  </si>
  <si>
    <t>Design compressive stress</t>
  </si>
  <si>
    <t>fcd</t>
  </si>
  <si>
    <t>Non-dimensional effective slenderness ratio</t>
  </si>
  <si>
    <t>λ</t>
  </si>
  <si>
    <t>Effective slenderness ratio</t>
  </si>
  <si>
    <t>KL/r</t>
  </si>
  <si>
    <t>Imperfection factor</t>
  </si>
  <si>
    <t>α</t>
  </si>
  <si>
    <t>Stress reduction factor</t>
  </si>
  <si>
    <t>χ</t>
  </si>
  <si>
    <t>Partial safety factors for materials</t>
  </si>
  <si>
    <r>
      <rPr>
        <sz val="11"/>
        <color theme="1"/>
        <rFont val="Times New Roman"/>
        <family val="1"/>
      </rPr>
      <t>γ</t>
    </r>
    <r>
      <rPr>
        <sz val="11"/>
        <color theme="1"/>
        <rFont val="Calibri"/>
        <family val="2"/>
      </rPr>
      <t>mo</t>
    </r>
  </si>
  <si>
    <t>Resistance, governed by ultimate stress</t>
  </si>
  <si>
    <r>
      <rPr>
        <sz val="11"/>
        <color theme="1"/>
        <rFont val="Times New Roman"/>
        <family val="1"/>
      </rPr>
      <t>γ</t>
    </r>
    <r>
      <rPr>
        <sz val="11"/>
        <color theme="1"/>
        <rFont val="Calibri"/>
        <family val="2"/>
      </rPr>
      <t>m1</t>
    </r>
  </si>
  <si>
    <t>Resistance of connection:</t>
  </si>
  <si>
    <t>a) Bolts-friction type</t>
  </si>
  <si>
    <t>b) Bolts-bearing type</t>
  </si>
  <si>
    <t xml:space="preserve">c) Rivets </t>
  </si>
  <si>
    <t>d) Welds</t>
  </si>
  <si>
    <r>
      <rPr>
        <sz val="11"/>
        <color theme="1"/>
        <rFont val="Times New Roman"/>
        <family val="1"/>
      </rPr>
      <t>γ</t>
    </r>
    <r>
      <rPr>
        <sz val="11"/>
        <color theme="1"/>
        <rFont val="Calibri"/>
        <family val="2"/>
      </rPr>
      <t>mf</t>
    </r>
  </si>
  <si>
    <r>
      <rPr>
        <sz val="11"/>
        <color theme="1"/>
        <rFont val="Times New Roman"/>
        <family val="1"/>
      </rPr>
      <t>γ</t>
    </r>
    <r>
      <rPr>
        <sz val="11"/>
        <color theme="1"/>
        <rFont val="Calibri"/>
        <family val="2"/>
      </rPr>
      <t>mb</t>
    </r>
  </si>
  <si>
    <r>
      <rPr>
        <sz val="11"/>
        <color theme="1"/>
        <rFont val="Times New Roman"/>
        <family val="1"/>
      </rPr>
      <t>γ</t>
    </r>
    <r>
      <rPr>
        <sz val="11"/>
        <color theme="1"/>
        <rFont val="Calibri"/>
        <family val="2"/>
      </rPr>
      <t>mr</t>
    </r>
  </si>
  <si>
    <r>
      <rPr>
        <sz val="11"/>
        <color theme="1"/>
        <rFont val="Times New Roman"/>
        <family val="1"/>
      </rPr>
      <t>γ</t>
    </r>
    <r>
      <rPr>
        <sz val="11"/>
        <color theme="1"/>
        <rFont val="Calibri"/>
        <family val="2"/>
      </rPr>
      <t>mw</t>
    </r>
  </si>
  <si>
    <t>Young's modulus</t>
  </si>
  <si>
    <t>E</t>
  </si>
  <si>
    <t>AXIAL TENSION CAPACITY</t>
  </si>
  <si>
    <t>Design tensile strength</t>
  </si>
  <si>
    <t>Tdg</t>
  </si>
  <si>
    <t>BENDING CAPACITY</t>
  </si>
  <si>
    <t>Table 5</t>
  </si>
  <si>
    <t>Table 2</t>
  </si>
  <si>
    <t>Buckling class</t>
  </si>
  <si>
    <t>Cl. 6.2</t>
  </si>
  <si>
    <t>Cl. 7.1.2</t>
  </si>
  <si>
    <t>Cl. 7.1.2.1</t>
  </si>
  <si>
    <t>Ratio</t>
  </si>
  <si>
    <t>D/t</t>
  </si>
  <si>
    <t>ε</t>
  </si>
  <si>
    <t>Ze</t>
  </si>
  <si>
    <t>Moment of inertia</t>
  </si>
  <si>
    <t>Radius of gyration</t>
  </si>
  <si>
    <t>Zp</t>
  </si>
  <si>
    <t>βb</t>
  </si>
  <si>
    <t>Design bending strength</t>
  </si>
  <si>
    <t>Md</t>
  </si>
  <si>
    <t>Resistance, governed by yielding/member buckling</t>
  </si>
  <si>
    <t>SHEAR CAPACITY</t>
  </si>
  <si>
    <t>Design shear capacity</t>
  </si>
  <si>
    <t>Vd</t>
  </si>
  <si>
    <t>Shear area</t>
  </si>
  <si>
    <t>Av</t>
  </si>
  <si>
    <t>COMBINED FORCES INTERACTION</t>
  </si>
  <si>
    <t>COMBINED SHEAR AND BENDING</t>
  </si>
  <si>
    <t>Mdv</t>
  </si>
  <si>
    <t>Cl. 9.2.2</t>
  </si>
  <si>
    <t>β</t>
  </si>
  <si>
    <t>Design bending strength abt major axis</t>
  </si>
  <si>
    <t>Design bending strength abt minor axis</t>
  </si>
  <si>
    <t>V/Vd</t>
  </si>
  <si>
    <t>Reduced plastic section modulus</t>
  </si>
  <si>
    <t>Zp1</t>
  </si>
  <si>
    <t>A=pi/4*(D1^2-(D1-2*T)^2)</t>
  </si>
  <si>
    <t>4A/pi=D1^2-(D1^2+4T^2-4*D1*T)</t>
  </si>
  <si>
    <t>4A/pi=D1^2-D1^2-4T^2+4*D1*T</t>
  </si>
  <si>
    <t>4A/pi=-4T^2+4*D1*T</t>
  </si>
  <si>
    <t>T^2-D1*T+A/pi=0</t>
  </si>
  <si>
    <t>a</t>
  </si>
  <si>
    <t>b</t>
  </si>
  <si>
    <t>c</t>
  </si>
  <si>
    <t>A/pi</t>
  </si>
  <si>
    <t>x</t>
  </si>
  <si>
    <t>D1-</t>
  </si>
  <si>
    <t>4A/pi=D1^2-(D1-2*T)^2</t>
  </si>
  <si>
    <t>4T^2-4*D1*T+4A/pi=0</t>
  </si>
  <si>
    <t>Member No.</t>
  </si>
  <si>
    <t>Tens(+); Comp(-)</t>
  </si>
  <si>
    <t>Reduced c/s area</t>
  </si>
  <si>
    <t>A1</t>
  </si>
  <si>
    <t>T1</t>
  </si>
  <si>
    <t>Plastic design bending strength excluding shear area</t>
  </si>
  <si>
    <t>Mfd</t>
  </si>
  <si>
    <t>Reduced elastic section modulus</t>
  </si>
  <si>
    <t>Ze1</t>
  </si>
  <si>
    <t>Moment capacity under high shear force</t>
  </si>
  <si>
    <t>COMBINED AXIAL AND BENDING</t>
  </si>
  <si>
    <t>IR1</t>
  </si>
  <si>
    <t>IR2</t>
  </si>
  <si>
    <t>Mndz</t>
  </si>
  <si>
    <t>Mnd</t>
  </si>
  <si>
    <t>n</t>
  </si>
  <si>
    <t>N/Nd</t>
  </si>
  <si>
    <t>Design reduced flexural strength under combined axial force and respective uniaxial moment</t>
  </si>
  <si>
    <t>Mndy</t>
  </si>
  <si>
    <r>
      <rPr>
        <sz val="11"/>
        <color theme="1"/>
        <rFont val="Times New Roman"/>
        <family val="1"/>
      </rPr>
      <t>α</t>
    </r>
    <r>
      <rPr>
        <sz val="11"/>
        <color theme="1"/>
        <rFont val="Calibri"/>
        <family val="2"/>
      </rPr>
      <t>1</t>
    </r>
  </si>
  <si>
    <t>α2</t>
  </si>
  <si>
    <t>Table 17</t>
  </si>
  <si>
    <t>COMBINED AXIAL TENSION AND BENDING</t>
  </si>
  <si>
    <t>Reduced effective moment under tension and bending</t>
  </si>
  <si>
    <t>Meff</t>
  </si>
  <si>
    <t>ψ</t>
  </si>
  <si>
    <t>COMBINED AXIAL COMPRESSION AND BENDING</t>
  </si>
  <si>
    <t>skip checking if P&lt;0</t>
  </si>
  <si>
    <t>IR3</t>
  </si>
  <si>
    <t>IR4</t>
  </si>
  <si>
    <t>Cmy</t>
  </si>
  <si>
    <t>Cmz</t>
  </si>
  <si>
    <t>Table 18</t>
  </si>
  <si>
    <t>ny</t>
  </si>
  <si>
    <t>nz</t>
  </si>
  <si>
    <t>Equivalent uniform moment factor</t>
  </si>
  <si>
    <t>Equivalent uniform moment factor for LTB</t>
  </si>
  <si>
    <t>CmLT</t>
  </si>
  <si>
    <t>λy</t>
  </si>
  <si>
    <t>λz</t>
  </si>
  <si>
    <t>Ky</t>
  </si>
  <si>
    <t>Kz</t>
  </si>
  <si>
    <t>KLT</t>
  </si>
  <si>
    <t>λLT</t>
  </si>
  <si>
    <t>D/C</t>
  </si>
  <si>
    <t>Euler's buckling stress</t>
  </si>
  <si>
    <t>fcc</t>
  </si>
  <si>
    <t>Design tensile strength governed by yielding gross section</t>
  </si>
  <si>
    <t>Design tensile strength governed by rupture of net cross section area</t>
  </si>
  <si>
    <t>Tdn</t>
  </si>
  <si>
    <t>Td</t>
  </si>
  <si>
    <t>min ( Tdg , Tdn)</t>
  </si>
  <si>
    <t>Table 7 
(Buckling class b)</t>
  </si>
  <si>
    <t>Cl. 6.3.1</t>
  </si>
  <si>
    <t>Cl. 6.1</t>
  </si>
  <si>
    <t>Cl. 8.2.1.2</t>
  </si>
  <si>
    <t>Cl. 8.4.1.1</t>
  </si>
  <si>
    <t>Cl. 8.4</t>
  </si>
  <si>
    <t>Cl. 9.2</t>
  </si>
  <si>
    <t>Cl. 9.3</t>
  </si>
  <si>
    <t>Cl. 9.3.1.2 (e)</t>
  </si>
  <si>
    <t>Cl. 9.3.1.1</t>
  </si>
  <si>
    <t>Cl. 9.3.2.1</t>
  </si>
  <si>
    <t>Cl. 9.3.2.2</t>
  </si>
  <si>
    <t>SUMMARY</t>
  </si>
  <si>
    <t>Axial Tension</t>
  </si>
  <si>
    <t>Bending major</t>
  </si>
  <si>
    <t>Bending minor</t>
  </si>
  <si>
    <t>Shear major</t>
  </si>
  <si>
    <t>Shear minor</t>
  </si>
  <si>
    <t>Combined Bending</t>
  </si>
  <si>
    <t>Interaction ratio</t>
  </si>
  <si>
    <t>Axial Compression</t>
  </si>
  <si>
    <t>Combined Axial &amp; Bending</t>
  </si>
  <si>
    <t>Combined Axial Tension &amp; Bending</t>
  </si>
  <si>
    <t>IR5</t>
  </si>
  <si>
    <t>M3/Mdz</t>
  </si>
  <si>
    <t>M2/Mdy</t>
  </si>
  <si>
    <t>V2/Vdz</t>
  </si>
  <si>
    <t>V3/Vdy</t>
  </si>
  <si>
    <t>P(-)/Pd</t>
  </si>
  <si>
    <t>P(+)/Td</t>
  </si>
  <si>
    <t>FORMULA / VALUE</t>
  </si>
  <si>
    <t>Cl. 9.3.1.1
&amp; Cl. 9.3.1.3</t>
  </si>
  <si>
    <t>Combined Axial C/T &amp; Bending-1</t>
  </si>
  <si>
    <t>Combined Axial C/T &amp; Bending-2</t>
  </si>
  <si>
    <t>Mdvz</t>
  </si>
  <si>
    <t>Mdvy</t>
  </si>
  <si>
    <t>STATUS</t>
  </si>
  <si>
    <t>Section Name</t>
  </si>
  <si>
    <t>Reduced design bending strength</t>
  </si>
  <si>
    <t>Reduced design bending strength abt major axis</t>
  </si>
  <si>
    <t>Reduced design bending strength abt minor axis</t>
  </si>
  <si>
    <t>W</t>
  </si>
  <si>
    <t>J</t>
  </si>
  <si>
    <t>D</t>
  </si>
  <si>
    <t>Thk
(mm)</t>
  </si>
  <si>
    <t>Depth</t>
  </si>
  <si>
    <t>Width</t>
  </si>
  <si>
    <t>Flange thickness</t>
  </si>
  <si>
    <t>Web thickness</t>
  </si>
  <si>
    <t>Bf</t>
  </si>
  <si>
    <t>Tf</t>
  </si>
  <si>
    <t>Tw</t>
  </si>
  <si>
    <t>Effective length factor abt Z-Z axis</t>
  </si>
  <si>
    <t>Effective length factor abt Y-Y axis</t>
  </si>
  <si>
    <t>Effective length abt Z-Z axis</t>
  </si>
  <si>
    <t>Effective length abt Y-Y axis</t>
  </si>
  <si>
    <t>-</t>
  </si>
  <si>
    <t>kg/m</t>
  </si>
  <si>
    <t>Moment of inertia abt Z-Z axis</t>
  </si>
  <si>
    <t>Moment of inertia abt Y-Y axis</t>
  </si>
  <si>
    <t>Radius of gyration abt Z-Z axis</t>
  </si>
  <si>
    <t>Radius of gyration abt Y-Y axis</t>
  </si>
  <si>
    <t>Plastic section modulus</t>
  </si>
  <si>
    <t>Elastic section modulus</t>
  </si>
  <si>
    <t>Elastic section modulus abt Z-Z axis</t>
  </si>
  <si>
    <t>Elastic section modulus abt Y-Y axis</t>
  </si>
  <si>
    <t>Plastic section modulus abt Z-Z axis</t>
  </si>
  <si>
    <t>Zpz</t>
  </si>
  <si>
    <t>Iz</t>
  </si>
  <si>
    <t>Iy</t>
  </si>
  <si>
    <t>rz</t>
  </si>
  <si>
    <t>ry</t>
  </si>
  <si>
    <t>Zez</t>
  </si>
  <si>
    <t>Zey</t>
  </si>
  <si>
    <t>Zpy</t>
  </si>
  <si>
    <t>Plastic section modulus abt Y-Y axis</t>
  </si>
  <si>
    <t>Unit Weight</t>
  </si>
  <si>
    <t>max(K*Lz/rz, K*Ly/ry)</t>
  </si>
  <si>
    <t>KLz/rz</t>
  </si>
  <si>
    <t>KLy/ry</t>
  </si>
  <si>
    <t>KLz</t>
  </si>
  <si>
    <t>KLy</t>
  </si>
  <si>
    <t>fcc,z</t>
  </si>
  <si>
    <t>fcc,y</t>
  </si>
  <si>
    <t>χy</t>
  </si>
  <si>
    <t>χz</t>
  </si>
  <si>
    <t>fcd,z</t>
  </si>
  <si>
    <t>fcd,y</t>
  </si>
  <si>
    <t>Pdy</t>
  </si>
  <si>
    <t>Pdz</t>
  </si>
  <si>
    <t>Ratio net area/gross area</t>
  </si>
  <si>
    <t>An/Ag</t>
  </si>
  <si>
    <t>D/Tw</t>
  </si>
  <si>
    <t>Buckling class - Flange</t>
  </si>
  <si>
    <t>Buckling class - Web</t>
  </si>
  <si>
    <t>BCf</t>
  </si>
  <si>
    <t>BCw</t>
  </si>
  <si>
    <t>BC</t>
  </si>
  <si>
    <t>βb,z</t>
  </si>
  <si>
    <t>βb,y</t>
  </si>
  <si>
    <t>Mdz</t>
  </si>
  <si>
    <t>Mdy</t>
  </si>
  <si>
    <t>Av,z</t>
  </si>
  <si>
    <t>Av,y</t>
  </si>
  <si>
    <t>A*D/(B+D)</t>
  </si>
  <si>
    <t>A*B/(B+D)</t>
  </si>
  <si>
    <t>Vdy</t>
  </si>
  <si>
    <t>Vdz</t>
  </si>
  <si>
    <t>Cl. 8.4.2</t>
  </si>
  <si>
    <t>Resistance to shear buckling</t>
  </si>
  <si>
    <t>Zez1</t>
  </si>
  <si>
    <t>Zey1</t>
  </si>
  <si>
    <t>Zpz1</t>
  </si>
  <si>
    <t>Zpy1</t>
  </si>
  <si>
    <t>Reduced elastic section modulus 
abt Z-Z axis</t>
  </si>
  <si>
    <t>Reduced elastic section modulus 
abt Y-Y axis</t>
  </si>
  <si>
    <t>Reduced plastic section modulus 
abt Z-Z axis</t>
  </si>
  <si>
    <t>Reduced plastic section modulus 
abt Y-Y axis</t>
  </si>
  <si>
    <t>V2/Vdy</t>
  </si>
  <si>
    <t>V3/Vdz</t>
  </si>
  <si>
    <t>βy</t>
  </si>
  <si>
    <t>βz</t>
  </si>
  <si>
    <t>Mfd,z</t>
  </si>
  <si>
    <t>Mfd,y</t>
  </si>
  <si>
    <t>af</t>
  </si>
  <si>
    <t>aw</t>
  </si>
  <si>
    <t>Cl. 9.3.1.2 (d)</t>
  </si>
  <si>
    <t>CAP</t>
  </si>
  <si>
    <t>ACT</t>
  </si>
  <si>
    <t>FORCE</t>
  </si>
  <si>
    <t>Top Flange width</t>
  </si>
  <si>
    <t>Top Flange thickness</t>
  </si>
  <si>
    <t>Bottom Flange width</t>
  </si>
  <si>
    <t>Bottom Flange thickness</t>
  </si>
  <si>
    <t>Btf</t>
  </si>
  <si>
    <t>Ttf</t>
  </si>
  <si>
    <t>Bbf</t>
  </si>
  <si>
    <t>Tbf</t>
  </si>
  <si>
    <t>Web height</t>
  </si>
  <si>
    <t>Torsional constant</t>
  </si>
  <si>
    <t>Warping constant</t>
  </si>
  <si>
    <t>Hw</t>
  </si>
  <si>
    <t>C.G in Y-Y axis</t>
  </si>
  <si>
    <t>C.G in Z-Z axis</t>
  </si>
  <si>
    <t>Cgy</t>
  </si>
  <si>
    <t>CGz</t>
  </si>
  <si>
    <t>mm6</t>
  </si>
  <si>
    <t>Cw</t>
  </si>
  <si>
    <t>αz</t>
  </si>
  <si>
    <t>αy</t>
  </si>
  <si>
    <t>Poission's ratio</t>
  </si>
  <si>
    <t>U</t>
  </si>
  <si>
    <t>Shear modulus</t>
  </si>
  <si>
    <t>G</t>
  </si>
  <si>
    <t>lambda</t>
  </si>
  <si>
    <t>phi</t>
  </si>
  <si>
    <t>b/Tf</t>
  </si>
  <si>
    <t>d/Tw</t>
  </si>
  <si>
    <t>Design bending strength governed by yielding</t>
  </si>
  <si>
    <t>Design bending strength governed by yielding abt major axis</t>
  </si>
  <si>
    <t>Design bending strength governed by yielding abt minor axis</t>
  </si>
  <si>
    <t>Imperfection parameter</t>
  </si>
  <si>
    <t>αLT</t>
  </si>
  <si>
    <t>Elastic lateral buckling moment</t>
  </si>
  <si>
    <t>Mcr</t>
  </si>
  <si>
    <r>
      <t>L</t>
    </r>
    <r>
      <rPr>
        <vertAlign val="subscript"/>
        <sz val="11"/>
        <color theme="1"/>
        <rFont val="Calibri"/>
        <family val="2"/>
        <scheme val="minor"/>
      </rPr>
      <t>LT</t>
    </r>
  </si>
  <si>
    <r>
      <t>λ</t>
    </r>
    <r>
      <rPr>
        <vertAlign val="subscript"/>
        <sz val="11"/>
        <color theme="1"/>
        <rFont val="Times New Roman"/>
        <family val="1"/>
      </rPr>
      <t>LT</t>
    </r>
  </si>
  <si>
    <t>Cl. 8.2.2.1</t>
  </si>
  <si>
    <t>Cl. 8.2.2</t>
  </si>
  <si>
    <r>
      <t>Φ</t>
    </r>
    <r>
      <rPr>
        <vertAlign val="subscript"/>
        <sz val="11"/>
        <color theme="1"/>
        <rFont val="Calibri"/>
        <family val="2"/>
        <scheme val="minor"/>
      </rPr>
      <t>LT</t>
    </r>
  </si>
  <si>
    <t>Bending stress reduction factor accounting LTB</t>
  </si>
  <si>
    <r>
      <t>χ</t>
    </r>
    <r>
      <rPr>
        <vertAlign val="subscript"/>
        <sz val="11"/>
        <color theme="1"/>
        <rFont val="Times New Roman"/>
        <family val="1"/>
      </rPr>
      <t>LT</t>
    </r>
  </si>
  <si>
    <t>Design bending compressive stress</t>
  </si>
  <si>
    <t>Design bending strength governed by LTB</t>
  </si>
  <si>
    <t>Hw*Tw</t>
  </si>
  <si>
    <t>xeta</t>
  </si>
  <si>
    <t>fbd</t>
  </si>
  <si>
    <t>C/C distance between flanges</t>
  </si>
  <si>
    <t>hf</t>
  </si>
  <si>
    <t>D-Ttf/2-Tbf/2</t>
  </si>
  <si>
    <t>Btf*Ttf+Bbf*Tbf</t>
  </si>
  <si>
    <t>Reduced Cross-sectional area</t>
  </si>
  <si>
    <t>Reduced C.G in Y-Y axis</t>
  </si>
  <si>
    <t>Reduced C.G in Z-Z axis</t>
  </si>
  <si>
    <t>Cgy1</t>
  </si>
  <si>
    <t>CGz1</t>
  </si>
  <si>
    <t>Plastic design bending strength excluding shear area governed by yielding</t>
  </si>
  <si>
    <r>
      <t xml:space="preserve">(A-(Btf*Ttf+Bbf*Tbf))/A </t>
    </r>
    <r>
      <rPr>
        <sz val="11"/>
        <color theme="1"/>
        <rFont val="Calibri"/>
        <family val="2"/>
      </rPr>
      <t>≤ 0.5</t>
    </r>
  </si>
  <si>
    <t>(A-2*D*Tw)/A ≤ 0.5</t>
  </si>
  <si>
    <t>(A-2*B*Tf)/A ≤ 0.5</t>
  </si>
  <si>
    <t>Cl. 9.3.1.2 (b)</t>
  </si>
  <si>
    <t>aisc</t>
  </si>
  <si>
    <t>comp</t>
  </si>
  <si>
    <t>etabs</t>
  </si>
  <si>
    <t>My</t>
  </si>
  <si>
    <t>Design shear strength along major axis</t>
  </si>
  <si>
    <t>Design shear strength along minor axis</t>
  </si>
  <si>
    <t>Vy</t>
  </si>
  <si>
    <t>Vz</t>
  </si>
  <si>
    <t>Mz</t>
  </si>
  <si>
    <t>NB65M</t>
  </si>
  <si>
    <t>NB100M</t>
  </si>
  <si>
    <t>Standard Sections</t>
  </si>
  <si>
    <t>Remarks</t>
  </si>
  <si>
    <t>ISMB200</t>
  </si>
  <si>
    <t>Standard Indian I Section</t>
  </si>
  <si>
    <t>UB305x165x54</t>
  </si>
  <si>
    <t>British UB Section</t>
  </si>
  <si>
    <t>UC305x305x240</t>
  </si>
  <si>
    <t>British UC Section</t>
  </si>
  <si>
    <t>Standard Pipe Section</t>
  </si>
  <si>
    <t>ISA100x100x8</t>
  </si>
  <si>
    <t>Standard Indian Angle Section</t>
  </si>
  <si>
    <t>Builtup Sections</t>
  </si>
  <si>
    <t>BU200X300X16X8</t>
  </si>
  <si>
    <t>Builtup I Section- (B)x(D)x(Tf)x(Tw)</t>
  </si>
  <si>
    <t>BU300X600X20X16X10</t>
  </si>
  <si>
    <t>Builtup I Section- (B)x(D)x(Tf)x(Tw)x(Tf1)</t>
  </si>
  <si>
    <t>CHS300X10</t>
  </si>
  <si>
    <t>Builtup Pipe- (D)x(t)</t>
  </si>
  <si>
    <t>RHS200X300X10</t>
  </si>
  <si>
    <t>Builtup Hollow Section- (B)x(D)x(t)</t>
  </si>
  <si>
    <t>ANG300X300X10</t>
  </si>
  <si>
    <t>Builtup Angle Section-(B)x(D)x(t)</t>
  </si>
  <si>
    <t>RECT300X500</t>
  </si>
  <si>
    <t>Rectangular Section - (B)x(D)</t>
  </si>
  <si>
    <t>CIR200</t>
  </si>
  <si>
    <t>Circular Section- (D)</t>
  </si>
  <si>
    <t>SPHERE150</t>
  </si>
  <si>
    <t>Solid Node- (D)</t>
  </si>
  <si>
    <t>SCHKUL200X8</t>
  </si>
  <si>
    <t>Schkul Node - (D)x(t)</t>
  </si>
  <si>
    <t>TPIPE200X100X8</t>
  </si>
  <si>
    <t>Tapered Pipe- (D)x(D1)x(t)</t>
  </si>
  <si>
    <t>Unit Wt.</t>
  </si>
  <si>
    <t>φ</t>
  </si>
  <si>
    <t>NB
(mm)</t>
  </si>
  <si>
    <t>OD
(mm)</t>
  </si>
  <si>
    <t>Mass
(kg/m)</t>
  </si>
  <si>
    <t>Internal Volume
(cm3/m)</t>
  </si>
  <si>
    <t>Surface External
(cm3/m)</t>
  </si>
  <si>
    <t>Surface Internal
(cm3/m)</t>
  </si>
  <si>
    <t>Modulus of Section
(cm3)</t>
  </si>
  <si>
    <t>Area of C/S
(cm2)</t>
  </si>
  <si>
    <t>Square Gadius of Gyration
(cm)</t>
  </si>
  <si>
    <t>TATA</t>
  </si>
  <si>
    <t>MAKE STD</t>
  </si>
  <si>
    <t/>
  </si>
  <si>
    <t>φz</t>
  </si>
  <si>
    <t>φy</t>
  </si>
  <si>
    <t>Reduced wall thickness</t>
  </si>
  <si>
    <t>Depth/ OD
D
(mm)</t>
  </si>
  <si>
    <t>Width
B
(mm)</t>
  </si>
  <si>
    <t>Thk
T
(mm)</t>
  </si>
  <si>
    <t>Area of C/S
A
(cm2)</t>
  </si>
  <si>
    <t>Mass
M
(kg/m)</t>
  </si>
  <si>
    <t>Moment of Inertia 
Ix
(cm4)</t>
  </si>
  <si>
    <t>Moment of Inertia 
Iy
(cm4)</t>
  </si>
  <si>
    <t>Radius of Gyration 
Rx
(cm)</t>
  </si>
  <si>
    <t>Radius of Gyration 
Ry
(cm)</t>
  </si>
  <si>
    <t>Elastic Section Modulus
Zex
(cm3)</t>
  </si>
  <si>
    <t>Elastic Section Modulus
Zey
(cm3)</t>
  </si>
  <si>
    <t>Plastic Section Modulus
Zpx
(cm3)</t>
  </si>
  <si>
    <t>Plastic Section Modulus
Zpy
(cm3)</t>
  </si>
  <si>
    <t>Torsional Constant
J
(cm4)</t>
  </si>
  <si>
    <t>Torsional Modulus
Zt
(cm3)</t>
  </si>
  <si>
    <t>Perimeter
P
(cm)</t>
  </si>
  <si>
    <t>RHS200x100x5</t>
  </si>
  <si>
    <t>Type of section</t>
  </si>
  <si>
    <t>Section Type</t>
  </si>
  <si>
    <t>Rolled</t>
  </si>
  <si>
    <t>Built-up</t>
  </si>
  <si>
    <t>Section Name (if Rolled Section)</t>
  </si>
  <si>
    <t>DESIGNATION</t>
  </si>
  <si>
    <t>Mass per meter
W
(kg/m)</t>
  </si>
  <si>
    <t>Depth 
D
(mm)</t>
  </si>
  <si>
    <t>Web Thk
Tw
(mm)</t>
  </si>
  <si>
    <t>Flange Thk
Tf
(mm)</t>
  </si>
  <si>
    <t>Root Radius
r
(mm)</t>
  </si>
  <si>
    <t>Depth between fillets
d
(mm)</t>
  </si>
  <si>
    <r>
      <t>Moment of Inertia Iyy
(cm</t>
    </r>
    <r>
      <rPr>
        <b/>
        <vertAlign val="superscript"/>
        <sz val="8"/>
        <rFont val="Arial"/>
        <family val="2"/>
      </rPr>
      <t>4</t>
    </r>
    <r>
      <rPr>
        <b/>
        <sz val="8"/>
        <rFont val="Arial"/>
        <family val="2"/>
      </rPr>
      <t>)</t>
    </r>
  </si>
  <si>
    <t>Buckling Parameter u</t>
  </si>
  <si>
    <t>Torsional Index x</t>
  </si>
  <si>
    <r>
      <t>Warping Constant
H
(dm</t>
    </r>
    <r>
      <rPr>
        <b/>
        <vertAlign val="superscript"/>
        <sz val="8"/>
        <rFont val="Arial"/>
        <family val="2"/>
      </rPr>
      <t>6</t>
    </r>
    <r>
      <rPr>
        <b/>
        <sz val="8"/>
        <rFont val="Arial"/>
        <family val="2"/>
      </rPr>
      <t>)</t>
    </r>
  </si>
  <si>
    <r>
      <t>Torsional Constant 
J
(cm</t>
    </r>
    <r>
      <rPr>
        <b/>
        <vertAlign val="superscript"/>
        <sz val="8"/>
        <rFont val="Arial"/>
        <family val="2"/>
      </rPr>
      <t>4</t>
    </r>
    <r>
      <rPr>
        <b/>
        <sz val="8"/>
        <rFont val="Arial"/>
        <family val="2"/>
      </rPr>
      <t>)</t>
    </r>
  </si>
  <si>
    <r>
      <t>Area of Section 
A
(cm</t>
    </r>
    <r>
      <rPr>
        <b/>
        <vertAlign val="superscript"/>
        <sz val="8"/>
        <rFont val="Arial"/>
        <family val="2"/>
      </rPr>
      <t>2</t>
    </r>
    <r>
      <rPr>
        <b/>
        <sz val="8"/>
        <rFont val="Arial"/>
        <family val="2"/>
      </rPr>
      <t>)</t>
    </r>
  </si>
  <si>
    <t>UB127x76x13</t>
  </si>
  <si>
    <t>UB152x89x16</t>
  </si>
  <si>
    <t>UB178x102x19</t>
  </si>
  <si>
    <t>UB254x102x22</t>
  </si>
  <si>
    <t>UB203x102x23</t>
  </si>
  <si>
    <t>UB305x102x25</t>
  </si>
  <si>
    <t>UB203x133x25</t>
  </si>
  <si>
    <t>UB254x102x25</t>
  </si>
  <si>
    <t>UB305x102x28</t>
  </si>
  <si>
    <t>UB254x102x28</t>
  </si>
  <si>
    <t>UB203x133x30</t>
  </si>
  <si>
    <t>UB254x146x31</t>
  </si>
  <si>
    <t>UB305x102x33</t>
  </si>
  <si>
    <t>UB356x127x33</t>
  </si>
  <si>
    <t>UB254x146x37</t>
  </si>
  <si>
    <t>UB305x127x37</t>
  </si>
  <si>
    <t>UB356x127x39</t>
  </si>
  <si>
    <t>UB406x140x39</t>
  </si>
  <si>
    <t>UB305x165x40</t>
  </si>
  <si>
    <t>UB305x127x42</t>
  </si>
  <si>
    <t>UB254x146x43</t>
  </si>
  <si>
    <t>UB356x171x45</t>
  </si>
  <si>
    <t>UB406x140x46</t>
  </si>
  <si>
    <t>UB305x165x46</t>
  </si>
  <si>
    <t>UB305x127x48</t>
  </si>
  <si>
    <t>UB356x171x51</t>
  </si>
  <si>
    <t>UB457x152x52</t>
  </si>
  <si>
    <t>UB406x140x53</t>
  </si>
  <si>
    <t>UB406x178x54</t>
  </si>
  <si>
    <t>UB356x171x57</t>
  </si>
  <si>
    <t>UB457x152x60</t>
  </si>
  <si>
    <t>UB406x178x60</t>
  </si>
  <si>
    <t>UB533x165x66</t>
  </si>
  <si>
    <t>UB356x171x67</t>
  </si>
  <si>
    <t>UB406x178x67</t>
  </si>
  <si>
    <t>UB457x191x67</t>
  </si>
  <si>
    <t>UB457x152x67</t>
  </si>
  <si>
    <t>UB406x178x74</t>
  </si>
  <si>
    <t>UB457x152x74</t>
  </si>
  <si>
    <t>UB457x191x74</t>
  </si>
  <si>
    <t>UB533x165x74</t>
  </si>
  <si>
    <t>UB610x178x82</t>
  </si>
  <si>
    <t>UB457x191x82</t>
  </si>
  <si>
    <t>UB457x152x82</t>
  </si>
  <si>
    <t>UB533x210x82</t>
  </si>
  <si>
    <t>UB533x165x85</t>
  </si>
  <si>
    <t>UB406x178x85</t>
  </si>
  <si>
    <t>UB457x191x89</t>
  </si>
  <si>
    <t>UB533x210x92</t>
  </si>
  <si>
    <t>UB610x178x92</t>
  </si>
  <si>
    <t>UB457x191x98</t>
  </si>
  <si>
    <t>UB610x178x100</t>
  </si>
  <si>
    <t>UB533x210x101</t>
  </si>
  <si>
    <t>UB610x229x101</t>
  </si>
  <si>
    <t>UB457x191x106</t>
  </si>
  <si>
    <t>UB533x210x109</t>
  </si>
  <si>
    <t>UB610x229x113</t>
  </si>
  <si>
    <t>UB533x210x122</t>
  </si>
  <si>
    <t>UB610x229x125</t>
  </si>
  <si>
    <t>UB686x254x125</t>
  </si>
  <si>
    <t>UB457x191x133</t>
  </si>
  <si>
    <t>UB762x267x134</t>
  </si>
  <si>
    <t>UB533x210x138</t>
  </si>
  <si>
    <t>UB610x229x140</t>
  </si>
  <si>
    <t>UB686x254x140</t>
  </si>
  <si>
    <t>UB762x267x147</t>
  </si>
  <si>
    <t>UB610x305x149</t>
  </si>
  <si>
    <t>UB533x312x150</t>
  </si>
  <si>
    <t>UB686x254x152</t>
  </si>
  <si>
    <t>UB457x191x161</t>
  </si>
  <si>
    <t>UB686x254x170</t>
  </si>
  <si>
    <t>UB762x267x173</t>
  </si>
  <si>
    <t>UB838x292x176</t>
  </si>
  <si>
    <t>UB610x305x179</t>
  </si>
  <si>
    <t>UB533x312x182</t>
  </si>
  <si>
    <t>UB838x292x194</t>
  </si>
  <si>
    <t>UB762x267x197</t>
  </si>
  <si>
    <t>UB914x305x201</t>
  </si>
  <si>
    <t>UB533x312x219</t>
  </si>
  <si>
    <t>UB1016x305x222</t>
  </si>
  <si>
    <t>UB914x305x224</t>
  </si>
  <si>
    <t>UB838x292x226</t>
  </si>
  <si>
    <t>UB914x305x238</t>
  </si>
  <si>
    <t>UB610x305x238</t>
  </si>
  <si>
    <t>UB1016x305x249</t>
  </si>
  <si>
    <t>UB914x305x253</t>
  </si>
  <si>
    <t>UB914x305x271</t>
  </si>
  <si>
    <t>UB1016x305x272</t>
  </si>
  <si>
    <t>UB533x312x272</t>
  </si>
  <si>
    <t>UB914x305x289</t>
  </si>
  <si>
    <t>UB914x305x313</t>
  </si>
  <si>
    <t>UB1016x305x314</t>
  </si>
  <si>
    <t>UB914x419x343</t>
  </si>
  <si>
    <t>UB914x305x345</t>
  </si>
  <si>
    <t>UB1016x305x349</t>
  </si>
  <si>
    <t>UB914x305x381</t>
  </si>
  <si>
    <t>UB914x419x388</t>
  </si>
  <si>
    <t>UB1016x305x393</t>
  </si>
  <si>
    <t>UB1016x305x415</t>
  </si>
  <si>
    <t>UB914x305x425</t>
  </si>
  <si>
    <t>UB1016x305x437</t>
  </si>
  <si>
    <t>UB914x305x474</t>
  </si>
  <si>
    <t>UB1016x305x487</t>
  </si>
  <si>
    <t>UB1016x305x494</t>
  </si>
  <si>
    <t>UB914x305x521</t>
  </si>
  <si>
    <t>UB914x305x576</t>
  </si>
  <si>
    <t>UB1016x305x584</t>
  </si>
  <si>
    <t>UB1016x305x642</t>
  </si>
  <si>
    <t>UB1016x305x748</t>
  </si>
  <si>
    <t>UB1016x305x883</t>
  </si>
  <si>
    <t>UB1016x305x976</t>
  </si>
  <si>
    <t>UC152x152x23</t>
  </si>
  <si>
    <t>UC152x152x30</t>
  </si>
  <si>
    <t>UC152x152x37</t>
  </si>
  <si>
    <t>UC152x152x44</t>
  </si>
  <si>
    <t>UC203x203x46</t>
  </si>
  <si>
    <t>UC152x152x51</t>
  </si>
  <si>
    <t>UC203x203x52</t>
  </si>
  <si>
    <t>UC203x203x60</t>
  </si>
  <si>
    <t>UC203x203x71</t>
  </si>
  <si>
    <t>UC254x254x73</t>
  </si>
  <si>
    <t>UC203x203x86</t>
  </si>
  <si>
    <t>UC254x254x89</t>
  </si>
  <si>
    <t>UC305x305x97</t>
  </si>
  <si>
    <t>UC203x203x100</t>
  </si>
  <si>
    <t>UC254x254x107</t>
  </si>
  <si>
    <t>UC203x203x113</t>
  </si>
  <si>
    <t>UC305x305x118</t>
  </si>
  <si>
    <t>UC203x203x127</t>
  </si>
  <si>
    <t>UC356x368x129</t>
  </si>
  <si>
    <t>UC254x254x132</t>
  </si>
  <si>
    <t>UC305x305x137</t>
  </si>
  <si>
    <t>UC356x368x153</t>
  </si>
  <si>
    <t>UC305x305x158</t>
  </si>
  <si>
    <t>UC254x254x167</t>
  </si>
  <si>
    <t>UC356x368x177</t>
  </si>
  <si>
    <t>UC305x305x198</t>
  </si>
  <si>
    <t>UC356x368x202</t>
  </si>
  <si>
    <t>UC356x406x235</t>
  </si>
  <si>
    <t>UC305x305x283</t>
  </si>
  <si>
    <t>UC356x406x287</t>
  </si>
  <si>
    <t>UC356x406x340</t>
  </si>
  <si>
    <t>UC356x406x393</t>
  </si>
  <si>
    <t>UC356x406x467</t>
  </si>
  <si>
    <t>UC356x406x509</t>
  </si>
  <si>
    <t>UC356x406x551</t>
  </si>
  <si>
    <t>UC356x406x592</t>
  </si>
  <si>
    <t>UC356x406x634</t>
  </si>
  <si>
    <t>UC356x406x677</t>
  </si>
  <si>
    <t>UC356x406x744</t>
  </si>
  <si>
    <t>UC356x406x818</t>
  </si>
  <si>
    <t>UC356x406x900</t>
  </si>
  <si>
    <t>UC356x406x990</t>
  </si>
  <si>
    <t>UC356x406x1086</t>
  </si>
  <si>
    <t>UC356x406x1202</t>
  </si>
  <si>
    <t>UC356x406x1299</t>
  </si>
  <si>
    <t>Section Name (if Built-up Section)</t>
  </si>
  <si>
    <t>Copy Cells (For Rolled)</t>
  </si>
  <si>
    <t>Root radius</t>
  </si>
  <si>
    <t>rr</t>
  </si>
  <si>
    <t>Buckling class (bending abt Z-Z axis)</t>
  </si>
  <si>
    <t>Buckling class (bending abt Y-Y axis)</t>
  </si>
  <si>
    <t>Buckling Class</t>
  </si>
  <si>
    <t>d</t>
  </si>
  <si>
    <t>Drop-down list</t>
  </si>
  <si>
    <t>Shear force major</t>
  </si>
  <si>
    <t>Shear force minor</t>
  </si>
  <si>
    <r>
      <t>//</t>
    </r>
    <r>
      <rPr>
        <vertAlign val="superscript"/>
        <sz val="11"/>
        <color theme="1"/>
        <rFont val="Calibri"/>
        <family val="2"/>
        <scheme val="minor"/>
      </rPr>
      <t>el</t>
    </r>
    <r>
      <rPr>
        <sz val="11"/>
        <color theme="1"/>
        <rFont val="Calibri"/>
        <family val="2"/>
        <scheme val="minor"/>
      </rPr>
      <t xml:space="preserve"> Y-Y Minor axis</t>
    </r>
  </si>
  <si>
    <r>
      <t>//</t>
    </r>
    <r>
      <rPr>
        <vertAlign val="superscript"/>
        <sz val="11"/>
        <color theme="1"/>
        <rFont val="Calibri"/>
        <family val="2"/>
        <scheme val="minor"/>
      </rPr>
      <t>el</t>
    </r>
    <r>
      <rPr>
        <sz val="11"/>
        <color theme="1"/>
        <rFont val="Calibri"/>
        <family val="2"/>
        <scheme val="minor"/>
      </rPr>
      <t xml:space="preserve"> Z-Z Minor axis</t>
    </r>
  </si>
  <si>
    <t>⟂ Z-Z Major axis</t>
  </si>
  <si>
    <t>⟂ Y-Y Minor axis</t>
  </si>
  <si>
    <t>SECTION PROPERTIES</t>
  </si>
  <si>
    <t>Beta (shear area/total area)</t>
  </si>
  <si>
    <t>βs</t>
  </si>
  <si>
    <t>Reduction factor abt Z-Z axis (% of axial tension capacity)</t>
  </si>
  <si>
    <t>Reduction factor abt Y-Y axis (% of axial tension capacity)</t>
  </si>
  <si>
    <t>5C.1) SECTION CAPACITY</t>
  </si>
  <si>
    <t>5C.2) MEMBER CAPACITY</t>
  </si>
  <si>
    <t>Grade</t>
  </si>
  <si>
    <t>Yield Strength
Fy
(MPa)</t>
  </si>
  <si>
    <t>Ultimate Strength
Fu
(MPa)</t>
  </si>
  <si>
    <t>Class</t>
  </si>
  <si>
    <t>Axial Tension Capacity
Td
(kN)</t>
  </si>
  <si>
    <t>Major Bending Capacity
Mdx
(kNm)</t>
  </si>
  <si>
    <t>Minor Bending Capacity
Mdy
(kNm)</t>
  </si>
  <si>
    <t>Major Shear Capacity
Vdy
(kNm)</t>
  </si>
  <si>
    <t>E350</t>
  </si>
  <si>
    <t>MATERIAL GRADES</t>
  </si>
  <si>
    <t>BRITISH STEEL GRADES</t>
  </si>
  <si>
    <t>TYPE</t>
  </si>
  <si>
    <t>GRADE</t>
  </si>
  <si>
    <t>YIELD STRESS (MPA)</t>
  </si>
  <si>
    <t>ULTIMATE STRESS (MPA)</t>
  </si>
  <si>
    <t>% ELONGATION</t>
  </si>
  <si>
    <t>YIELD STRENGTH FOR NOMINAL THICKNESS (MM)</t>
  </si>
  <si>
    <t>&lt; 20</t>
  </si>
  <si>
    <t>20-40</t>
  </si>
  <si>
    <t>&gt; 40</t>
  </si>
  <si>
    <t>≤ 16</t>
  </si>
  <si>
    <t>&gt; 16</t>
  </si>
  <si>
    <t>&gt; 63</t>
  </si>
  <si>
    <t>&gt; 80</t>
  </si>
  <si>
    <t>&gt; 100</t>
  </si>
  <si>
    <t>BOLT</t>
  </si>
  <si>
    <t>≤ 40</t>
  </si>
  <si>
    <t>≤ 63</t>
  </si>
  <si>
    <t>≤ 80</t>
  </si>
  <si>
    <t>≤ 100</t>
  </si>
  <si>
    <t>≤ 150</t>
  </si>
  <si>
    <t>S235</t>
  </si>
  <si>
    <t>S275</t>
  </si>
  <si>
    <t>S355</t>
  </si>
  <si>
    <t>S420</t>
  </si>
  <si>
    <t>S460</t>
  </si>
  <si>
    <t>Annealed</t>
  </si>
  <si>
    <t>330-410</t>
  </si>
  <si>
    <t>As drawn</t>
  </si>
  <si>
    <t>410-490</t>
  </si>
  <si>
    <t>STR STEEL</t>
  </si>
  <si>
    <t>E250</t>
  </si>
  <si>
    <t>E275</t>
  </si>
  <si>
    <t>E300</t>
  </si>
  <si>
    <t>E410</t>
  </si>
  <si>
    <t>E450</t>
  </si>
  <si>
    <t>E550</t>
  </si>
  <si>
    <t>E600</t>
  </si>
  <si>
    <t>E650</t>
  </si>
  <si>
    <t>TUBE / PIPE</t>
  </si>
  <si>
    <t>Yst210</t>
  </si>
  <si>
    <t>Yst240</t>
  </si>
  <si>
    <t>Yst310</t>
  </si>
  <si>
    <t>REBAR</t>
  </si>
  <si>
    <t>Fe415</t>
  </si>
  <si>
    <t>Fe415D</t>
  </si>
  <si>
    <t>Fe500</t>
  </si>
  <si>
    <t>Fe500D</t>
  </si>
  <si>
    <t>Fe550</t>
  </si>
  <si>
    <t>Fe550D</t>
  </si>
  <si>
    <t>Fe600</t>
  </si>
  <si>
    <t>From Library</t>
  </si>
  <si>
    <t>Beta</t>
  </si>
  <si>
    <r>
      <t>Moment of Inertia 
Ixx
(cm</t>
    </r>
    <r>
      <rPr>
        <b/>
        <vertAlign val="superscript"/>
        <sz val="8"/>
        <rFont val="Arial"/>
        <family val="2"/>
      </rPr>
      <t>4</t>
    </r>
    <r>
      <rPr>
        <b/>
        <sz val="8"/>
        <rFont val="Arial"/>
        <family val="2"/>
      </rPr>
      <t>)</t>
    </r>
  </si>
  <si>
    <r>
      <t>Radius of gyration 
Rx
(cm</t>
    </r>
    <r>
      <rPr>
        <b/>
        <sz val="8"/>
        <rFont val="Arial"/>
        <family val="2"/>
      </rPr>
      <t>)</t>
    </r>
  </si>
  <si>
    <r>
      <t>Radius of gyration 
Ry
(cm</t>
    </r>
    <r>
      <rPr>
        <b/>
        <sz val="8"/>
        <rFont val="Arial"/>
        <family val="2"/>
      </rPr>
      <t>)</t>
    </r>
  </si>
  <si>
    <r>
      <t>Elastic Modulus 
Ze,x
(cm</t>
    </r>
    <r>
      <rPr>
        <b/>
        <vertAlign val="superscript"/>
        <sz val="8"/>
        <rFont val="Arial"/>
        <family val="2"/>
      </rPr>
      <t>4</t>
    </r>
    <r>
      <rPr>
        <b/>
        <sz val="8"/>
        <rFont val="Arial"/>
        <family val="2"/>
      </rPr>
      <t>)</t>
    </r>
  </si>
  <si>
    <r>
      <t>Elastic Modulus  
Ze,y
(cm</t>
    </r>
    <r>
      <rPr>
        <b/>
        <vertAlign val="superscript"/>
        <sz val="8"/>
        <rFont val="Arial"/>
        <family val="2"/>
      </rPr>
      <t>4</t>
    </r>
    <r>
      <rPr>
        <b/>
        <sz val="8"/>
        <rFont val="Arial"/>
        <family val="2"/>
      </rPr>
      <t>)</t>
    </r>
  </si>
  <si>
    <t>C1</t>
  </si>
  <si>
    <t>Ratio of end moments</t>
  </si>
  <si>
    <t>Smaller/Larger</t>
  </si>
  <si>
    <t>pinned for 1st order analys</t>
  </si>
  <si>
    <t>fixed 2nd order</t>
  </si>
  <si>
    <t>KL/r-0.65</t>
  </si>
  <si>
    <t>w/o sec members</t>
  </si>
  <si>
    <t>NB150X4.5</t>
  </si>
  <si>
    <t>REFERENCE
AISC 360-10</t>
  </si>
  <si>
    <t>Welding</t>
  </si>
  <si>
    <t>Electric-resistance-welded (ERW)</t>
  </si>
  <si>
    <t>Submerged-arc-welded (SAW)</t>
  </si>
  <si>
    <t>Y-Y Minor axis</t>
  </si>
  <si>
    <t>Z-Z Major axis</t>
  </si>
  <si>
    <t>Young's modulus of steel</t>
  </si>
  <si>
    <t>Es</t>
  </si>
  <si>
    <t>Concrete grade</t>
  </si>
  <si>
    <t>fck</t>
  </si>
  <si>
    <t>Section welding process</t>
  </si>
  <si>
    <t>As</t>
  </si>
  <si>
    <t>Unit Wt of steel</t>
  </si>
  <si>
    <t>Moment of inertia of steel</t>
  </si>
  <si>
    <t>Is</t>
  </si>
  <si>
    <t>Radius of gyration of steel</t>
  </si>
  <si>
    <t>rs</t>
  </si>
  <si>
    <t>Elastic section modulus of steel</t>
  </si>
  <si>
    <t>Zes</t>
  </si>
  <si>
    <t>Plastic section modulus of steel</t>
  </si>
  <si>
    <t>Zps</t>
  </si>
  <si>
    <t>Resistance factor for compression</t>
  </si>
  <si>
    <t>φc</t>
  </si>
  <si>
    <t>I2-1b, 2-2b (LFRD)</t>
  </si>
  <si>
    <t>Resistance factor for tension</t>
  </si>
  <si>
    <t>φt</t>
  </si>
  <si>
    <t>I-1.c (LFRD)</t>
  </si>
  <si>
    <t>Resistance factor for torsion</t>
  </si>
  <si>
    <t>φT</t>
  </si>
  <si>
    <t>H3-1 (LFRD)</t>
  </si>
  <si>
    <t>Resistance factor for flexure</t>
  </si>
  <si>
    <t>φb</t>
  </si>
  <si>
    <t>I3-4b (LFRD)</t>
  </si>
  <si>
    <t>Resistance factor for shear</t>
  </si>
  <si>
    <t>φv</t>
  </si>
  <si>
    <t>I4-1a (LFRD)</t>
  </si>
  <si>
    <t>4A</t>
  </si>
  <si>
    <t>LIMITATIONS</t>
  </si>
  <si>
    <t>Design wall thickness</t>
  </si>
  <si>
    <t>B-4.2</t>
  </si>
  <si>
    <t>C/S area of steel section</t>
  </si>
  <si>
    <t>I-2.a</t>
  </si>
  <si>
    <t>C/S area of concrete section</t>
  </si>
  <si>
    <t>Ac</t>
  </si>
  <si>
    <t>As/(As+Ac)</t>
  </si>
  <si>
    <t>4B</t>
  </si>
  <si>
    <t>SECTION CLASSIFICATION</t>
  </si>
  <si>
    <t>Width-thickness ratio between compact and noncompact sections</t>
  </si>
  <si>
    <t>Table I1.1B</t>
  </si>
  <si>
    <t>Width-thickness ratio between noncompact and slender sections</t>
  </si>
  <si>
    <t>λr</t>
  </si>
  <si>
    <t>Width-thickness ratio between slender and too slender sections</t>
  </si>
  <si>
    <t>λs</t>
  </si>
  <si>
    <t>Plate slenderness ratio</t>
  </si>
  <si>
    <t>Section class</t>
  </si>
  <si>
    <t>4C</t>
  </si>
  <si>
    <t>Specified compressive strength of concrete cube</t>
  </si>
  <si>
    <r>
      <t>f</t>
    </r>
    <r>
      <rPr>
        <vertAlign val="subscript"/>
        <sz val="11"/>
        <color theme="1"/>
        <rFont val="Times New Roman"/>
        <family val="1"/>
      </rPr>
      <t>c'</t>
    </r>
  </si>
  <si>
    <t>0.85* fck</t>
  </si>
  <si>
    <t>Density of concrete</t>
  </si>
  <si>
    <r>
      <t>w</t>
    </r>
    <r>
      <rPr>
        <vertAlign val="subscript"/>
        <sz val="11"/>
        <color theme="1"/>
        <rFont val="Times New Roman"/>
        <family val="1"/>
      </rPr>
      <t>c</t>
    </r>
  </si>
  <si>
    <t>kg/m3</t>
  </si>
  <si>
    <t>I-2.1b</t>
  </si>
  <si>
    <t>Modulus of elasticity of concrete</t>
  </si>
  <si>
    <r>
      <t>E</t>
    </r>
    <r>
      <rPr>
        <vertAlign val="subscript"/>
        <sz val="11"/>
        <color theme="1"/>
        <rFont val="Times New Roman"/>
        <family val="1"/>
      </rPr>
      <t>c</t>
    </r>
  </si>
  <si>
    <t>Yield strength of steel reinforcement</t>
  </si>
  <si>
    <r>
      <t>F</t>
    </r>
    <r>
      <rPr>
        <vertAlign val="subscript"/>
        <sz val="11"/>
        <color theme="1"/>
        <rFont val="Times New Roman"/>
        <family val="1"/>
      </rPr>
      <t>sr</t>
    </r>
  </si>
  <si>
    <t>Area of steel reinforcement</t>
  </si>
  <si>
    <r>
      <t>A</t>
    </r>
    <r>
      <rPr>
        <vertAlign val="subscript"/>
        <sz val="11"/>
        <color theme="1"/>
        <rFont val="Times New Roman"/>
        <family val="1"/>
      </rPr>
      <t>sr</t>
    </r>
  </si>
  <si>
    <t>Moment of inertia of steel reinforcement</t>
  </si>
  <si>
    <t>Isr</t>
  </si>
  <si>
    <t>Moment of inertia of concrete</t>
  </si>
  <si>
    <t>Ic</t>
  </si>
  <si>
    <r>
      <t>C</t>
    </r>
    <r>
      <rPr>
        <vertAlign val="subscript"/>
        <sz val="11"/>
        <color theme="1"/>
        <rFont val="Times New Roman"/>
        <family val="1"/>
      </rPr>
      <t>2</t>
    </r>
  </si>
  <si>
    <t>I-2.b, I-2 9b</t>
  </si>
  <si>
    <t>Nominal bearing strength</t>
  </si>
  <si>
    <t>Pp</t>
  </si>
  <si>
    <t>Axial yield strength</t>
  </si>
  <si>
    <t>Py</t>
  </si>
  <si>
    <t>I-2.b, I-2 9d</t>
  </si>
  <si>
    <t>Critical stress</t>
  </si>
  <si>
    <r>
      <t>F</t>
    </r>
    <r>
      <rPr>
        <vertAlign val="subscript"/>
        <sz val="11"/>
        <color theme="1"/>
        <rFont val="Times New Roman"/>
        <family val="1"/>
      </rPr>
      <t>cr</t>
    </r>
  </si>
  <si>
    <t>I-2.b, I-2 11</t>
  </si>
  <si>
    <t>Moment of inertia of steel section</t>
  </si>
  <si>
    <t>Coefficient for calculation of effective rigidity</t>
  </si>
  <si>
    <r>
      <t>C</t>
    </r>
    <r>
      <rPr>
        <vertAlign val="subscript"/>
        <sz val="11"/>
        <color theme="1"/>
        <rFont val="Times New Roman"/>
        <family val="1"/>
      </rPr>
      <t>3</t>
    </r>
  </si>
  <si>
    <t>I-2.b, I-2 13</t>
  </si>
  <si>
    <t>Effective stiffness of the composite section</t>
  </si>
  <si>
    <r>
      <t>EI</t>
    </r>
    <r>
      <rPr>
        <vertAlign val="subscript"/>
        <sz val="11"/>
        <color theme="1"/>
        <rFont val="Times New Roman"/>
        <family val="1"/>
      </rPr>
      <t>eff</t>
    </r>
  </si>
  <si>
    <t>N-mm2</t>
  </si>
  <si>
    <t>I-2.b, I-2 12</t>
  </si>
  <si>
    <t>Elastic critical buckling load</t>
  </si>
  <si>
    <t>Pe</t>
  </si>
  <si>
    <t>Nominal compressive strength of  zero length, doubly symmetric, axially loaded composite member</t>
  </si>
  <si>
    <t>Pno</t>
  </si>
  <si>
    <t>I-2.b</t>
  </si>
  <si>
    <t xml:space="preserve"> - Compact sections</t>
  </si>
  <si>
    <t>I-2.b, I-2 9a</t>
  </si>
  <si>
    <t xml:space="preserve"> - Non-Compact sections</t>
  </si>
  <si>
    <t>I-2.b, I-2 9c</t>
  </si>
  <si>
    <t xml:space="preserve"> - Slender sections</t>
  </si>
  <si>
    <t>I-2.b, I-2 9e, I-2.4</t>
  </si>
  <si>
    <t>Pno/Pe</t>
  </si>
  <si>
    <t>Nominal compressive strength</t>
  </si>
  <si>
    <t>Pn</t>
  </si>
  <si>
    <t>I-2.1.b</t>
  </si>
  <si>
    <t>φc Pn</t>
  </si>
  <si>
    <t>4D</t>
  </si>
  <si>
    <t>I-1.c, I-8</t>
  </si>
  <si>
    <t>φt Pn</t>
  </si>
  <si>
    <t>4E</t>
  </si>
  <si>
    <t>Plastic section modulus of concrete</t>
  </si>
  <si>
    <t>Zpc</t>
  </si>
  <si>
    <t>Ks</t>
  </si>
  <si>
    <t>Kc</t>
  </si>
  <si>
    <t>θ</t>
  </si>
  <si>
    <t>rad</t>
  </si>
  <si>
    <t>PNA depth from CL</t>
  </si>
  <si>
    <t>hn</t>
  </si>
  <si>
    <t>Plastic moment capacity</t>
  </si>
  <si>
    <t>Mp</t>
  </si>
  <si>
    <t>Critical yield moment capacity</t>
  </si>
  <si>
    <t>Nominal flexural strength</t>
  </si>
  <si>
    <t>Mn</t>
  </si>
  <si>
    <t>I-3-4b</t>
  </si>
  <si>
    <t>I-3-4b, I3-3a</t>
  </si>
  <si>
    <t>I-3-4b, , I3-3b</t>
  </si>
  <si>
    <t>I-3-4b, I3-3c</t>
  </si>
  <si>
    <t>Design flexural strength</t>
  </si>
  <si>
    <t>φb Mn</t>
  </si>
  <si>
    <t>Design flexural strength abt major axis</t>
  </si>
  <si>
    <t>φb Mnz</t>
  </si>
  <si>
    <t>Design flexural strength abt minor axis</t>
  </si>
  <si>
    <t>φb Mny</t>
  </si>
  <si>
    <t>4F</t>
  </si>
  <si>
    <t>Critical stress corresponding to shear</t>
  </si>
  <si>
    <t>G6-2b, I4.1(a)</t>
  </si>
  <si>
    <t>Nominal shear strength</t>
  </si>
  <si>
    <t>Vn</t>
  </si>
  <si>
    <t>G6-1</t>
  </si>
  <si>
    <t>φv Vn</t>
  </si>
  <si>
    <t>φv Vny</t>
  </si>
  <si>
    <t>φv Vnz</t>
  </si>
  <si>
    <t>4G</t>
  </si>
  <si>
    <t>TORSIONAL CAPACITY</t>
  </si>
  <si>
    <t>Torsional shear constant</t>
  </si>
  <si>
    <t>Ct</t>
  </si>
  <si>
    <t>H3-1 (Note)</t>
  </si>
  <si>
    <t>Critical stress corresponding to torsion</t>
  </si>
  <si>
    <r>
      <t>F</t>
    </r>
    <r>
      <rPr>
        <vertAlign val="subscript"/>
        <sz val="11"/>
        <color theme="1"/>
        <rFont val="Times New Roman"/>
        <family val="1"/>
      </rPr>
      <t>cr3</t>
    </r>
  </si>
  <si>
    <t>H3-2a</t>
  </si>
  <si>
    <r>
      <t>F</t>
    </r>
    <r>
      <rPr>
        <vertAlign val="subscript"/>
        <sz val="11"/>
        <color theme="1"/>
        <rFont val="Times New Roman"/>
        <family val="1"/>
      </rPr>
      <t>cr4</t>
    </r>
  </si>
  <si>
    <t>H3-2b</t>
  </si>
  <si>
    <r>
      <t>F</t>
    </r>
    <r>
      <rPr>
        <vertAlign val="subscript"/>
        <sz val="11"/>
        <color theme="1"/>
        <rFont val="Times New Roman"/>
        <family val="1"/>
      </rPr>
      <t>cr,t</t>
    </r>
  </si>
  <si>
    <t>max (Fcr3 , Fcr4)</t>
  </si>
  <si>
    <t>H3-1</t>
  </si>
  <si>
    <t>Nominal torsional strength</t>
  </si>
  <si>
    <t>Tn</t>
  </si>
  <si>
    <t>Design torsional capacity</t>
  </si>
  <si>
    <r>
      <t>φ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 xml:space="preserve"> T</t>
    </r>
    <r>
      <rPr>
        <b/>
        <vertAlign val="subscript"/>
        <sz val="11"/>
        <color theme="1"/>
        <rFont val="Calibri"/>
        <family val="2"/>
        <scheme val="minor"/>
      </rPr>
      <t>n</t>
    </r>
  </si>
  <si>
    <t>5A</t>
  </si>
  <si>
    <t>COMBINED AXIAL C/T AND BENDING</t>
  </si>
  <si>
    <t>H1-1</t>
  </si>
  <si>
    <t>Design axial strength</t>
  </si>
  <si>
    <t>Pc</t>
  </si>
  <si>
    <t>Mcz</t>
  </si>
  <si>
    <t>Mcy</t>
  </si>
  <si>
    <t>Pr/Pc</t>
  </si>
  <si>
    <t>Interaction equation</t>
  </si>
  <si>
    <t>H1-1a
H1-1b</t>
  </si>
  <si>
    <t>5B</t>
  </si>
  <si>
    <t>COMBINED TORSION, FLEXURE, SHEAR AND/OR AXIAL FORCE</t>
  </si>
  <si>
    <t>Vcy</t>
  </si>
  <si>
    <t>Vcz</t>
  </si>
  <si>
    <t>Tc</t>
  </si>
  <si>
    <t>Tr/Tc</t>
  </si>
  <si>
    <t>Mz/Mdz</t>
  </si>
  <si>
    <t>My/Mdy</t>
  </si>
  <si>
    <t>Vy/Vdz</t>
  </si>
  <si>
    <t>Vz/Vdy</t>
  </si>
  <si>
    <t>Combined Axial Compression and Bending</t>
  </si>
  <si>
    <t>Is,z</t>
  </si>
  <si>
    <t>Is,y</t>
  </si>
  <si>
    <t>rs,z</t>
  </si>
  <si>
    <t>rs,y</t>
  </si>
  <si>
    <t>Zes,z</t>
  </si>
  <si>
    <t>Zes,y</t>
  </si>
  <si>
    <t>Zps,z</t>
  </si>
  <si>
    <t>Depth of concrete infill</t>
  </si>
  <si>
    <t>Dc</t>
  </si>
  <si>
    <t>Width of concrete infill</t>
  </si>
  <si>
    <t>Bc</t>
  </si>
  <si>
    <t>b/tf</t>
  </si>
  <si>
    <t>h/tw</t>
  </si>
  <si>
    <t>max ( b/tf , h/tw)</t>
  </si>
  <si>
    <t>Moment of inertia of steel reinforcement about major axis</t>
  </si>
  <si>
    <t>Isr,z</t>
  </si>
  <si>
    <t>Moment of inertia of steel reinforcement about minor axis</t>
  </si>
  <si>
    <t>Isr,y</t>
  </si>
  <si>
    <t>Moment of inertia of concrete abt major axis</t>
  </si>
  <si>
    <t>Ic,z</t>
  </si>
  <si>
    <t>Moment of inertia of concrete abt minor axis</t>
  </si>
  <si>
    <t>Ic,y</t>
  </si>
  <si>
    <r>
      <t>F</t>
    </r>
    <r>
      <rPr>
        <vertAlign val="subscript"/>
        <sz val="11"/>
        <color theme="1"/>
        <rFont val="Times New Roman"/>
        <family val="1"/>
      </rPr>
      <t>cr-f</t>
    </r>
  </si>
  <si>
    <r>
      <t>F</t>
    </r>
    <r>
      <rPr>
        <vertAlign val="subscript"/>
        <sz val="11"/>
        <color theme="1"/>
        <rFont val="Times New Roman"/>
        <family val="1"/>
      </rPr>
      <t>cr-w</t>
    </r>
  </si>
  <si>
    <r>
      <t>min (F</t>
    </r>
    <r>
      <rPr>
        <vertAlign val="subscript"/>
        <sz val="11"/>
        <color theme="1"/>
        <rFont val="Calibri"/>
        <family val="2"/>
        <scheme val="minor"/>
      </rPr>
      <t>cr-f</t>
    </r>
    <r>
      <rPr>
        <sz val="11"/>
        <color theme="1"/>
        <rFont val="Calibri"/>
        <family val="2"/>
        <scheme val="minor"/>
      </rPr>
      <t xml:space="preserve"> , F</t>
    </r>
    <r>
      <rPr>
        <vertAlign val="subscript"/>
        <sz val="11"/>
        <color theme="1"/>
        <rFont val="Calibri"/>
        <family val="2"/>
        <scheme val="minor"/>
      </rPr>
      <t>cr-w</t>
    </r>
    <r>
      <rPr>
        <sz val="11"/>
        <color theme="1"/>
        <rFont val="Calibri"/>
        <family val="2"/>
        <scheme val="minor"/>
      </rPr>
      <t>)</t>
    </r>
  </si>
  <si>
    <t>Moment of inertia of steel section about major axis</t>
  </si>
  <si>
    <t>Moment of inertia of steel section about minor axis</t>
  </si>
  <si>
    <r>
      <t>EI</t>
    </r>
    <r>
      <rPr>
        <vertAlign val="subscript"/>
        <sz val="11"/>
        <color theme="1"/>
        <rFont val="Times New Roman"/>
        <family val="1"/>
      </rPr>
      <t>eff,z</t>
    </r>
  </si>
  <si>
    <r>
      <t>EI</t>
    </r>
    <r>
      <rPr>
        <vertAlign val="subscript"/>
        <sz val="11"/>
        <color theme="1"/>
        <rFont val="Times New Roman"/>
        <family val="1"/>
      </rPr>
      <t>eff,y</t>
    </r>
  </si>
  <si>
    <t>Pe,z</t>
  </si>
  <si>
    <t>Pe,y</t>
  </si>
  <si>
    <t>Plastic section modulus of steel  section about major axis</t>
  </si>
  <si>
    <t>Plastic section modulus of steel  section about minor axis</t>
  </si>
  <si>
    <t>Zps,y</t>
  </si>
  <si>
    <t>Plastic section modulus of concrete  about major axis</t>
  </si>
  <si>
    <t>Zpc,z</t>
  </si>
  <si>
    <t>Plastic section modulus of concrete about minor axis</t>
  </si>
  <si>
    <t>Zpc,y</t>
  </si>
  <si>
    <t>Depth of plastic neutral axis abt major axis from top of section</t>
  </si>
  <si>
    <t>ap,z</t>
  </si>
  <si>
    <t>Depth of plastic neutral axis abt MINOR axis from top of section</t>
  </si>
  <si>
    <t>ap,y</t>
  </si>
  <si>
    <t>I3-4b(a)</t>
  </si>
  <si>
    <t>I3-4b(b)</t>
  </si>
  <si>
    <t>I3-4b(c)</t>
  </si>
  <si>
    <t>Moment capacity of composite section about major axis :</t>
  </si>
  <si>
    <t>ELEMENT</t>
  </si>
  <si>
    <t>F (kN)</t>
  </si>
  <si>
    <t>d (mm)</t>
  </si>
  <si>
    <t>M (kNm)</t>
  </si>
  <si>
    <t>Steel Top Flange (C)</t>
  </si>
  <si>
    <t>Steel Webs (C)</t>
  </si>
  <si>
    <t>Concrete (C)</t>
  </si>
  <si>
    <t>Steel Bottom Flange (C)</t>
  </si>
  <si>
    <t>Steel Top Flange (T)</t>
  </si>
  <si>
    <t>Steel Webs (T) Non-compact</t>
  </si>
  <si>
    <t>Steel Webs (T)</t>
  </si>
  <si>
    <t>Steel Bottom Flange (T)</t>
  </si>
  <si>
    <t>Nominal flexural strength about major axis</t>
  </si>
  <si>
    <t>Mnz</t>
  </si>
  <si>
    <t>Moment capacity of composite section about minor axis :</t>
  </si>
  <si>
    <t>Nominal flexural strength about minor axis</t>
  </si>
  <si>
    <t>Mny</t>
  </si>
  <si>
    <t>Height of webs in major direction</t>
  </si>
  <si>
    <t>h</t>
  </si>
  <si>
    <t>D - 3*Tf</t>
  </si>
  <si>
    <t>G5</t>
  </si>
  <si>
    <t>Width of flanges in minor direction</t>
  </si>
  <si>
    <t>B - 3*Tw</t>
  </si>
  <si>
    <t>Co-efficient</t>
  </si>
  <si>
    <t>kv,y</t>
  </si>
  <si>
    <t>kv,z</t>
  </si>
  <si>
    <t>G7</t>
  </si>
  <si>
    <t>Constant</t>
  </si>
  <si>
    <t>G5, G2-3, G2-4, G2-5, I4.1(a)</t>
  </si>
  <si>
    <t xml:space="preserve"> - shear along minor axis</t>
  </si>
  <si>
    <t xml:space="preserve"> - shear along major axis</t>
  </si>
  <si>
    <t>h/Tw</t>
  </si>
  <si>
    <t>Cv,y</t>
  </si>
  <si>
    <t>Cv,z</t>
  </si>
  <si>
    <t>Area of web</t>
  </si>
  <si>
    <t>Aw</t>
  </si>
  <si>
    <t>2 h Tw</t>
  </si>
  <si>
    <t>Area of flanges</t>
  </si>
  <si>
    <t>Af</t>
  </si>
  <si>
    <t>2 b Tf</t>
  </si>
  <si>
    <t>G2, G2-1</t>
  </si>
  <si>
    <t>Nominal shear strength along minor axis</t>
  </si>
  <si>
    <t>Vn,y</t>
  </si>
  <si>
    <t>Nominal shear strength along major axis</t>
  </si>
  <si>
    <t>Vn,z</t>
  </si>
  <si>
    <t>Steel Grade</t>
  </si>
  <si>
    <t>Concrete Grade</t>
  </si>
  <si>
    <t>RHS300x200x8</t>
  </si>
  <si>
    <r>
      <t>2A/</t>
    </r>
    <r>
      <rPr>
        <sz val="11"/>
        <rFont val="Times New Roman"/>
        <family val="1"/>
      </rPr>
      <t>π</t>
    </r>
  </si>
  <si>
    <r>
      <t>f</t>
    </r>
    <r>
      <rPr>
        <vertAlign val="subscript"/>
        <sz val="11"/>
        <rFont val="Calibri"/>
        <family val="2"/>
        <scheme val="minor"/>
      </rPr>
      <t>bd</t>
    </r>
  </si>
  <si>
    <r>
      <rPr>
        <sz val="11"/>
        <rFont val="Times New Roman"/>
        <family val="1"/>
      </rPr>
      <t>λ</t>
    </r>
    <r>
      <rPr>
        <sz val="11"/>
        <rFont val="Calibri"/>
        <family val="2"/>
      </rPr>
      <t>p</t>
    </r>
  </si>
  <si>
    <r>
      <t>Z</t>
    </r>
    <r>
      <rPr>
        <vertAlign val="subscript"/>
        <sz val="11"/>
        <rFont val="Calibri"/>
        <family val="2"/>
        <scheme val="minor"/>
      </rPr>
      <t>sB</t>
    </r>
  </si>
  <si>
    <r>
      <t>Z</t>
    </r>
    <r>
      <rPr>
        <vertAlign val="subscript"/>
        <sz val="11"/>
        <rFont val="Calibri"/>
        <family val="2"/>
        <scheme val="minor"/>
      </rPr>
      <t>cB</t>
    </r>
  </si>
  <si>
    <r>
      <t>M</t>
    </r>
    <r>
      <rPr>
        <vertAlign val="subscript"/>
        <sz val="11"/>
        <rFont val="Calibri"/>
        <family val="2"/>
        <scheme val="minor"/>
      </rPr>
      <t>D</t>
    </r>
  </si>
  <si>
    <r>
      <t>F</t>
    </r>
    <r>
      <rPr>
        <vertAlign val="subscript"/>
        <sz val="11"/>
        <rFont val="Times New Roman"/>
        <family val="1"/>
      </rPr>
      <t>cr2</t>
    </r>
  </si>
  <si>
    <t>Minor Shear Capacity
Vdx
(kNm)</t>
  </si>
  <si>
    <t>formula</t>
  </si>
  <si>
    <r>
      <t>Plastic Modulus Zpy
(cm</t>
    </r>
    <r>
      <rPr>
        <b/>
        <vertAlign val="superscript"/>
        <sz val="8"/>
        <color rgb="FFFF0000"/>
        <rFont val="Arial"/>
        <family val="2"/>
      </rPr>
      <t>4</t>
    </r>
    <r>
      <rPr>
        <b/>
        <sz val="8"/>
        <color rgb="FFFF0000"/>
        <rFont val="Arial"/>
        <family val="2"/>
      </rPr>
      <t>)</t>
    </r>
  </si>
  <si>
    <t>Plastic Modulus 
Zpx
(cm4)</t>
  </si>
  <si>
    <t>NB50X3.6</t>
  </si>
  <si>
    <t>SECTION</t>
  </si>
  <si>
    <t>Length, L (mm)</t>
  </si>
  <si>
    <t>NB150X5.9</t>
  </si>
  <si>
    <t>NB350X10</t>
  </si>
  <si>
    <t>RHS60X40X3.6</t>
  </si>
  <si>
    <t>ETABS</t>
  </si>
  <si>
    <t>Excel</t>
  </si>
  <si>
    <t>Python</t>
  </si>
  <si>
    <t>import math</t>
  </si>
  <si>
    <t>import pandas as pd</t>
  </si>
  <si>
    <t>NB_LIB = {'Name': ['NB32X3.2', 'NB40X3.2', 'NB50X3.6', 'NB80X3.2', 'NB100X3.6', 'NB125X4.5', 'NB150X4.5', 'NB150X5.9', 'NB200X5.9', 'NB200X8', 'NB250X8', 'NB300X10', 'NB350X10', 'NB350X12'],</t>
  </si>
  <si>
    <t xml:space="preserve">          'NB(mm)': [32, 40, 50, 80, 100, 125, 150, 150, 200, 200, 250, 300, 350, 350],</t>
  </si>
  <si>
    <t xml:space="preserve">          'Depth/OD/D(mm)': [42.4, 48.3, 60.3, 88.9, 114.3, 139.7, 165.1, 165.1, 219.1, 219.1, 273.0, 323.9, 355.6, 355.6],</t>
  </si>
  <si>
    <t xml:space="preserve">          'Width/B(mm)': [0, 0, 0, 0, 0, 0, 0, 0, 0, 0, 0, 0, 0, 0],</t>
  </si>
  <si>
    <t xml:space="preserve">          'Thk/T(mm)': [3.2, 3.2, 3.6, 3.2, 3.6, 4.5, 4.5, 5.9, 5.9, 8.0, 8.0, 10.0, 10.0, 12.0],</t>
  </si>
  <si>
    <t xml:space="preserve">          'Area of C/S/A(cm2)': [3.9408138246630364, 4.533946517660789, 6.412618924507489, 8.615503693204657, 12.519875043086058, 19.113449704440292, 22.70429010749343, 29.508351476638232, 39.51746567097532, 53.0552167338244, 66.60176425610362, 98.61459339618361, 108.57344210806325, 129.53414829281436],</t>
  </si>
  <si>
    <t xml:space="preserve">          'Mass/M(kg/m)': [3.0935388523604836, 3.5591480163637192, 5.033905855738379, 6.763170399165656, 9.828101908822555, 15.00405801798563, 17.822867734382342, 23.164055909161014, 31.021210551715626, 41.64834513605216, 52.28238494104134, 77.41245581600414, 85.23015205482965, 101.68430640985927],</t>
  </si>
  <si>
    <t xml:space="preserve">          'Moment of Inertia /Ix(cm4)': [7.619957611368447, 11.585650210910085, 25.87371499433937, 79.20587934690386, 191.98367637163253, 437.20319880245887, 732.5712323394824, 936.1321636047071, 2247.0149647253497, 2959.63287346987, 5851.714259746584, 12158.342374387992, 16223.499728243667, 19139.473521982734],</t>
  </si>
  <si>
    <t xml:space="preserve">          'Moment of Inertia /Iy(cm4)': [7.619957611368447, 11.585650210910085, 25.87371499433937, 79.20587934690386, 191.98367637163253, 437.20319880245887, 732.5712323394824, 936.1321636047071, 2247.0149647253497, 2959.63287346987, 5851.714259746584, 12158.342374387992, 16223.499728243667, 19139.473521982734],</t>
  </si>
  <si>
    <t xml:space="preserve">          'Radius of Gyration /Rx(cm)': [1.3905394636614956, 1.5985344850831338, 2.008684270859908, 3.032064065945837, 3.915905067797226, 4.782688835791013, 5.6802959870063106, 5.632433976532702, 7.540644037481148, 7.468869559712501, 9.37343320240775, 11.1036711271543, 12.223919175125465, 12.155500812389425],</t>
  </si>
  <si>
    <t xml:space="preserve">          'Radius of Gyration /Ry(cm)': [1.3905394636614956, 1.5985344850831338, 2.008684270859908, 3.032064065945837, 3.915905067797226, 4.782688835791013, 5.6802959870063106, 5.632433976532702, 7.540644037481148, 7.468869559712501, 9.37343320240775, 11.1036711271543, 12.223919175125465, 12.155500812389425],</t>
  </si>
  <si>
    <t xml:space="preserve">          'Elastic Section Modulus/Zex(cm3)': [3.5943196280039844, 4.797370687747448, 8.581663348039593, 17.819095466120103, 33.592944247004816, 62.59172495382375, 88.74272953839883, 113.40183689941941, 205.113187104094, 270.1627451820967, 428.69701536605004, 750.7466733181841, 912.4578024883951, 1076.4608280080276],</t>
  </si>
  <si>
    <t xml:space="preserve">          'Elastic Section Modulus/Zey(cm3)': [3.5943196280039844, 4.797370687747448, 8.581663348039593, 17.819095466120103, 33.592944247004816, 62.59172495382375, 88.74272953839883, 113.40183689941941, 205.113187104094, 270.1627451820967, 428.69701536605004, 750.7466733181841, 912.4578024883951, 1076.4608280080276],</t>
  </si>
  <si>
    <t xml:space="preserve">          'Plastic Section Modulus/Zpx(cm3)': [4.928170666666665, 6.519754666666665, 11.589156000000008, 23.5132906666667, 44.131716000000054, 82.28605499999993, 116.09599499999995, 149.60183566666674, 268.24847566666705, 356.6763466666665, 561.9706666666666, 985.665433333333, 1194.7269333333336, 1417.3075200000007],</t>
  </si>
  <si>
    <t xml:space="preserve">          'Plastic Section Modulus/Zpy(cm3)': [4.928170666666665, 6.519754666666665, 11.589156000000008, 23.5132906666667, 44.131716000000054, 82.28605499999993, 116.09599499999995, 149.60183566666674, 268.24847566666705, 356.6763466666665, 561.9706666666666, 985.665433333333, 1194.7269333333336, 1417.3075200000007],</t>
  </si>
  <si>
    <t xml:space="preserve">          'Torsional Constant/J(cm4)': [15.239915222736894, 23.17130042182017, 51.74742998867874, 158.4117586938077, 383.96735274326505, 874.4063976049177, 1465.1424646789649, 1872.2643272094142, 4494.0299294506995, 5919.26574693974, 11703.428519493167, 24316.684748775984, 32446.999456487334, 38278.94704396547],</t>
  </si>
  <si>
    <t xml:space="preserve">          'Torsional Modulus/Zt(cm3)': [7.188639256007969, 9.594741375494896, 17.163326696079185, 35.63819093224021, 67.18588849400963, 125.1834499076475, 177.48545907679767, 226.80367379883882, 410.226374208188, 540.3254903641935, 857.3940307321001, 1501.4933466363682, 1824.9156049767903, 2152.9216560160553],</t>
  </si>
  <si>
    <t xml:space="preserve">          'Perimeter/P(cm)': [13.320352851220722, 15.1738925168387, 18.94380370114645, 27.928758690413265, 35.90840403053134, 43.888049370649405, 51.86769471076748, 51.86769471076748, 68.83229504015236, 68.83229504015236, 85.76547944300135, 101.75618604977339, 111.71503476165306, 111.71503476165306],</t>
  </si>
  <si>
    <t xml:space="preserve">          'Beta': [0.6366197723675814, 0.6366197723675813, 0.6366197723675814, 0.6366197723675814, 0.6366197723675814, 0.6366197723675814, 0.6366197723675814, 0.6366197723675814, 0.6366197723675814, 0.6366197723675813, 0.6366197723675814, 0.6366197723675814, 0.6366197723675814, 0.6366197723675814],</t>
  </si>
  <si>
    <t xml:space="preserve">          'MAKE STD': ['TATA', 'TATA', 'TATA', 'TATA', 'TATA', 'TATA', 'TATA', 'TATA', 'TATA', 'TATA', 'TATA', 'TATA', 'TATA', 'TATA'],</t>
  </si>
  <si>
    <t xml:space="preserve">          'Steel Grade': ['E350', 'E350', 'E350', 'E350', 'E350', 'E350', 'E350', 'E350', 'E350', 'E350', 'E350', 'E350', 'E350', 'E350'],</t>
  </si>
  <si>
    <t xml:space="preserve">          'Yield Strength/Fy(MPa)': [350, 350, 350, 350, 350, 350, 350, 350, 350, 350, 350, 350, 350, 350],</t>
  </si>
  <si>
    <t xml:space="preserve">          'Ultimate Strength/Fu(MPa)': [490, 490, 490, 490, 490, 490, 490, 490, 490, 490, 490, 490, 490, 490],</t>
  </si>
  <si>
    <t xml:space="preserve">          'Class': [1, 1, 1, 1, 2, 2, 2, 1, 2, 1, 2, 2, 2, 1],</t>
  </si>
  <si>
    <t xml:space="preserve">          'Axial Tension Capacity/Td(kN)': [125.38953078473295, 144.26193465284328, 204.03787487069283, 274.1296629656027, 398.3596604618291, 608.1552178685547, 722.4092306929726, 938.902092438489, 1257.373907712851, 1688.1205324398672, 2119.1470445123878, 3137.737062605842, 3454.6095216201934, 4121.541082044094],</t>
  </si>
  <si>
    <t xml:space="preserve">          'Major Bending Capacity/Mdx(kNm)': [1.3723765852378846, 1.8317233535035706, 3.2766350965242084, 6.803654632518584, 12.826396894310927, 23.8986586187327, 33.8835876419341, 43.298883179778315, 78.3159441670177, 103.15304816043691, 163.68431495794636, 286.64872981239756, 348.39297913193263, 411.01231614851963],</t>
  </si>
  <si>
    <t xml:space="preserve">          'Minor Bending Capacity/Mdy(kNm)': [1.3723765852378846, 1.8317233535035706, 3.2766350965242084, 6.803654632518584, 12.826396894310927, 23.8986586187327, 33.8835876419341, 43.298883179778315, 78.3159441670177, 103.15304816043691, 163.68431495794636, 286.64872981239756, 348.39297913193263, 411.01231614851963],</t>
  </si>
  <si>
    <t xml:space="preserve">          'Major Shear Capacity/Vdy(kNm)': [46.08724767000241, 53.02384872237521, 74.99465078444595, 100.75706952344925, 146.4181277220136, 223.5290296749797, 265.52338880030885, 345.09590235554776, 462.151045114339, 620.4730856592796, 778.8979995249134, 1153.2834059003314, 1269.7507011123114, 1514.8831281326052],</t>
  </si>
  <si>
    <t xml:space="preserve">          'Minor Shear Capacity/Vdy(kNm)': [46.08724767000241, 53.02384872237521, 74.99465078444595, 100.75706952344925, 146.4181277220136, 223.5290296749797, 265.52338880030885, 345.09590235554776, 462.151045114339, 620.4730856592796, 778.8979995249134, 1153.2834059003314, 1269.7507011123114, 1514.8831281326052],</t>
  </si>
  <si>
    <t xml:space="preserve">          'Concrete Grade': [40, 40, 40, 40, 40, 40, 40, 40, 40, 40, 40, 40, 40, 40],</t>
  </si>
  <si>
    <t xml:space="preserve">          'Class.1': [1, 1, 1, 1, 1, 1, 1, 1, 1, 1, 1, 1, 1, 1],</t>
  </si>
  <si>
    <t xml:space="preserve">          'Axial Tension Capacity/Td(kN).1': [124.13563547688564, 142.81931530631485, 201.9974961219859, 271.38836633594667, 394.3760638572108, 602.0736656898692, 715.1851383860431, 929.5130715141044, 1244.8001686357225, 1671.2393271154685, 2097.9555740672645, 3106.3596919797837, 3420.0634264039923, 4080.325671223653],</t>
  </si>
  <si>
    <t xml:space="preserve">          'Major Bending Capacity/Mdx(kNm).1': [1.6653979199999993, 2.2319219629275, 4.013283967447503, 8.76695816156251, 16.824380397976217, 30.094024828961476, 42.02712065910906, 51.61564521143383, 91.73340777092487, 115.3264947207061, 183.41021933978834, 314.3801489838154, 387.21247720098796, 442.768053443357],</t>
  </si>
  <si>
    <t xml:space="preserve">          'Minor Bending Capacity/Mdy(kNm).1': [1.6653979199999993, 2.2319219629275, 4.013283967447503, 8.76695816156251, 16.824380397976217, 30.094024828961476, 42.02712065910906, 51.61564521143383, 91.73340777092487, 115.3264947207061, 183.41021933978834, 314.3801489838154, 387.21247720098796, 442.768053443357],</t>
  </si>
  <si>
    <t xml:space="preserve">          'Major Shear Capacity/Vdy(kNm).1': [37.2406906430657, 42.84579459189446, 60.59924883659578, 81.416509900784, 118.31281915716325, 180.62209970696077, 214.5555415158129, 278.85392145423134, 373.4400505907168, 501.3717981346406, 629.3866722201792, 931.9079075939352, 1026.0190279211977, 1224.0977013670959],</t>
  </si>
  <si>
    <t xml:space="preserve">          'Minor Shear Capacity/Vdy(kNm).1': [37.2406906430657, 42.84579459189446, 60.59924883659578, 81.416509900784, 118.31281915716325, 180.62209970696077, 214.5555415158129, 278.85392145423134, 373.4400505907168, 501.3717981346406, 629.3866722201792, 931.9079075939352, 1026.0190279211977, 1224.0977013670959]}</t>
  </si>
  <si>
    <t># dictionary for RHS_lib</t>
  </si>
  <si>
    <t>RHS_LIB = {'Name': ['RHS50x25x2.6', 'RHS50x25x4', 'RHS60x40x2.6', 'RHS60x40x3.6', 'RHS80x40x3.2', 'RHS80x40x4.8', 'RHS96x48x4.8', 'RHS122x61x3.6', 'RHS122x61x5.4', 'RHS145x82x4.8', 'RHS172x92x4.8', 'RHS200x100x5', 'RHS240x120x5', 'RHS240x120x8', 'RHS300x150x6', 'RHS300x200x6', 'RHS300x200x8', 'RHS300x200x10'],</t>
  </si>
  <si>
    <t xml:space="preserve">           'NB(mm)': [0, 0, 0, 0, 0, 0, 0, 0, 0, 0, 0, 0, 0, 0, 0, 0, 0, 0],</t>
  </si>
  <si>
    <t xml:space="preserve">           'Depth/OD/D(mm)': [50, 50, 60, 60, 80, 80, 96, 122, 122, 145, 172, 200, 240, 240, 300, 300, 300, 300],</t>
  </si>
  <si>
    <t xml:space="preserve">           'Width/B(mm)': [25, 25, 40, 40, 40, 40, 48, 61, 61, 82, 92, 100, 120, 120, 150, 200, 200, 200],</t>
  </si>
  <si>
    <t xml:space="preserve">           'Thk/T(mm)': [2.6, 4.0, 2.6, 3.6, 3.2, 4.8, 4.8, 3.6, 5.4, 4.8, 4.8, 5.0, 5.0, 8.0, 6.0, 6.0, 8.0, 10.0],</t>
  </si>
  <si>
    <t xml:space="preserve">           'Area of C/S/A(cm2)': [3.4555149901480102, 4.9479644737231006, 4.7555149901480105, 6.347851223715712, 7.006697263182786, 10.005068842161265, 12.309068842161262, 12.323851223715712, 17.846665253360353, 20.27706884216126, 23.82906884216127, 28.356194490192344, 34.356194490192344, 53.391857894892404, 51.63292006587698, 57.63292006587698, 75.7918578948924, 93.42477796076939],</t>
  </si>
  <si>
    <t xml:space="preserve">           'Mass/M(kg/m)': [2.7125792672661877, 3.884152111872634, 3.7330792672661883, 4.983063210616834, 5.500257351598487, 7.853979041096593, 9.66261904109659, 9.674223210616836, 14.009632223887879, 15.91749904109659, 18.705819041096596, 22.25961267480099, 26.969612674800988, 41.91260844749054, 40.53184225171343, 45.24184225171343, 59.49660844749054, 73.33845069920397],</t>
  </si>
  <si>
    <t xml:space="preserve">           'Moment of Inertia /Ix(cm4)': [10.157136490710432, 13.120210223804381, 22.753222918740498, 28.8816751396057, 54.929665178782436, 73.18103747825998, 134.30346438551558, 232.57405029795902, 320.7319919756321, 555.0526686446948, 916.9993011559587, 1459.094731150432, 2579.469177424792, 3851.0989695608096, 6073.067111375256, 7369.612111375256, 9512.248289922793, 11504.595114487654],</t>
  </si>
  <si>
    <t xml:space="preserve">           'Moment of Inertia /Iy(cm4)': [3.352492794917381, 4.194222367340214, 12.080114224421042, 15.198508783177767, 18.37808034767027, 23.925851726224074, 44.41656321764805, 78.74928604667217, 106.77225290661606, 228.28076842271565, 346.63734699764234, 496.57542262126265, 882.034506366327, 1298.2059884943644, 2078.599411444302, 3961.222143931158, 5094.789112712856, 6140.010095273535],</t>
  </si>
  <si>
    <t xml:space="preserve">           'Radius of Gyration /Rx(cm)': [1.7144674869792957, 1.628385064930973, 2.1873721755487803, 2.1330342041463815, 2.799927584556222, 2.704514040607634, 3.3031706230296267, 4.344175927691742, 4.239284877697688, 5.231961140841086, 6.2034168644569965, 7.173279803048035, 8.664881846227827, 8.49287678075842, 10.845278195294757, 11.308031323334289, 11.202896207161455, 11.096975630833008],</t>
  </si>
  <si>
    <t xml:space="preserve">           'Radius of Gyration /Ry(cm)': [0.9849802805120728, 0.920687908628123, 1.5938107175894387, 1.547344870780753, 1.6195464043731995, 1.5464064871119703, 1.8995900033689648, 2.5278429534312434, 2.4459673996400295, 3.3553055488813426, 3.8140303104423543, 4.184741512724556, 5.066875830138366, 4.930991880039223, 6.344860185777755, 8.29047257323866, 8.198829016967325, 8.106875536611945],</t>
  </si>
  <si>
    <t xml:space="preserve">           'Elastic Section Modulus/Zex(cm3)': [4.062854596284173, 5.248084089521752, 7.584407639580166, 9.627225046535234, 13.732416294695609, 18.295259369564995, 27.979888413649082, 38.12689349146869, 52.579015077972485, 76.5589887785786, 106.62782571580917, 145.9094731150432, 214.95576478539934, 320.92491413006746, 404.8711407583504, 491.30747409168373, 634.1498859948529, 766.9730076325103],</t>
  </si>
  <si>
    <t xml:space="preserve">           'Elastic Section Modulus/Zey(cm3)': [2.681994235933905, 3.3553778938721712, 6.040057112210521, 7.599254391588883, 9.189040173835135, 11.962925863112037, 18.50690134068669, 25.819438048089236, 35.007296034956084, 55.67823620066236, 75.35594499948748, 99.31508452425253, 147.0057510610545, 216.36766474906074, 277.1465881925736, 396.12221439311577, 509.4789112712856, 614.0010095273535],</t>
  </si>
  <si>
    <t xml:space="preserve">           'Plastic Section Modulus/Zpx(cm3)': [5.263442347159726, 7.128872938662605, 9.35979984223373, 12.161036790071822, 17.458577470960822, 24.013361280170248, 36.13389635389926, 47.709615583590534, 67.29020357186897, 94.93415501719436, 132.08339795411206, 181.37241707839777, 265.5848060587824, 403.8939887735476, 499.6302969091023, 587.8302969091022, 765.3495624582248, 933.8554468233352],</t>
  </si>
  <si>
    <t xml:space="preserve">           'Plastic Section Modulus/Zpy(cm3)': [3.212548609474714, 4.293917346508729, 7.069084852085721, 9.153985566356111, 10.715582944595255, 14.601623595847716, 22.07501113271222, 29.42470935125761, 41.219214549119904, 63.93226816438637, 85.61192258546701, 112.09144462743605, 164.4476391176284, 248.66284140419324, 309.4833964150249, 446.0656965797174, 579.9902729837629, 706.7315570194884],</t>
  </si>
  <si>
    <t xml:space="preserve">           'Torsional Constant/J(cm4)': [8.677877732934475, 11.649272254895806, 25.933872913504146, 33.821366516081426, 46.19406611617767, 63.202922628747494, 114.44345219411159, 192.9615485813561, 271.23900564325646, 528.3961649636836, 817.1037715654062, 1203.68051479517, 2116.817050157573, 3210.8897978038954, 4978.619939974562, 8099.599574544887, 10562.123499980888, 12907.658089688011],</t>
  </si>
  <si>
    <t xml:space="preserve">           'Torsional Modulus/Zt(cm3)': [4.739561975293006, 6.11108791810296, 10.038960864719003, 12.768651921771513, 16.078899588250625, 21.31164743599266, 32.65769634649347, 44.84776759510584, 61.47238668547706, 94.95272924491618, 129.34799390829457, 172.03900870596064, 254.06171372426738, 376.81160139838846, 478.7705895070743, 651.4109433042623, 839.9593267070132, 1015.3068081522985],</t>
  </si>
  <si>
    <t xml:space="preserve">           'Perimeter/P(cm)': [13.290442269800039, 12.369911184307751, 18.29044226980004, 17.632920065876977, 21.895928947446205, 20.8438934211693, 25.643893421169295, 34.23292006587698, 33.04938009881547, 42.24389342116929, 49.64389342116932, 56.71238898038469, 68.71238898038469, 66.7398223686155, 86.05486677646164, 96.05486677646164, 94.73982236861549, 93.42477796076939],</t>
  </si>
  <si>
    <t xml:space="preserve">           'Beta': [0.6666666666666667, 0.6666666666666667, 0.6, 0.6000000000000001, 0.6666666666666666, 0.6666666666666666, 0.6666666666666666, 0.6666666666666666, 0.6666666666666667, 0.6387665198237886, 0.6515151515151514, 0.6666666666666666, 0.6666666666666666, 0.6666666666666667, 0.6666666666666667, 0.6000000000000001, 0.6000000000000001, 0.6],</t>
  </si>
  <si>
    <t xml:space="preserve">           'MAKE STD': ['TATA', 'TATA', 'TATA', 'TATA', 'TATA', 'TATA', 'TATA', 'TATA', 'TATA', 'TATA', 'TATA', 'TATA', 'TATA', 'TATA', 'TATA', 'TATA', 'TATA', 'TATA'],</t>
  </si>
  <si>
    <t xml:space="preserve">           'Grade': ['E350', 'E350', 'E350', 'E350', 'E350', 'E350', 'E350', 'E350', 'E350', 'E350', 'E350', 'E350', 'E350', 'E350', 'E350', 'E350', 'E350', 'E350'],</t>
  </si>
  <si>
    <t xml:space="preserve">           'Yield Strength/Fy(MPa)': [350, 350, 350, 350, 350, 350, 350, 350, 350, 350, 350, 350, 350, 350, 350, 350, 350, 350],</t>
  </si>
  <si>
    <t xml:space="preserve">           'Ultimate Strength/Fu(MPa)': [490, 490, 490, 490, 490, 490, 490, 490, 490, 490, 490, 490, 490, 490, 490, 490, 490, 490],</t>
  </si>
  <si>
    <t xml:space="preserve">           'Class': [1, 1, 1, 1, 1, 1, 1, 1, 1, 1, 1, 1, 1, 1, 1, 1, 1, 1],</t>
  </si>
  <si>
    <t xml:space="preserve">           'Axial Tension Capacity/Td(kN)': [109.94820423198213, 157.4352332548259, 151.3118405956185, 201.97708439095447, 222.94036746490679, 318.343099523313, 391.65219043240376, 392.122538936409, 567.8484398796476, 645.1794631596764, 758.1976449778584, 902.2425519606654, 1093.1516428697564, 1698.8318421102126, 1642.865638459722, 1833.7747293688128, 2411.559114837485, 2972.6065714790257],</t>
  </si>
  <si>
    <t xml:space="preserve">           'Major Bending Capacity/Mdx(kNm)': [1.5512717549448658, 2.0038139250901232, 2.895864735112427, 3.675849563222543, 5.24328622161105, 6.985462668379361, 10.683230121575104, 14.557541151288044, 20.07562393886222, 29.23161389727546, 40.712442546036215, 55.71088973483467, 82.07401928169791, 122.53496721329847, 154.5871628350065, 187.03691265289615, 242.12995647076198, 292.84423927786753],</t>
  </si>
  <si>
    <t xml:space="preserve">           'Minor Bending Capacity/Mdy(kNm)': [1.0221745575601364, 1.2811442867511926, 2.249254271118184, 2.9015334949703004, 3.409503664189399, 4.567662602279142, 7.023867178590252, 9.362407520854692, 13.115204629265422, 20.342085325032023, 27.240157186284957, 35.6654596541842, 52.32424881015449, 79.1199949922433, 98.47198976841702, 141.92999436627372, 184.54235958574273, 224.8691317789281],</t>
  </si>
  <si>
    <t xml:space="preserve">           'Major Shear Capacity/Vdy(kNm)': [42.31908354016722, 60.596849533070184, 52.41595913967486, 69.966914425952, 85.80978744606536, 122.53031613629639, 150.7469983832366, 150.9280356068368, 218.5649664156157, 237.93703888094416, 285.19790030843933, 347.27332016588343, 420.7542635172903, 653.8806809001594, 632.3392790714046, 635.2382001805304, 835.3885824708707, 1029.7411225429598],</t>
  </si>
  <si>
    <t xml:space="preserve">           'Minor Shear Capacity/Vdy(kNm)': [21.15954177008361, 30.298424766535092, 34.943972759783236, 46.64460961730133, 42.90489372303268, 61.265158068148196, 75.3734991916183, 75.4640178034184, 109.28248320780784, 134.55749784991323, 152.54771411846755, 173.63666008294172, 210.37713175864516, 326.9403404500797, 316.1696395357023, 423.4921334536869, 556.9257216472471, 686.4940816953066],</t>
  </si>
  <si>
    <t xml:space="preserve">           'Concrete Grade': [40, 40, 40, 40, 40, 40, 40, 40, 40, 40, 40, 40, 40, 40, 40, 40, 40, 40],</t>
  </si>
  <si>
    <t xml:space="preserve">           'Class.1': [1, 1, 1, 1, 1, 1, 1, 1, 1, 1, 1, 1, 1, 1, 1, 1, 1, 1],</t>
  </si>
  <si>
    <t xml:space="preserve">           'Axial Tension Capacity/Td(kN).1': [108.84872218966233, 155.86088092227766, 149.79872218966233, 199.95731354704492, 220.71096379025775, 315.1596685280798, 387.7356685280797, 388.2013135470449, 562.1699554808512, 638.7276685280797, 750.6156685280799, 893.2201264410589, 1082.220126441059, 1681.8435236891107, 1626.436982075125, 1815.436982075125, 2387.443523689111, 2942.8805057642357],</t>
  </si>
  <si>
    <t xml:space="preserve">           'Major Bending Capacity/Mdx(kNm).1': ['', '', '', '', '', '', '', '', '', '', '', '', '', '', '', '', '', ''],</t>
  </si>
  <si>
    <t xml:space="preserve">           'Minor Bending Capacity/Mdy(kNm).1': ['', '', '', '', '', '', '', '', '', '', '', '', '', '', '', '', '', ''],</t>
  </si>
  <si>
    <t xml:space="preserve">           'Major Shear Capacity/Vdy(kNm).1': ['', '', '', '', '', '', '', '', '', '', '', '', '', '', '', '', '', ''],</t>
  </si>
  <si>
    <t xml:space="preserve">           'Minor Shear Capacity/Vdy(kNm).1': ['', '', '', '', '', '', '', '', '', '', '', '', '', '', '', '', '', '']}</t>
  </si>
  <si>
    <t># lists for storing</t>
  </si>
  <si>
    <t>Member_No_list = []</t>
  </si>
  <si>
    <t>Section_Name_list = []</t>
  </si>
  <si>
    <t>Type_of_section_list = []</t>
  </si>
  <si>
    <t>Design_tensile_strength_Td = []</t>
  </si>
  <si>
    <t>Td_D_C = []</t>
  </si>
  <si>
    <t>Td_status = []</t>
  </si>
  <si>
    <t>Design_compressive_strength_Pd = []</t>
  </si>
  <si>
    <t>Pd_D_C = []</t>
  </si>
  <si>
    <t>Pd_status = []</t>
  </si>
  <si>
    <t>Design_bending_strength_abt_major_axis_Mdz = []</t>
  </si>
  <si>
    <t>Mdz_D_C = []</t>
  </si>
  <si>
    <t>Mdz_status = []</t>
  </si>
  <si>
    <t>Design_bending_strength_abt_minor_axis_Mdy = []</t>
  </si>
  <si>
    <t>Mdy_D_C = []</t>
  </si>
  <si>
    <t>Mdy_status = []</t>
  </si>
  <si>
    <t>Design_shear_strength_along_minor_axis_Vdy = []</t>
  </si>
  <si>
    <t>Vdy_D_C = []</t>
  </si>
  <si>
    <t>Vdy_status = []</t>
  </si>
  <si>
    <t>Design_shear_strength_along_major_axis_Vdz = []</t>
  </si>
  <si>
    <t>Vdz_D_C = []</t>
  </si>
  <si>
    <t>Vdz_status = []</t>
  </si>
  <si>
    <t>Reduced_design_bending_strength_abt_major_axis_Mdvz = []</t>
  </si>
  <si>
    <t>Design_torsional_capacity = []</t>
  </si>
  <si>
    <t>Interaction_ratio_IR1 = []</t>
  </si>
  <si>
    <t>IR1_status = []</t>
  </si>
  <si>
    <t>Interaction_ratio_IR2 = []</t>
  </si>
  <si>
    <t>IR2_status = []</t>
  </si>
  <si>
    <t># user input values for CHS from csv file</t>
  </si>
  <si>
    <t>from tkinter import *</t>
  </si>
  <si>
    <t>from tkinter import ttk</t>
  </si>
  <si>
    <t>from tkinter import filedialog</t>
  </si>
  <si>
    <t>def runprog():</t>
  </si>
  <si>
    <t xml:space="preserve">    root = Tk()</t>
  </si>
  <si>
    <t xml:space="preserve">    def fileselection():</t>
  </si>
  <si>
    <t xml:space="preserve">        sentmsg = StringVar()</t>
  </si>
  <si>
    <t xml:space="preserve">        statusmsg = StringVar()</t>
  </si>
  <si>
    <t xml:space="preserve">        msg = StringVar()</t>
  </si>
  <si>
    <t xml:space="preserve">        resultpath = StringVar()</t>
  </si>
  <si>
    <t xml:space="preserve">        def browse_file_e2k():</t>
  </si>
  <si>
    <t xml:space="preserve">            global fpath1</t>
  </si>
  <si>
    <t xml:space="preserve">            global filename</t>
  </si>
  <si>
    <t xml:space="preserve">            fpath1 = filedialog.askopenfilename(filetypes=(("Template files", "*.csv"), ("All files", "*")))</t>
  </si>
  <si>
    <t xml:space="preserve">            sentmsg.set(fpath1)</t>
  </si>
  <si>
    <t xml:space="preserve">            filename = fpath1</t>
  </si>
  <si>
    <t xml:space="preserve">        def browse_foldar_docx():</t>
  </si>
  <si>
    <t xml:space="preserve">            global fpath4</t>
  </si>
  <si>
    <t xml:space="preserve">            fpath4 = filedialog.askdirectory()</t>
  </si>
  <si>
    <t xml:space="preserve">            # localtime1 = datetime.now().strftime('%Y-%m-%d')</t>
  </si>
  <si>
    <t xml:space="preserve">            # newpath2 = r'%s' % fpath4 + r'/%s' % localtime1</t>
  </si>
  <si>
    <t xml:space="preserve">            resultpath.set(fpath4)</t>
  </si>
  <si>
    <t xml:space="preserve">        def createsubfiles():</t>
  </si>
  <si>
    <t xml:space="preserve">            root.destroy()</t>
  </si>
  <si>
    <t xml:space="preserve">        c = ttk.Frame(root, padding=(5, 5, 12, 15))</t>
  </si>
  <si>
    <t xml:space="preserve">        c.grid(column=0, row=0, sticky=(N, W, E, S))</t>
  </si>
  <si>
    <t xml:space="preserve">        root.grid_columnconfigure(0, weight=1)</t>
  </si>
  <si>
    <t xml:space="preserve">        root.grid_rowconfigure(0, weight=1)</t>
  </si>
  <si>
    <t xml:space="preserve">        lb0 = ttk.Label(c, text="Member design check for CFT-CHS or CFT-RHS", font=("Arial Bold", 10), anchor=W)</t>
  </si>
  <si>
    <t xml:space="preserve">        lb0.grid(column=0, row=0, sticky=W, pady=5)</t>
  </si>
  <si>
    <t xml:space="preserve">        lbl = ttk.Label(c, text="Select Path For", font=("Arial Bold", 10), anchor=W)</t>
  </si>
  <si>
    <t xml:space="preserve">        lbl.grid(column=0, row=1, sticky=W, pady=5)</t>
  </si>
  <si>
    <t xml:space="preserve">        lb2 = ttk.Label(c, text="1)CSV input file", anchor=W)</t>
  </si>
  <si>
    <t xml:space="preserve">        lb2.grid(column=0, row=2, sticky=W, pady=5)</t>
  </si>
  <si>
    <t xml:space="preserve">        lb_3 = ttk.Label(c, textvariable=sentmsg, anchor=W)</t>
  </si>
  <si>
    <t xml:space="preserve">        lb_3.grid(column=0, row=3, sticky=W, padx=10)</t>
  </si>
  <si>
    <t xml:space="preserve">        lb5 = ttk.Label(c, text="2) Select location for output csv file", anchor=W)</t>
  </si>
  <si>
    <t xml:space="preserve">        lb5.grid(column=0, row=4, sticky=W, pady=5)</t>
  </si>
  <si>
    <t xml:space="preserve">        lb_5 = ttk.Label(c, textvariable=resultpath, anchor=W)</t>
  </si>
  <si>
    <t xml:space="preserve">        lb_5.grid(column=0, row=5, sticky=W, padx=10)</t>
  </si>
  <si>
    <t xml:space="preserve">        broButton1 = ttk.Button(c, text='...Browse', width=8, command=browse_file_e2k)</t>
  </si>
  <si>
    <t xml:space="preserve">        broButton1.grid(column=1, row=2)</t>
  </si>
  <si>
    <t xml:space="preserve">        #</t>
  </si>
  <si>
    <t xml:space="preserve">        broButton4 = ttk.Button(c, text='...Browse', width=8, command=browse_foldar_docx)</t>
  </si>
  <si>
    <t xml:space="preserve">        broButton4.grid(column=1, row=4)</t>
  </si>
  <si>
    <t xml:space="preserve">        broButton5 = ttk.Button(c, text='OK', width=4, command=createsubfiles)</t>
  </si>
  <si>
    <t xml:space="preserve">        broButton5.grid(sticky=S)</t>
  </si>
  <si>
    <t xml:space="preserve">        c.grid_columnconfigure(0, weight=1)</t>
  </si>
  <si>
    <t xml:space="preserve">        c.grid_rowconfigure(6, weight=1)</t>
  </si>
  <si>
    <t xml:space="preserve">    fileselection()</t>
  </si>
  <si>
    <t xml:space="preserve">    root.mainloop()</t>
  </si>
  <si>
    <t>runprog()</t>
  </si>
  <si>
    <t>df1 =  pd.read_csv(fpath1)#path can be defined for file to be read</t>
  </si>
  <si>
    <t>dict0fcvs = df1.to_dict('list')</t>
  </si>
  <si>
    <t>for i in range(len(dict0fcvs['Member No.'])):</t>
  </si>
  <si>
    <t xml:space="preserve">    Member_No = dict0fcvs['Member No.'][i]</t>
  </si>
  <si>
    <t xml:space="preserve">    P = dict0fcvs['Axial Force, P (kN)'][i]</t>
  </si>
  <si>
    <t xml:space="preserve">    Vy = dict0fcvs['Shear force major, Vy (kN)'][i]</t>
  </si>
  <si>
    <t xml:space="preserve">    Vz = dict0fcvs['Shear force minor, Vz (kN)'][i]</t>
  </si>
  <si>
    <t xml:space="preserve">    T = dict0fcvs['Torsional moment, T (kNm)'][i]</t>
  </si>
  <si>
    <t xml:space="preserve">    Mz = dict0fcvs['Bending moment abt major axis, Mz (kNm)'][i]</t>
  </si>
  <si>
    <t xml:space="preserve">    My = dict0fcvs['Bending moment abt minor axis, My (kNm)'][i]</t>
  </si>
  <si>
    <t xml:space="preserve">    L = dict0fcvs['Length, L (mm)'][i]</t>
  </si>
  <si>
    <t xml:space="preserve">    Kz = dict0fcvs['Effective length factor abt Z-Z axis, Kz '][i]</t>
  </si>
  <si>
    <t xml:space="preserve">    Ky = dict0fcvs['Effective length factor abt Y-Y axis, Ky'][i]</t>
  </si>
  <si>
    <t xml:space="preserve">    Section_Name = dict0fcvs['Section Name'][i]</t>
  </si>
  <si>
    <t xml:space="preserve">    E = dict0fcvs["Young's modulus, E "][i]</t>
  </si>
  <si>
    <t xml:space="preserve">    An_Ag = dict0fcvs["Ratio net area/gross area, An/Ag "][i]</t>
  </si>
  <si>
    <t xml:space="preserve">    Section_welding_process = dict0fcvs['Weld Process Type'][i].lower()</t>
  </si>
  <si>
    <t># user input values for CHS</t>
  </si>
  <si>
    <t># Member_No = float(input('Member No. = '))</t>
  </si>
  <si>
    <t># P = float(input('Axial_Force = '))</t>
  </si>
  <si>
    <t># Vy = float(input('Shear force major = '))</t>
  </si>
  <si>
    <t># Vz = float(input('Shear force minor = '))</t>
  </si>
  <si>
    <t># T = float(input('Torsional moment = '))</t>
  </si>
  <si>
    <t># Mz = float(input('Bending moment abt major axis = '))</t>
  </si>
  <si>
    <t># My = float(input('Bending moment abt minor axis = '))</t>
  </si>
  <si>
    <t># L = float(input('Length = '))</t>
  </si>
  <si>
    <t># Kz = float(input('Effective length factor abt Z-Z axis = '))</t>
  </si>
  <si>
    <t># Ky = float(input('Effective length factor abt Y-Y axis = '))</t>
  </si>
  <si>
    <t># Section_Name = input('Section Name = ')</t>
  </si>
  <si>
    <t># E = float(input("Young's modulus = "))</t>
  </si>
  <si>
    <t># An_Ag = float(input('Ratio net area/gross area = '))</t>
  </si>
  <si>
    <t># Section_welding_process = input('Section welding process = ')</t>
  </si>
  <si>
    <t xml:space="preserve">    if Section_welding_process.startswith('sub'):</t>
  </si>
  <si>
    <t xml:space="preserve">        weld_val = 1</t>
  </si>
  <si>
    <t xml:space="preserve">    else:</t>
  </si>
  <si>
    <t xml:space="preserve">        weld_val = 0.93</t>
  </si>
  <si>
    <t xml:space="preserve">    # constants</t>
  </si>
  <si>
    <t xml:space="preserve">    φc = 0.75</t>
  </si>
  <si>
    <t xml:space="preserve">    φt = 0.90</t>
  </si>
  <si>
    <t xml:space="preserve">    φT = 0.90</t>
  </si>
  <si>
    <t xml:space="preserve">    φb = 0.90</t>
  </si>
  <si>
    <t xml:space="preserve">    φv = 0.90</t>
  </si>
  <si>
    <t xml:space="preserve">    '''Member No. = 1</t>
  </si>
  <si>
    <t xml:space="preserve">    Axial_Force = -586.5</t>
  </si>
  <si>
    <t xml:space="preserve">    Shear force major = -52.28</t>
  </si>
  <si>
    <t xml:space="preserve">    Shear force minor = -81.43</t>
  </si>
  <si>
    <t xml:space="preserve">    Torsional moment = -10</t>
  </si>
  <si>
    <t xml:space="preserve">    Bending moment abt major axis = -155.17</t>
  </si>
  <si>
    <t xml:space="preserve">    Bending moment abt minor axis = -44.4</t>
  </si>
  <si>
    <t xml:space="preserve">    Length = 3000</t>
  </si>
  <si>
    <t xml:space="preserve">    Effective length factor abt Z-Z axis = 1</t>
  </si>
  <si>
    <t xml:space="preserve">    Effective length factor abt Y-Y axis = 1</t>
  </si>
  <si>
    <t xml:space="preserve">    Section Name = RHS300x200x8</t>
  </si>
  <si>
    <t xml:space="preserve">    Young's modulus = 210000</t>
  </si>
  <si>
    <t xml:space="preserve">    Ratio net area/gross area = .99</t>
  </si>
  <si>
    <t xml:space="preserve">    Section welding process = Submerge'''</t>
  </si>
  <si>
    <t xml:space="preserve">    def usedlib(section_head):</t>
  </si>
  <si>
    <t xml:space="preserve">        for i in range(len(lib_used[section_head])):</t>
  </si>
  <si>
    <t xml:space="preserve">            if lib_used['Name'][i] == Section_Name:</t>
  </si>
  <si>
    <t xml:space="preserve">                break</t>
  </si>
  <si>
    <t xml:space="preserve">        return i</t>
  </si>
  <si>
    <t xml:space="preserve">    class memberdesign_CFT:</t>
  </si>
  <si>
    <t xml:space="preserve">        # methods for the calculation of values which are not defined by the user</t>
  </si>
  <si>
    <t xml:space="preserve">        def KL(self):</t>
  </si>
  <si>
    <t xml:space="preserve">            return L * Kz,L * Ky</t>
  </si>
  <si>
    <t xml:space="preserve">        def values(self):</t>
  </si>
  <si>
    <t xml:space="preserve">            return lib_used['Depth/OD/D(mm)'][i],lib_used['Thk/T(mm)'][i],lib_used['Yield Strength/Fy(MPa)'][i],lib_used['Ultimate Strength/Fu(MPa)'][i]</t>
  </si>
  <si>
    <t xml:space="preserve">        def values1(self):</t>
  </si>
  <si>
    <t xml:space="preserve">            return Do - 2*t,lib_used['Area of C/S/A(cm2)'][i] * 10**2,lib_used['Mass/M(kg/m)'][i],lib_used['Moment of Inertia /Ix(cm4)'][i]*10**4</t>
  </si>
  <si>
    <t xml:space="preserve">        def values2(self):</t>
  </si>
  <si>
    <t xml:space="preserve">            return lib_used['Radius of Gyration /Rx(cm)'][i]*10,lib_used['Elastic Section Modulus/Zex(cm3)'][i]*10**3,lib_used['Plastic Section Modulus/Zpx(cm3)'][i]*10**3,lib_used['Beta'][i]</t>
  </si>
  <si>
    <t xml:space="preserve">        def values3(self):</t>
  </si>
  <si>
    <t xml:space="preserve">            t = weld_val*lib_used['Thk/T(mm)'][i]</t>
  </si>
  <si>
    <t xml:space="preserve">            As = math.pi/4*(Do**2-(Do-2*t)**2)</t>
  </si>
  <si>
    <t xml:space="preserve">            Ac = math.pi/4*Di**2</t>
  </si>
  <si>
    <t xml:space="preserve">            ratio = As/(As+Ac)*100</t>
  </si>
  <si>
    <t xml:space="preserve">            result = " As &gt;= 1% of (As+Ac), Section is permitted" if ratio &gt;= 0.01 else " As &lt; 1% of (As+Ac), Revise section"</t>
  </si>
  <si>
    <t xml:space="preserve">            status = "PASS" if ratio&gt;=0.01 else "FAIL"</t>
  </si>
  <si>
    <t xml:space="preserve">            return t,As,Ac,ratio,result,status</t>
  </si>
  <si>
    <t xml:space="preserve">        def sec_class(self):</t>
  </si>
  <si>
    <t xml:space="preserve">            λp = 0.09*E/fy</t>
  </si>
  <si>
    <t xml:space="preserve">            λr = 0.31*E/fy</t>
  </si>
  <si>
    <t xml:space="preserve">            λs = 0.31*E/fy</t>
  </si>
  <si>
    <t xml:space="preserve">            λ = Do/t</t>
  </si>
  <si>
    <t xml:space="preserve">            Class = 1 if λ&lt;=λp else (2 if λ&lt;=λr else (3 if λ&lt;=λs else 4))</t>
  </si>
  <si>
    <t xml:space="preserve">            Section_Name = "Compact" if Class&lt;=1 else ("Non-Compact" if Class&lt;=2 else ("Slender" if Class&lt;=3 else "Too slender"))</t>
  </si>
  <si>
    <t xml:space="preserve">            return λp,λr,λs,λ,Class,Section_Name</t>
  </si>
  <si>
    <t xml:space="preserve">        def desgintensilestrength(self):</t>
  </si>
  <si>
    <t xml:space="preserve">            Pn = ((fy*As)+(0*0))/10**3</t>
  </si>
  <si>
    <t xml:space="preserve">            φt_Pn = φt*Pn</t>
  </si>
  <si>
    <t xml:space="preserve">            d_c = 0 if P&lt;0 else abs(P/φt_Pn)</t>
  </si>
  <si>
    <t xml:space="preserve">            status = "NOT APPLICABLE" if P&lt;=0 else ("PASS" if d_c&lt;=1 else "FAIL")</t>
  </si>
  <si>
    <t xml:space="preserve">            return Pn,φt_Pn,d_c,status</t>
  </si>
  <si>
    <t xml:space="preserve">        def values4(self):</t>
  </si>
  <si>
    <t xml:space="preserve">            fck = lib_used['Concrete Grade'][i]</t>
  </si>
  <si>
    <t xml:space="preserve">            fc = 0.85*fck</t>
  </si>
  <si>
    <t xml:space="preserve">            wc = 2500</t>
  </si>
  <si>
    <t xml:space="preserve">            Ec = 0.043*wc**1.5*math.sqrt(fc)</t>
  </si>
  <si>
    <t xml:space="preserve">            return fck,fc,wc,Ec</t>
  </si>
  <si>
    <t xml:space="preserve">        def values5(self):</t>
  </si>
  <si>
    <t xml:space="preserve">            Ic = math.pi/64*(Do-2*t)**4</t>
  </si>
  <si>
    <t xml:space="preserve">            C2 = 0.95</t>
  </si>
  <si>
    <t xml:space="preserve">            Pp = ((fy*As)+(C2*fc*(Ac+Asr*E/Ec)))/10**3</t>
  </si>
  <si>
    <t xml:space="preserve">            Py = ((fy*As)+(0.7*fc*(Ac+Asr*E/Ec)))/10**3</t>
  </si>
  <si>
    <t xml:space="preserve">            return Ic,C2,Pp,Py</t>
  </si>
  <si>
    <t xml:space="preserve">        def values6(self):</t>
  </si>
  <si>
    <t xml:space="preserve">            Fcr = (0.72*fy)/(Do/t*fy/E)**0.2</t>
  </si>
  <si>
    <t xml:space="preserve">            Is = math.pi/64*(Do**4-(Do-2*t)**4)</t>
  </si>
  <si>
    <t xml:space="preserve">            C3 = min(0.6+(2*(As/(As+Ac))),0.9)</t>
  </si>
  <si>
    <t xml:space="preserve">            EIeff = (E*Is)+(E*Isr)+(C3*Ec*Ic)</t>
  </si>
  <si>
    <t xml:space="preserve">            return Fcr,Is,C3,EIeff</t>
  </si>
  <si>
    <t xml:space="preserve">        def values7(self):</t>
  </si>
  <si>
    <t xml:space="preserve">            Pe = ((math.pi**2*EIeff)/(max(KLz,KLy))**2)/10**3</t>
  </si>
  <si>
    <t xml:space="preserve">            Pno = Pp</t>
  </si>
  <si>
    <t xml:space="preserve">            Pno1 = (Pp - ((Pp - Py) * ((Do / t - 0.09*E/fy) / (0.31*E/fy - 0.09*E/fy)) ** 2))</t>
  </si>
  <si>
    <t xml:space="preserve">            Pno2 = ((Fcr * As) + (0.7 * fc * (Ac + Asr * E / Ec))) / 10 ** 3</t>
  </si>
  <si>
    <t xml:space="preserve">            Pno3 =  Pno if Class==1 else (Pno1 if Class==2 else (Pno2 if Class==3 else 0))</t>
  </si>
  <si>
    <t xml:space="preserve">            return Pe,Pno,Pno1,Pno2,Pno3</t>
  </si>
  <si>
    <t xml:space="preserve">        def values8(self):</t>
  </si>
  <si>
    <t xml:space="preserve">            Pno_Pe = Pno/Pe</t>
  </si>
  <si>
    <t xml:space="preserve">            Pn = (0.658**Pno_Pe)*Pno if Pno_Pe&lt;=2.25 and Class&lt;=2 else 0.877*Pe</t>
  </si>
  <si>
    <t xml:space="preserve">            φc_Pn = φc*Pn</t>
  </si>
  <si>
    <t xml:space="preserve">            d_c = abs(P / φc_Pn) if P &lt; 0 else 0</t>
  </si>
  <si>
    <t xml:space="preserve">            status = "PASS" if d_c &lt;= 1 else "FAIL"</t>
  </si>
  <si>
    <t xml:space="preserve">            return Pno_Pe,Pn,φc_Pn,d_c,status</t>
  </si>
  <si>
    <t xml:space="preserve">        def MNZY(self):</t>
  </si>
  <si>
    <t xml:space="preserve">            Zps = (Do**3-(Do-2*t)**3)/6</t>
  </si>
  <si>
    <t xml:space="preserve">            Zpc = ((Do-2*lib_used['Thk/T(mm)'][i])**3)/6</t>
  </si>
  <si>
    <t xml:space="preserve">            Ks = fy*((Do-t)/t)*t</t>
  </si>
  <si>
    <t xml:space="preserve">            Kc = fc*Di**2</t>
  </si>
  <si>
    <t xml:space="preserve">            θ = max((0.026*Kc-2*Ks)/(0.0848*Kc)+(math.sqrt(abs(((0.026*Kc)+(2*Ks))**2-(0.857*Kc*Ks)))/(0.0848*Kc)),0)</t>
  </si>
  <si>
    <t xml:space="preserve">            hn = max((Di/2)*math.sin((math.pi-θ)/2),Di/2)</t>
  </si>
  <si>
    <t xml:space="preserve">            ZsB = ((Do**3-Di**3)/6)*math.sin((math.pi-θ)/2)</t>
  </si>
  <si>
    <t xml:space="preserve">            ZcB = ((Di**3)/6)*math.sin((math.pi-θ)/2)</t>
  </si>
  <si>
    <t xml:space="preserve">            MD = ((fy*Zps)+(0.5*0.95*fc*Zpc))/10**6</t>
  </si>
  <si>
    <t xml:space="preserve">            Mp = ((fy*ZsB)+(0.5*0.95*fc*ZcB))/10**6</t>
  </si>
  <si>
    <t xml:space="preserve">            Mcr = Mp</t>
  </si>
  <si>
    <t xml:space="preserve">            Mn1 = min(MD,Mp)</t>
  </si>
  <si>
    <t xml:space="preserve">            Mn2 = Mn1-((MD-Mn1)*((λ-λp)/(λr-λp)))</t>
  </si>
  <si>
    <t xml:space="preserve">            Mn3 = min(Mp,Mcr)</t>
  </si>
  <si>
    <t xml:space="preserve">            Mn = Mn1 if Class==1 else (Mn2 if Class==2 else (Mn3 if Class==3 else 0))</t>
  </si>
  <si>
    <t xml:space="preserve">            φb_Mnz = φb*Mn</t>
  </si>
  <si>
    <t xml:space="preserve">            d_c = abs(Mz/ φb_Mnz)</t>
  </si>
  <si>
    <t xml:space="preserve">            φb_Mny = φb*Mn</t>
  </si>
  <si>
    <t xml:space="preserve">            d_c1 = abs(My / φb_Mny)</t>
  </si>
  <si>
    <t xml:space="preserve">            status1 = "PASS" if d_c1 &lt;= 1 else "FAIL"</t>
  </si>
  <si>
    <t xml:space="preserve">            return Zps,Zpc,Ks,Kc,θ,hn,ZsB,ZcB,MD,Mp,Mcr,Mn1,Mn2,Mn3,Mn,φb_Mnz,d_c,status,φb_Mny,d_c1,status1</t>
  </si>
  <si>
    <t xml:space="preserve">        def VNYZ(self):</t>
  </si>
  <si>
    <t xml:space="preserve">            Fcr2 = min((0.78*E)/λ**(3/2),0.6*fy)</t>
  </si>
  <si>
    <t xml:space="preserve">            Vn = Fcr2*As/2/1000</t>
  </si>
  <si>
    <t xml:space="preserve">            φv_Vnz = φv*Vn</t>
  </si>
  <si>
    <t xml:space="preserve">            d_c = abs(Vz/φv_Vnz)</t>
  </si>
  <si>
    <t xml:space="preserve">            φv_Vny = φv*Vn</t>
  </si>
  <si>
    <t xml:space="preserve">            d_c1 = abs(Vy / φv_Vny)</t>
  </si>
  <si>
    <t xml:space="preserve">            return Fcr2,Vn,φv_Vnz,d_c,status,φv_Vny,d_c1,status1</t>
  </si>
  <si>
    <t xml:space="preserve">        def values9(self):</t>
  </si>
  <si>
    <t xml:space="preserve">            Ct = (math.pi*(Do-t)**2*t)/2</t>
  </si>
  <si>
    <t xml:space="preserve">            Fcr3 = min((1.23*E)/(math.sqrt(max(KLz,KLy)/Do)*Do/t**(5/4)),0.6*fy)</t>
  </si>
  <si>
    <t xml:space="preserve">            Fcr4 = min((0.6*E)/(Do/t**(3/2)),0.6*fy)</t>
  </si>
  <si>
    <t xml:space="preserve">            Fcrt = max(Fcr3,Fcr4)</t>
  </si>
  <si>
    <t xml:space="preserve">            Tn = Fcrt*Ct/10**6</t>
  </si>
  <si>
    <t xml:space="preserve">            φT_Tn = φT*Tn</t>
  </si>
  <si>
    <t xml:space="preserve">            return Ct,Fcr3,Fcr4,Fcrt,Tn,φT_Tn</t>
  </si>
  <si>
    <t xml:space="preserve">        def values10(self):</t>
  </si>
  <si>
    <t xml:space="preserve">            Pc = φc_Pn if P&lt;=0 else φt_Pn</t>
  </si>
  <si>
    <t xml:space="preserve">            Mcz = φb_Mnz</t>
  </si>
  <si>
    <t xml:space="preserve">            Mcy = φb_Mny</t>
  </si>
  <si>
    <t xml:space="preserve">            Pr_Pc = abs(P)/Pc</t>
  </si>
  <si>
    <t xml:space="preserve">            IR_1 = (abs(P)/Pc)+8/9*(abs(Mz)/Mcz+abs(My)/Mcy) if Pr_Pc&gt;=0.2 else (abs(P)/(2*Pc))+(abs(Mz)/Mcz+abs(My)/Mcy)</t>
  </si>
  <si>
    <t xml:space="preserve">            status1 = "PASS" if IR_1 &lt;= 1 else "FAIL"</t>
  </si>
  <si>
    <t xml:space="preserve">            return Pc,Mcz,Mcy,Pr_Pc,IR_1,status1</t>
  </si>
  <si>
    <t xml:space="preserve">        def values11(self):</t>
  </si>
  <si>
    <t xml:space="preserve">            Vcy = φv_Vny</t>
  </si>
  <si>
    <t xml:space="preserve">            Vcz = φv_Vnz</t>
  </si>
  <si>
    <t xml:space="preserve">            Tc = φT_Tn</t>
  </si>
  <si>
    <t xml:space="preserve">            Tr_Tc = abs(T)/Tc</t>
  </si>
  <si>
    <t xml:space="preserve">            IR_2 = IR_1 if Tr_Tc&lt;=0.2 else abs(P)/(Pc)+(abs(Mz)/Mcz+abs(My)/Mcy)+(abs(Vy)/Vcy+abs(Vz)/Vcz+abs(T)/Tc)**2</t>
  </si>
  <si>
    <t xml:space="preserve">            status = "PASS" if IR_1 &lt;= 1 else "FAIL"</t>
  </si>
  <si>
    <t xml:space="preserve">            return Vcy,Vcz,Tc,Tr_Tc,IR_2,status</t>
  </si>
  <si>
    <t xml:space="preserve">        def BF(self):</t>
  </si>
  <si>
    <t xml:space="preserve">            return lib_used['Width/B(mm)'][i]</t>
  </si>
  <si>
    <t xml:space="preserve">        def values_1(self):</t>
  </si>
  <si>
    <t xml:space="preserve">            return lib_used['Area of C/S/A(cm2)'][i] * 10**2,lib_used['Mass/M(kg/m)'][i],lib_used['Beta'][i]</t>
  </si>
  <si>
    <t xml:space="preserve">        def values_2(self):</t>
  </si>
  <si>
    <t xml:space="preserve">            return lib_used['Moment of Inertia /Ix(cm4)'][i]*10**4,lib_used['Moment of Inertia /Iy(cm4)'][i]*10**4,lib_used['Radius of Gyration /Rx(cm)'][i]*10,lib_used['Radius of Gyration /Ry(cm)'][i]*10</t>
  </si>
  <si>
    <t xml:space="preserve">        def values_3(self):</t>
  </si>
  <si>
    <t xml:space="preserve">            return lib_used['Elastic Section Modulus/Zex(cm3)'][i]*10**3,lib_used['Elastic Section Modulus/Zey(cm3)'][i]*10**3,lib_used['Plastic Section Modulus/Zpx(cm3)'][i]*10**3,lib_used['Plastic Section Modulus/Zpy(cm3)'][i]*10**3</t>
  </si>
  <si>
    <t xml:space="preserve">        def values_4(self):</t>
  </si>
  <si>
    <t xml:space="preserve">            Tf = weld_val * lib_used['Thk/T(mm)'][i]</t>
  </si>
  <si>
    <t xml:space="preserve">            Tw = weld_val * lib_used['Thk/T(mm)'][i]</t>
  </si>
  <si>
    <t xml:space="preserve">            As = (2*Tf*((Bf-4*Tw)+(D-4*Tf)+3/2*math.pi*Tf))</t>
  </si>
  <si>
    <t xml:space="preserve">            Dc = (D-2*Tf)</t>
  </si>
  <si>
    <t xml:space="preserve">            Bc = (Bf-2*Tw)</t>
  </si>
  <si>
    <t xml:space="preserve">            Ac = Dc*Bc</t>
  </si>
  <si>
    <t xml:space="preserve">            return Tf,Tw,As,Dc,Bc,Ac,ratio,result,status</t>
  </si>
  <si>
    <t xml:space="preserve">        def values_5(self):</t>
  </si>
  <si>
    <t xml:space="preserve">            Icz = Bc*Dc**3/12</t>
  </si>
  <si>
    <t xml:space="preserve">            Icy = Dc*Bc**3/12</t>
  </si>
  <si>
    <t xml:space="preserve">            C2 = 1</t>
  </si>
  <si>
    <t xml:space="preserve">            return Icz,Icy,C2,Pp,Py</t>
  </si>
  <si>
    <t xml:space="preserve">        def values_6(self):</t>
  </si>
  <si>
    <t xml:space="preserve">            Fcrf = (9*E)/(Bf/Tf)**2</t>
  </si>
  <si>
    <t xml:space="preserve">            Fcrw = (9*E)/(D/Tw)**2</t>
  </si>
  <si>
    <t xml:space="preserve">            Fcr = min(Fcrf,Fcrw)</t>
  </si>
  <si>
    <t xml:space="preserve">            EIeffz = (E*Iz)+(E*Isrz)+(C3*Ec*Icz)</t>
  </si>
  <si>
    <t xml:space="preserve">            EIeffy = (E*Iy)+(E*Isry)+(C3*Ec*Icy)</t>
  </si>
  <si>
    <t xml:space="preserve">            return Fcrf,Fcrw,Fcr,C3,EIeffz,EIeffy</t>
  </si>
  <si>
    <t xml:space="preserve">        def values_7(self):</t>
  </si>
  <si>
    <t xml:space="preserve">            Pe_z = ((math.pi**2*EIeffz)/KLz**2)/10**3</t>
  </si>
  <si>
    <t xml:space="preserve">            Pe_y = ((math.pi**2*EIeffy)/KLy**2)/10**3</t>
  </si>
  <si>
    <t xml:space="preserve">            Pe = min(Pe_z,Pe_y)</t>
  </si>
  <si>
    <t xml:space="preserve">            Pno1 = (Pp - ((Pp - Py) * ((max(Bf/Tf,D/Tw) - 2.26*math.sqrt(E/fy)) / (3*math.sqrt(E/fy) - 2.26*math.sqrt(E/fy))) ** 2))</t>
  </si>
  <si>
    <t xml:space="preserve">            return Pe_z,Pe_y,Pe,Pno,Pno1,Pno2,Pno3</t>
  </si>
  <si>
    <t xml:space="preserve">        def values_8(self):</t>
  </si>
  <si>
    <t xml:space="preserve">            Zpc_z = Bc*Dc**2/4</t>
  </si>
  <si>
    <t xml:space="preserve">            Zpc_y = Dc*Bc**2/4</t>
  </si>
  <si>
    <t xml:space="preserve">            ap_z = ((2*fy*D*Tw)+(0.85*fc*Bc*Tf))/((4*Tw*fy)+(0.85*fc*Bc))</t>
  </si>
  <si>
    <t xml:space="preserve">            ap_z1 = ((2*fy*D*Tw)+(0.35*fc*Bc*Tf))/((4*Tw*fy)+(0.35*fc*Bc))</t>
  </si>
  <si>
    <t xml:space="preserve">            ap_z2 = ((fy*D*Tw)+((0.35*fc+fy-Fcrw)*Bc*Tf))/((Tw*(Fcrw+fy))+(0.35*fc*Bc))</t>
  </si>
  <si>
    <t xml:space="preserve">            ap_z3 = ap_z if Class==1 else (ap_z1 if Class==2 else (ap_z2 if Class==3 else 0))</t>
  </si>
  <si>
    <t xml:space="preserve">            return Zpc_z,Zpc_y,ap_z,ap_z1,ap_z2,ap_z3</t>
  </si>
  <si>
    <t xml:space="preserve">        def values_9(self):</t>
  </si>
  <si>
    <t xml:space="preserve">            ap_y = ((2 * fy * Bf * Tf) + (0.85 * fc * Dc * Tw)) / ((4 * Tf * fy) + (0.85 * fc * Dc))</t>
  </si>
  <si>
    <t xml:space="preserve">            ap_y1 = ((2 * fy * Bf * Tf) + (0.35 * fc * Dc * Tw)) / ((4 * Tf * fy) + (0.35 * fc * Dc))</t>
  </si>
  <si>
    <t xml:space="preserve">            ap_y2 = ((fy * Bf * Tf) + ((0.35 * fc + fy - Fcrw) * Dc * Tw)) / ((Tf * (Fcrw + fy)) + (0.35 * fc * Dc))</t>
  </si>
  <si>
    <t xml:space="preserve">            ap_y3 = ap_y if Class == 1 else (ap_y1 if Class == 2 else (ap_y2 if Class == 3 else 0))</t>
  </si>
  <si>
    <t xml:space="preserve">            return ap_y, ap_y1, ap_y2, ap_y3</t>
  </si>
  <si>
    <t xml:space="preserve">        def MNZY1(self):</t>
  </si>
  <si>
    <t xml:space="preserve">            φb_Mnz = φb*Sum</t>
  </si>
  <si>
    <t xml:space="preserve">            φb_Mny = φb*Sum1</t>
  </si>
  <si>
    <t xml:space="preserve">            return φb_Mnz,d_c,status,φb_Mny,d_c1,status1</t>
  </si>
  <si>
    <t xml:space="preserve">        def table_1(self):</t>
  </si>
  <si>
    <t xml:space="preserve">            Steel_Top_Flange_c = Bc*min(Tf,ap_z3)*(fy if Class&lt;=2 else (Fcrw if Class&lt;=3 else 0))/10**3*(ap_z3-min(lib_used['Thk/T(mm)'][i],ap_z3)/2)/10**3</t>
  </si>
  <si>
    <t xml:space="preserve">            Steel_Webs_c = 2*ap_z3*Tw*(fy if Class&lt;=1 else (0.5*fy if Class&lt;=2 else (Fcr if Class&lt;=3 else 0)))/10**3*(ap_z3/2 if Class&lt;=1 else (2/3*ap_z3 if Class&lt;=3 else 0))/10**3</t>
  </si>
  <si>
    <t xml:space="preserve">            Concrete_c = (Bc*max(ap_z3-Tf,0)*0.85*fc/10**3 if Class&lt;=1 else (0.5*Bc*max(ap_z3-Tf,0)*0.35*fc/10**3 if Class&lt;=3 else 0))*(max(ap_z3-Tf,0)/2 if Class&lt;=1 else (2/3*max(ap_z3-Tf,0) if Class&lt;=3 else 0))/10**3</t>
  </si>
  <si>
    <t xml:space="preserve">            Steel_Bottom_Flange_c = (0 if ap_z3&lt;=(D-lib_used['Thk/T(mm)'][i]) else Bc*(ap_z3-(D-lib_used['Thk/T(mm)'][i]))*fy/10**3)*(0 if ap_z3&lt;=(D-lib_used['Thk/T(mm)'][i]) else ap_z3-(ap_z3-(D-lib_used['Thk/T(mm)'][i]))/2)/10**3</t>
  </si>
  <si>
    <t xml:space="preserve">            Steel_Top_Flange_t = (0 if ap_z3&gt;=lib_used['Thk/T(mm)'][i] else Bc*(Tf-ap_z3)*(fy if Class&lt;=2 else (Fcrw if Class&lt;=3 else 0)/10**3))*(0 if ap_z3&gt;=lib_used['Thk/T(mm)'][i] else (Tf-ap_z3)/2)/10**3</t>
  </si>
  <si>
    <t xml:space="preserve">            Steel_Webs_Noncompact_t = (2*ap_z3*Tw*0.5*fy/10**3 if Class==2 else 0)*(2/3*ap_z3 if Class==2 else 0)/10**3</t>
  </si>
  <si>
    <t xml:space="preserve">            Steel_Webs_t = (2*(D-ap_z3)*Tw*fy/10**3 if Class&lt;=1 else (2*(D-2*ap_z3)*Tw*fy/10**3 if Class&lt;=2 else (2*(D-ap_z3)*Tw*0.5*fy/10**3 if Class&lt;=3 else 0)))*((D-ap_z3)/2 if Class&lt;=1 else (2/3*(D-2*ap_z3) if Class&lt;=3 else (2/3*(D-ap_z3) if Class&lt;=3 else 0)))/10**3</t>
  </si>
  <si>
    <t xml:space="preserve">            Steel_Bottom_Flange_t = Bc*min(lib_used['Thk/T(mm)'][i],D-ap_z3)*fy/10**3*(D-ap_z3-min(lib_used['Thk/T(mm)'][i],D-ap_z3)/2)/10**3</t>
  </si>
  <si>
    <t xml:space="preserve">            Sum = sum([Steel_Top_Flange_c,Steel_Webs_c,Concrete_c,Steel_Bottom_Flange_c,Steel_Top_Flange_t,Steel_Webs_Noncompact_t,Steel_Webs_t,Steel_Bottom_Flange_t])</t>
  </si>
  <si>
    <t xml:space="preserve">            return Steel_Top_Flange_c,Steel_Webs_c,Concrete_c,Steel_Bottom_Flange_c,Steel_Top_Flange_t,Steel_Webs_Noncompact_t,Steel_Webs_t,Steel_Bottom_Flange_t,Sum</t>
  </si>
  <si>
    <t xml:space="preserve">        def table_2(self):</t>
  </si>
  <si>
    <t xml:space="preserve">            Steel_Top_Flange_c = Dc * min(Tw, ap_y3) * (fy if Class &lt;= 2 else (Fcrw if Class &lt;= 3 else 0)) / 10 ** 3 * (</t>
  </si>
  <si>
    <t xml:space="preserve">                    ap_y3 - min(lib_used['Thk/T(mm)'][i], ap_y3) / 2) / 10 ** 3</t>
  </si>
  <si>
    <t xml:space="preserve">            Steel_Webs_c = 2 * ap_y3 * Tf * (</t>
  </si>
  <si>
    <t xml:space="preserve">                fy if Class &lt;= 1 else (0.5 * fy if Class &lt;= 2 else (Fcr if Class &lt;= 3 else 0))) / 10 ** 3 * (</t>
  </si>
  <si>
    <t xml:space="preserve">                               ap_y3 / 2 if Class &lt;= 1 else (2 / 3 * ap_y3 if Class &lt;= 3 else 0)) / 10 ** 3</t>
  </si>
  <si>
    <t xml:space="preserve">            </t>
  </si>
  <si>
    <t xml:space="preserve">            Concrete_c = (Dc * max(ap_y3 - Tw, 0) * 0.85 * fc / 10 ** 3 if Class &lt;= 1 else (</t>
  </si>
  <si>
    <t xml:space="preserve">                0.5 * Dc * max(ap_y3 - Tw, 0) * 0.35 * fc / 10 ** 3 if Class &lt;= 3 else 0)) * (</t>
  </si>
  <si>
    <t xml:space="preserve">                             max(ap_y3 - Tw, 0) / 2 if Class &lt;= 1 else (</t>
  </si>
  <si>
    <t xml:space="preserve">                                 2 / 3 * max(ap_y3 - Tw, 0) if Class &lt;= 3 else 0)) / 10 ** 3</t>
  </si>
  <si>
    <t xml:space="preserve">            Steel_Bottom_Flange_c = (0 if ap_y3 &lt;= (Bf - lib_used['Thk/T(mm)'][i]) else Dc * (</t>
  </si>
  <si>
    <t xml:space="preserve">                    ap_y3 - (Bf - lib_used['Thk/T(mm)'][i])) * fy / 10 ** 3) * (</t>
  </si>
  <si>
    <t xml:space="preserve">                                        0 if ap_y3 &lt;= (Bf - lib_used['Thk/T(mm)'][i]) else ap_y3 - (</t>
  </si>
  <si>
    <t xml:space="preserve">                                                ap_y3 - (Bf - lib_used['Thk/T(mm)'][i])) / 2) / 10 ** 3</t>
  </si>
  <si>
    <t xml:space="preserve">            Steel_Top_Flange_t = (0 if ap_y3 &gt;= lib_used['Thk/T(mm)'][i] else Dc * (Tw - ap_y3) * (</t>
  </si>
  <si>
    <t xml:space="preserve">                fy if Class &lt;= 2 else (Fcrw if Class &lt;= 3 else 0) / 10 ** 3)) * (</t>
  </si>
  <si>
    <t xml:space="preserve">            0 if ap_y3 &gt;= lib_used['Thk/T(mm)'][i] else (Tw - ap_y3) / 2) / 10 ** 3</t>
  </si>
  <si>
    <t xml:space="preserve">            Steel_Webs_Noncompact_t = (2 * ap_y3 * Tf * 0.5 * fy / 10 ** 3 if Class == 2 else 0) * (2 / 3 * ap_y3 if Class</t>
  </si>
  <si>
    <t xml:space="preserve">            == 2 else 0) / 10 ** 3</t>
  </si>
  <si>
    <t xml:space="preserve">            Steel_Webs_t = (2 * (Bf - ap_y3) * Tf * fy / 10 ** 3 if Class &lt;= 1 else (</t>
  </si>
  <si>
    <t xml:space="preserve">                2 * (Bf - 2 * ap_y3) * Tf * fy / 10 ** 3 if Class &lt;= 2 else (</t>
  </si>
  <si>
    <t xml:space="preserve">                    2 * (Bf - ap_y3) * Tf * 0.5 * fy / 10 ** 3 if Class &lt;= 3 else 0))) * (</t>
  </si>
  <si>
    <t xml:space="preserve">                             (Bf - ap_y3) / 2 if Class &lt;= 1 else (</t>
  </si>
  <si>
    <t xml:space="preserve">                                 2 / 3 * (Bf - 2 * ap_y3) if Class &lt;= 3 else (2 / 3 * (Bf-ap_y3)</t>
  </si>
  <si>
    <t xml:space="preserve">                                 if Class &lt;= 3 else 0))) / 10 ** 3</t>
  </si>
  <si>
    <t xml:space="preserve">            Steel_Bottom_Flange_t = Dc * min(lib_used['Thk/T(mm)'][i], Bf - ap_y3) * fy / 10 ** 3 * (</t>
  </si>
  <si>
    <t xml:space="preserve">            Bf - ap_y3 - min(lib_used['Thk/T(mm)'][i], Bf - ap_y3) / 2) / 10 ** 3</t>
  </si>
  <si>
    <t xml:space="preserve">            Sum = sum([Steel_Top_Flange_c, Steel_Webs_c, Concrete_c, Steel_Bottom_Flange_c, Steel_Top_Flange_t,</t>
  </si>
  <si>
    <t xml:space="preserve">                      Steel_Webs_Noncompact_t, Steel_Webs_t, Steel_Bottom_Flange_t])</t>
  </si>
  <si>
    <t xml:space="preserve">            return Steel_Top_Flange_c, Steel_Webs_c, Concrete_c, Steel_Bottom_Flange_c, Steel_Top_Flange_t, Steel_Webs_Noncompact_t, Steel_Webs_t, Steel_Bottom_Flange_t, Sum</t>
  </si>
  <si>
    <t xml:space="preserve">        def values_10(self):</t>
  </si>
  <si>
    <t xml:space="preserve">            h = D-3*lib_used['Thk/T(mm)'][i]</t>
  </si>
  <si>
    <t xml:space="preserve">            b = Bf-3*lib_used['Thk/T(mm)'][i]</t>
  </si>
  <si>
    <t xml:space="preserve">            kvy = 5</t>
  </si>
  <si>
    <t xml:space="preserve">            kvz =  1.2</t>
  </si>
  <si>
    <t xml:space="preserve">            shear_minor = math.sqrt(kvy*E/fy)</t>
  </si>
  <si>
    <t xml:space="preserve">            shear_major = math.sqrt(kvz*E/fy)</t>
  </si>
  <si>
    <t xml:space="preserve">            h_Tw = h/Tw</t>
  </si>
  <si>
    <t xml:space="preserve">            b_Tf = b/Tf</t>
  </si>
  <si>
    <t xml:space="preserve">            return h,b,kvy,kvz,shear_minor,shear_major,h_Tw,b_Tf</t>
  </si>
  <si>
    <t xml:space="preserve">        def values_11(self):</t>
  </si>
  <si>
    <t xml:space="preserve">            Cvy = 1 if h_Tw&lt;=(1.1*shear_minor) else ((1.1*shear_minor)/h_Tw if h_Tw&lt;=(1.37*shear_minor) else (1.51*E*kvy)/(h_Tw**2*fy))</t>
  </si>
  <si>
    <t xml:space="preserve">            Cvz = 1 if b_Tf&lt;=(1.1*shear_major) else ((1.1*shear_major)/b_Tf if b_Tf&lt;=(1.37*shear_major) else (1.51*E*kvz)/(b_Tf**2*fy))</t>
  </si>
  <si>
    <t xml:space="preserve">            Aw = 2*h*Tw</t>
  </si>
  <si>
    <t xml:space="preserve">            Af = 2*b*Tf</t>
  </si>
  <si>
    <t xml:space="preserve">            Vny = 0.6*fy*Aw*Cvy/10**3</t>
  </si>
  <si>
    <t xml:space="preserve">            Vnz = 0.6*fy*Af*Cvz/10**3</t>
  </si>
  <si>
    <t xml:space="preserve">            φv_Vny = φv*Vny</t>
  </si>
  <si>
    <t xml:space="preserve">            d_c = abs(Vy / φv_Vny)</t>
  </si>
  <si>
    <t xml:space="preserve">            φv_Vnz = φv*Vnz</t>
  </si>
  <si>
    <t xml:space="preserve">            d_c1 = abs(Vz / φv_Vnz)</t>
  </si>
  <si>
    <t xml:space="preserve">            status1 = "PASS" if d_c &lt;= 1 else "FAIL"</t>
  </si>
  <si>
    <t xml:space="preserve">            return Cvy,Cvz,Aw,Af,Vny,Vnz,φv_Vny,d_c,status,φv_Vnz,d_c1,status1</t>
  </si>
  <si>
    <t xml:space="preserve">        def values_12(self):</t>
  </si>
  <si>
    <t xml:space="preserve">            Ct = (2*(Bf-Tf)*(D-Tw)*min(Tf,Tw))-(4.5*(4-math.pi)*min(Tf,Tw)**3)</t>
  </si>
  <si>
    <t xml:space="preserve">            ratio = math.sqrt(E/fy)</t>
  </si>
  <si>
    <t xml:space="preserve">            Fcrt = 0.6*fy if h_Tw&lt;=(2.45*ratio) else ((0.6*fy*(2.45*ratio))/h_Tw if h_Tw&lt;=(3.07*ratio) else ((0.458*math.pi**2*E)/h_Tw**2 if h_Tw&lt;=260 else 0))</t>
  </si>
  <si>
    <t xml:space="preserve">            return Ct,ratio,Fcrt,Tn,φT_Tn</t>
  </si>
  <si>
    <t xml:space="preserve">        def sec_class1(self):</t>
  </si>
  <si>
    <t xml:space="preserve">            λp = 2.26*math.sqrt(E/fy)</t>
  </si>
  <si>
    <t xml:space="preserve">            λr = 3*math.sqrt(E/fy)</t>
  </si>
  <si>
    <t xml:space="preserve">            λs = 5*math.sqrt(E/fy)</t>
  </si>
  <si>
    <t xml:space="preserve">            b_tf = Bf/Tf</t>
  </si>
  <si>
    <t xml:space="preserve">            h_tw = D/Tw</t>
  </si>
  <si>
    <t xml:space="preserve">            λ = max(b_tf,h_tw)</t>
  </si>
  <si>
    <t xml:space="preserve">            Class = 1 if λ &lt;= λp else (2 if λ &lt;= λr else (3 if λ &lt;= λs else 4))</t>
  </si>
  <si>
    <t xml:space="preserve">            Section_Name = "Compact" if Class &lt;= 1 else (</t>
  </si>
  <si>
    <t xml:space="preserve">                "Non-Compact" if Class &lt;= 2 else ("Slender" if Class &lt;= 3 else "Too slender"))</t>
  </si>
  <si>
    <t xml:space="preserve">            return λp, λr, λs,b_tf,h_tw, λ, Class, Section_Name</t>
  </si>
  <si>
    <t xml:space="preserve">    # CFT-CHS values are stored in the variables by calling the functions</t>
  </si>
  <si>
    <t xml:space="preserve">    if Section_Name.startswith('NB'):</t>
  </si>
  <si>
    <t xml:space="preserve">        lib_used = NB_LIB</t>
  </si>
  <si>
    <t xml:space="preserve">        i = usedlib('Name')</t>
  </si>
  <si>
    <t xml:space="preserve">        chs_cft = memberdesign_CFT()</t>
  </si>
  <si>
    <t xml:space="preserve">        KLz,KLy = chs_cft.KL()</t>
  </si>
  <si>
    <t xml:space="preserve">        Do,t,fy,fu = chs_cft.values()</t>
  </si>
  <si>
    <t xml:space="preserve">        Di,A,W,I = chs_cft.values1()</t>
  </si>
  <si>
    <t xml:space="preserve">        r,Ze,Zp,βs = chs_cft.values2()</t>
  </si>
  <si>
    <t xml:space="preserve">        t, As, Ac, ratio, result, status = chs_cft.values3()</t>
  </si>
  <si>
    <t xml:space="preserve">        λp, λr, λs, λ, Class, Section_Name = chs_cft.sec_class() #change in RHS</t>
  </si>
  <si>
    <t xml:space="preserve">        Pnt,φt_Pn, d_c0, status0 = chs_cft.desgintensilestrength()</t>
  </si>
  <si>
    <t xml:space="preserve">        fck, fc, wc, Ec = chs_cft.values4()</t>
  </si>
  <si>
    <t xml:space="preserve">        Fsr=Asr=Isr=0</t>
  </si>
  <si>
    <t xml:space="preserve">        Ic, C2, Pp, Py = chs_cft.values5()</t>
  </si>
  <si>
    <t xml:space="preserve">        Fcr, Is, C3, EIeff = chs_cft.values6()</t>
  </si>
  <si>
    <t xml:space="preserve">        Pe, Pno, Pno1, Pno2,Pno3 = chs_cft.values7()</t>
  </si>
  <si>
    <t xml:space="preserve">        Pno_Pe, Pn, φc_Pn, d_c, status = chs_cft.values8()</t>
  </si>
  <si>
    <t xml:space="preserve">        Zps, Zpc, Ks, Kc, θ, hn, ZsB, ZcB, MD, Mp, Mcr, Mn1, Mn2, Mn3, Mn,φb_Mnz, d_c1, status1, φb_Mny, d_c2, status2 = chs_cft.MNZY()</t>
  </si>
  <si>
    <t xml:space="preserve">        Fcr2, Vn,φv_Vnz, d_c4, status4, φv_Vny, d_c3, status3 = chs_cft.VNYZ()</t>
  </si>
  <si>
    <t xml:space="preserve">        Ct, Fcr3, Fcr4, Fcrt,Tn,φT_Tn = chs_cft.values9()</t>
  </si>
  <si>
    <t xml:space="preserve">        Pc, Mcz, Mcy, Pr_Pc, IR_1, status5 = chs_cft.values10()</t>
  </si>
  <si>
    <t xml:space="preserve">        Vcy, Vcz, Tc, Tr_Tc, IR_2, status6 = chs_cft.values11()</t>
  </si>
  <si>
    <t xml:space="preserve">        print(KLz,KLy,'\n',Do,t,fy,fu,'\n',Di,A,W,I,'\n',r,Ze,Zp,βs,'\n',t, As, Ac, ratio, result, status,'\n',λp, λr, λs, λ, Class, Section_Name,'\n',</t>
  </si>
  <si>
    <t xml:space="preserve">        Pnt,φt_Pn, d_c0, status0,'\n',fck, fc, wc, Ec,'\n',Fsr,Asr,Isr,'\n',Ic, C2, Pp, Py,'\n',Fcr, Is, C3, EIeff,Pe, Pno, Pno1, Pno2,Pno3,'\n',</t>
  </si>
  <si>
    <t xml:space="preserve">        Pno_Pe, Pn, φc_Pn, d_c, status,'\n',Zps, Zpc, Ks, Kc, θ, hn, ZsB, ZcB, MD, Mp, Mcr, Mn1, Mn2, Mn3, Mn,φb_Mnz, d_c1, status1, φb_Mny, d_c2, status2,'\n',</t>
  </si>
  <si>
    <t xml:space="preserve">        Fcr2, Vn,φv_Vnz, d_c4, status4, φv_Vny, d_c3, status3,'\n', Ct, Fcr3, Fcr4, Fcrt,Tn,φT_Tn,'\n',</t>
  </si>
  <si>
    <t xml:space="preserve">        Pc, Mcz, Mcy, Pr_Pc, IR_1, status5,'\n',Vcy, Vcz, Tc, Tr_Tc, IR_2, status6)</t>
  </si>
  <si>
    <t xml:space="preserve">    # CFT-RHS values are stored in the variables by calling the functions</t>
  </si>
  <si>
    <t xml:space="preserve">    elif Section_Name.startswith('RHS'):</t>
  </si>
  <si>
    <t xml:space="preserve">        lib_used = RHS_LIB</t>
  </si>
  <si>
    <t xml:space="preserve">        RHS_cft = memberdesign_CFT()</t>
  </si>
  <si>
    <t xml:space="preserve">        KLz,KLy = RHS_cft.KL()</t>
  </si>
  <si>
    <t xml:space="preserve">        Bf = RHS_cft.BF()</t>
  </si>
  <si>
    <t xml:space="preserve">        D,Tf,fy,fu = RHS_cft.values()</t>
  </si>
  <si>
    <t xml:space="preserve">        Tw = Tf</t>
  </si>
  <si>
    <t xml:space="preserve">        A, W, βs = RHS_cft.values_1()</t>
  </si>
  <si>
    <t xml:space="preserve">        Iz, Iy, rz, ry = RHS_cft.values_2()</t>
  </si>
  <si>
    <t xml:space="preserve">        Zez, Zey, Zpz, Zpy = RHS_cft.values_3()</t>
  </si>
  <si>
    <t xml:space="preserve">        Tf, Tw, As, Dc, Bc, Ac, ratio_0, result, status_0 = RHS_cft.values_4()</t>
  </si>
  <si>
    <t xml:space="preserve">        λp, λr, λs, b_tf, h_tw, λ, Class, Section_Name = RHS_cft.sec_class1()</t>
  </si>
  <si>
    <t xml:space="preserve">        Pnt,φt_Pn, d_c0, status0 = RHS_cft.desgintensilestrength()</t>
  </si>
  <si>
    <t xml:space="preserve">        fck, fc, wc, Ec = RHS_cft.values4()</t>
  </si>
  <si>
    <t xml:space="preserve">        Fsr = Asr = Isrz = Isry = 0</t>
  </si>
  <si>
    <t xml:space="preserve">        Icz, Icy, C2, Pp, Py = RHS_cft.values_5()</t>
  </si>
  <si>
    <t xml:space="preserve">        Fcrf, Fcrw, Fcr, C3, EIeffz, EIeffy= RHS_cft.values_6()</t>
  </si>
  <si>
    <t xml:space="preserve">        Pe_z, Pe_y, Pe, Pno, Pno1, Pno2, Pno3 = RHS_cft.values_7()</t>
  </si>
  <si>
    <t xml:space="preserve">        Pno_Pe, Pn, φc_Pn, d_c, status = RHS_cft.values8()</t>
  </si>
  <si>
    <t xml:space="preserve">        Zpc_z, Zpc_y, ap_z, ap_z1, ap_z2, ap_z3= RHS_cft.values_8()</t>
  </si>
  <si>
    <t xml:space="preserve">        ap_y, ap_y1, ap_y2, ap_y3 = RHS_cft.values_9()</t>
  </si>
  <si>
    <t xml:space="preserve">        Steel_Top_Flange_c, Steel_Webs_c, Concrete_c, Steel_Bottom_Flange_c, Steel_Top_Flange_t, Steel_Webs_Noncompact_t, Steel_Webs_t, Steel_Bottom_Flange_t,Sum = RHS_cft.table_1()</t>
  </si>
  <si>
    <t xml:space="preserve">        Steel_Top_Flange_c1, Steel_Webs_c1, Concrete_c1, Steel_Bottom_Flange_c1, Steel_Top_Flange_t1, Steel_Webs_Noncompact_t1, Steel_Webs_t1, Steel_Bottom_Flange_t1,Sum1 = RHS_cft.table_2()</t>
  </si>
  <si>
    <t xml:space="preserve">        φb_Mnz, d_c1, status1, φb_Mny, d_c2, status2 = RHS_cft.MNZY1()</t>
  </si>
  <si>
    <t xml:space="preserve">        h, b, kvy, kvz, shear_minor, shear_major,h_Tw,b_Tf = RHS_cft.values_10()</t>
  </si>
  <si>
    <t xml:space="preserve">        Cvy, Cvz, Aw, Af, Vny, Vnz, φv_Vny, d_c3, status3, φv_Vnz, d_c4, status4 = RHS_cft.values_11()</t>
  </si>
  <si>
    <t xml:space="preserve">        Ct, ratio, Fcrt, Tn, φT_Tn = RHS_cft.values_12()</t>
  </si>
  <si>
    <t xml:space="preserve">        Pc, Mcz, Mcy, Pr_Pc, IR_1, status5 = RHS_cft.values10()</t>
  </si>
  <si>
    <t xml:space="preserve">        Vcy, Vcz, Tc, Tr_Tc, IR_2, status6 = RHS_cft.values11()</t>
  </si>
  <si>
    <t xml:space="preserve">        print(KLz,KLy,'\n',</t>
  </si>
  <si>
    <t xml:space="preserve">        Bf,'\n',</t>
  </si>
  <si>
    <t xml:space="preserve">        D,Tf,fy,fu,'\n',</t>
  </si>
  <si>
    <t xml:space="preserve">        Tw,'\n',</t>
  </si>
  <si>
    <t xml:space="preserve">        A, W, βs,'\n',</t>
  </si>
  <si>
    <t xml:space="preserve">        Iz, Iy, rz, ry,'\n',</t>
  </si>
  <si>
    <t xml:space="preserve">        Zez, Zey, Zpz, Zpy,'\n',</t>
  </si>
  <si>
    <t xml:space="preserve">        Tf, Tw, As, Dc, Bc, Ac, ratio, result, status ,'\n',</t>
  </si>
  <si>
    <t xml:space="preserve">        λp, λr, λs, b_tf, h_tw, λ, Class, Section_Name ,'\n',</t>
  </si>
  <si>
    <t xml:space="preserve">        Pnt,φt_Pn, d_c0, status0,'\n',</t>
  </si>
  <si>
    <t xml:space="preserve">        fck, fc, wc, Ec,'\n',</t>
  </si>
  <si>
    <t xml:space="preserve">        Fsr ,Asr , Isrz , Isry,'\n',</t>
  </si>
  <si>
    <t xml:space="preserve">        Icz, Icy, C2, Pp, Py,'\n',</t>
  </si>
  <si>
    <t xml:space="preserve">        Fcrf, Fcrw, Fcr, C3, EIeffz, EIeffy,'\n',</t>
  </si>
  <si>
    <t xml:space="preserve">        Pe_z, Pe_y, Pe, Pno, Pno1, Pno2, Pno3,'\n',</t>
  </si>
  <si>
    <t xml:space="preserve">        Pno_Pe, Pn, φc_Pn, d_c, status,'\n',</t>
  </si>
  <si>
    <t xml:space="preserve">        Zpc_z, Zpc_y, ap_z, ap_z1, ap_z2, ap_z3,'\n',</t>
  </si>
  <si>
    <t xml:space="preserve">        ap_y, ap_y1, ap_y2, ap_y3,'\n',</t>
  </si>
  <si>
    <t xml:space="preserve">        Steel_Top_Flange_c, Steel_Webs_c, Concrete_c, Steel_Bottom_Flange_c, Steel_Top_Flange_t, Steel_Webs_Noncompact_t, Steel_Webs_t, Steel_Bottom_Flange_t,Sum,'\n',</t>
  </si>
  <si>
    <t xml:space="preserve">        Steel_Top_Flange_c1, Steel_Webs_c1, Concrete_c1, Steel_Bottom_Flange_c1, Steel_Top_Flange_t1, Steel_Webs_Noncompact_t1, Steel_Webs_t1, Steel_Bottom_Flange_t1,Sum1,'\n',</t>
  </si>
  <si>
    <t xml:space="preserve">        φb_Mnz, d_c1, status1, φb_Mny, d_c2, status2,'\n',</t>
  </si>
  <si>
    <t xml:space="preserve">        h, b, kvy, kvz, shear_minor, shear_major,h_Tw,b_Tf,'\n',</t>
  </si>
  <si>
    <t xml:space="preserve">        Cvy, Cvz, Aw, Af, Vny, Vnz, φv_Vny, d_c3, status3, φv_Vnz, d_c4, status4,'\n',</t>
  </si>
  <si>
    <t xml:space="preserve">        Ct, ratio, Fcrt, Tn, φT_Tn,'\n',</t>
  </si>
  <si>
    <t xml:space="preserve">        Pc, Mcz, Mcy, Pr_Pc, IR_1, status5,'\n',</t>
  </si>
  <si>
    <t xml:space="preserve">        Vcy, Vcz, Tc, Tr_Tc, IR_2, status6)</t>
  </si>
  <si>
    <t xml:space="preserve">    Member_No_list.append(Member_No)</t>
  </si>
  <si>
    <t xml:space="preserve">    Section_Name_list.append(Section_Name)</t>
  </si>
  <si>
    <t xml:space="preserve">    Design_tensile_strength_Td.append(φt_Pn)</t>
  </si>
  <si>
    <t xml:space="preserve">    Td_D_C.append(d_c0)</t>
  </si>
  <si>
    <t xml:space="preserve">    Td_status.append(status0)</t>
  </si>
  <si>
    <t xml:space="preserve">    Design_compressive_strength_Pd.append(φc_Pn)</t>
  </si>
  <si>
    <t xml:space="preserve">    Pd_D_C.append(d_c)</t>
  </si>
  <si>
    <t xml:space="preserve">    Pd_status.append(status)</t>
  </si>
  <si>
    <t xml:space="preserve">    Design_bending_strength_abt_major_axis_Mdz.append(φb_Mnz)</t>
  </si>
  <si>
    <t xml:space="preserve">    Mdz_D_C.append(d_c1)</t>
  </si>
  <si>
    <t xml:space="preserve">    Mdz_status.append(status1)</t>
  </si>
  <si>
    <t xml:space="preserve">    Design_bending_strength_abt_minor_axis_Mdy.append(φb_Mny)</t>
  </si>
  <si>
    <t xml:space="preserve">    Mdy_D_C.append(d_c2)</t>
  </si>
  <si>
    <t xml:space="preserve">    Mdy_status.append(status2)</t>
  </si>
  <si>
    <t xml:space="preserve">    Design_shear_strength_along_minor_axis_Vdy.append(φv_Vny)</t>
  </si>
  <si>
    <t xml:space="preserve">    Vdy_D_C.append(d_c3)</t>
  </si>
  <si>
    <t xml:space="preserve">    Vdy_status.append(status3)</t>
  </si>
  <si>
    <t xml:space="preserve">    Design_shear_strength_along_major_axis_Vdz.append(φv_Vnz)</t>
  </si>
  <si>
    <t xml:space="preserve">    Vdz_D_C.append(d_c4)</t>
  </si>
  <si>
    <t xml:space="preserve">    Vdz_status.append(status4)</t>
  </si>
  <si>
    <t xml:space="preserve">    Design_torsional_capacity.append(φT_Tn)</t>
  </si>
  <si>
    <t xml:space="preserve">    Interaction_ratio_IR1.append(IR_1)</t>
  </si>
  <si>
    <t xml:space="preserve">    IR1_status.append(status5)</t>
  </si>
  <si>
    <t xml:space="preserve">    Interaction_ratio_IR2.append(IR_2)</t>
  </si>
  <si>
    <t xml:space="preserve">    IR2_status.append(status6)</t>
  </si>
  <si>
    <t># excel output</t>
  </si>
  <si>
    <t>df2 = pd.DataFrame(</t>
  </si>
  <si>
    <t xml:space="preserve">    {'Member No.': Member_No_list, 'Section Name': Section_Name_list, 'φt_Pn(kN)': Design_tensile_strength_Td,</t>
  </si>
  <si>
    <t xml:space="preserve">     'φt_Pn D/C': Td_D_C, 'φt_Pn status': Td_status, 'φc_Pn(kN)': Design_compressive_strength_Pd, 'φc_Pn D/C': Pd_D_C,</t>
  </si>
  <si>
    <t xml:space="preserve">     'φc_Pn status': Pd_status,</t>
  </si>
  <si>
    <t xml:space="preserve">     'φb_Mnz(kNm)': Design_bending_strength_abt_major_axis_Mdz, 'φb_Mnz D/C': Mdz_D_C, 'φb_Mnz status': Mdz_status,</t>
  </si>
  <si>
    <t xml:space="preserve">     'φb_Mny(kNm)': Design_bending_strength_abt_minor_axis_Mdy, 'φb_Mny D/C': Mdy_D_C, 'φb_Mny status': Mdy_status,</t>
  </si>
  <si>
    <t xml:space="preserve">     'φv_Vny(kN)': Design_shear_strength_along_minor_axis_Vdy, 'φv_Vny D/C': Vdy_D_C, 'φv_Vny status': Vdy_status,</t>
  </si>
  <si>
    <t xml:space="preserve">     'φv_Vnz(kN)': Design_shear_strength_along_major_axis_Vdz, 'φv_Vnz D/C': Vdz_D_C, 'φv_Vnz status': Vdz_status,</t>
  </si>
  <si>
    <t xml:space="preserve">     'φT Tn(kNm)':Design_torsional_capacity,'IR1': Interaction_ratio_IR1, 'IR1 status': IR1_status, 'IR2': Interaction_ratio_IR2,</t>
  </si>
  <si>
    <t xml:space="preserve">     'IR2 status': IR2_status})</t>
  </si>
  <si>
    <t>df2.to_excel(fpath4 + r'/output.xlsx', index=False)  # path can be defined for file storage</t>
  </si>
  <si>
    <t>Tension Capacity (kN)</t>
  </si>
  <si>
    <t>Compression Capacity (kN)</t>
  </si>
  <si>
    <t>Maj BM Capacity (kNm)</t>
  </si>
  <si>
    <t>Min BM Capacity (kNm)</t>
  </si>
  <si>
    <t>Maj V Capacity (kN)</t>
  </si>
  <si>
    <t>Min V Capacity (kN)</t>
  </si>
  <si>
    <t>M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</si>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</sst>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 * #,##0.00_ ;_ * \-#,##0.00_ ;_ * &quot;-&quot;??_ ;_ @_ "/>
    <numFmt numFmtId="164" formatCode="_ * #,##0_ ;_ * \-#,##0_ ;_ * &quot;-&quot;??_ ;_ @_ "/>
    <numFmt numFmtId="165" formatCode="_ * #,##0.0_ ;_ * \-#,##0.0_ ;_ * &quot;-&quot;??_ ;_ @_ "/>
    <numFmt numFmtId="166" formatCode="_ * #,##0.000_ ;_ * \-#,##0.000_ ;_ * &quot;-&quot;??_ ;_ @_ "/>
    <numFmt numFmtId="167" formatCode="0.000"/>
    <numFmt numFmtId="168" formatCode="0.0"/>
    <numFmt numFmtId="169" formatCode="&quot;M&quot;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8"/>
      <name val="Arial"/>
      <family val="2"/>
    </font>
    <font>
      <b/>
      <sz val="8"/>
      <name val="Arial"/>
      <family val="2"/>
    </font>
    <font>
      <vertAlign val="superscript"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FF0000"/>
      <name val="Arial"/>
      <family val="2"/>
    </font>
    <font>
      <b/>
      <vertAlign val="subscript"/>
      <sz val="11"/>
      <color theme="1"/>
      <name val="Calibri"/>
      <family val="2"/>
      <scheme val="minor"/>
    </font>
    <font>
      <sz val="11"/>
      <name val="Times New Roman"/>
      <family val="1"/>
    </font>
    <font>
      <vertAlign val="subscript"/>
      <sz val="11"/>
      <name val="Calibri"/>
      <family val="2"/>
      <scheme val="minor"/>
    </font>
    <font>
      <sz val="11"/>
      <name val="Calibri"/>
      <family val="2"/>
    </font>
    <font>
      <vertAlign val="subscript"/>
      <sz val="11"/>
      <name val="Times New Roman"/>
      <family val="1"/>
    </font>
    <font>
      <sz val="11"/>
      <color rgb="FFFF0000"/>
      <name val="Calibri"/>
      <family val="2"/>
      <scheme val="minor"/>
    </font>
    <font>
      <b/>
      <vertAlign val="superscript"/>
      <sz val="8"/>
      <color rgb="FFFF0000"/>
      <name val="Arial"/>
      <family val="2"/>
    </font>
    <font>
      <b/>
      <sz val="8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theme="4" tint="0.59999389629810485"/>
      </patternFill>
    </fill>
    <fill>
      <patternFill patternType="solid">
        <fgColor theme="9" tint="0.59999389629810485"/>
        <bgColor theme="4" tint="0.79998168889431442"/>
      </patternFill>
    </fill>
    <fill>
      <patternFill patternType="solid">
        <fgColor theme="2" tint="-0.249977111117893"/>
        <bgColor theme="4" tint="0.79998168889431442"/>
      </patternFill>
    </fill>
    <fill>
      <patternFill patternType="solid">
        <fgColor theme="2" tint="-0.249977111117893"/>
        <bgColor theme="4" tint="0.59999389629810485"/>
      </patternFill>
    </fill>
    <fill>
      <patternFill patternType="solid">
        <fgColor theme="7" tint="0.59999389629810485"/>
        <bgColor theme="4" tint="0.59999389629810485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theme="6" tint="0.59999389629810485"/>
        <bgColor theme="4" tint="0.79998168889431442"/>
      </patternFill>
    </fill>
    <fill>
      <patternFill patternType="solid">
        <fgColor theme="6" tint="0.59999389629810485"/>
        <bgColor theme="4" tint="0.59999389629810485"/>
      </patternFill>
    </fill>
    <fill>
      <patternFill patternType="solid">
        <fgColor theme="5" tint="0.59999389629810485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</cellStyleXfs>
  <cellXfs count="364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7" xfId="0" applyBorder="1" applyAlignment="1">
      <alignment horizontal="right" vertical="center"/>
    </xf>
    <xf numFmtId="0" fontId="0" fillId="0" borderId="6" xfId="0" applyBorder="1" applyAlignment="1">
      <alignment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vertical="center"/>
    </xf>
    <xf numFmtId="0" fontId="0" fillId="0" borderId="9" xfId="0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7" xfId="0" applyBorder="1" applyAlignment="1">
      <alignment horizontal="right" vertical="center" wrapText="1"/>
    </xf>
    <xf numFmtId="0" fontId="0" fillId="0" borderId="0" xfId="0" applyFont="1" applyBorder="1" applyAlignment="1">
      <alignment vertical="center"/>
    </xf>
    <xf numFmtId="0" fontId="0" fillId="0" borderId="7" xfId="0" applyFont="1" applyBorder="1" applyAlignment="1">
      <alignment horizontal="right" vertical="center"/>
    </xf>
    <xf numFmtId="0" fontId="0" fillId="0" borderId="0" xfId="0" applyFont="1" applyAlignment="1">
      <alignment vertical="center"/>
    </xf>
    <xf numFmtId="0" fontId="0" fillId="0" borderId="6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0" fillId="0" borderId="0" xfId="0" applyBorder="1" applyAlignment="1">
      <alignment horizontal="left" vertical="center" wrapText="1" indent="3"/>
    </xf>
    <xf numFmtId="43" fontId="0" fillId="0" borderId="0" xfId="1" applyFont="1" applyBorder="1" applyAlignment="1">
      <alignment horizontal="right" vertical="center"/>
    </xf>
    <xf numFmtId="0" fontId="2" fillId="4" borderId="0" xfId="0" applyFont="1" applyFill="1" applyBorder="1" applyAlignment="1">
      <alignment vertical="center"/>
    </xf>
    <xf numFmtId="43" fontId="2" fillId="0" borderId="0" xfId="1" applyFont="1" applyBorder="1" applyAlignment="1">
      <alignment horizontal="right" vertical="center"/>
    </xf>
    <xf numFmtId="0" fontId="0" fillId="0" borderId="6" xfId="0" applyFill="1" applyBorder="1" applyAlignment="1">
      <alignment vertical="center"/>
    </xf>
    <xf numFmtId="43" fontId="0" fillId="0" borderId="0" xfId="0" applyNumberFormat="1" applyAlignment="1">
      <alignment vertical="center"/>
    </xf>
    <xf numFmtId="0" fontId="2" fillId="0" borderId="0" xfId="0" applyFont="1" applyBorder="1" applyAlignment="1">
      <alignment horizontal="right" vertical="center"/>
    </xf>
    <xf numFmtId="2" fontId="0" fillId="0" borderId="0" xfId="0" applyNumberFormat="1" applyAlignment="1">
      <alignment vertical="center"/>
    </xf>
    <xf numFmtId="165" fontId="0" fillId="0" borderId="0" xfId="1" applyNumberFormat="1" applyFont="1" applyAlignment="1">
      <alignment vertical="center"/>
    </xf>
    <xf numFmtId="43" fontId="3" fillId="2" borderId="0" xfId="1" applyFont="1" applyFill="1" applyBorder="1" applyAlignment="1">
      <alignment horizontal="right" vertical="center"/>
    </xf>
    <xf numFmtId="0" fontId="2" fillId="0" borderId="6" xfId="0" applyFont="1" applyBorder="1" applyAlignment="1">
      <alignment vertical="center"/>
    </xf>
    <xf numFmtId="0" fontId="0" fillId="0" borderId="0" xfId="0" applyBorder="1" applyAlignment="1">
      <alignment horizontal="left" vertical="center" wrapText="1" indent="2"/>
    </xf>
    <xf numFmtId="9" fontId="0" fillId="0" borderId="0" xfId="2" applyFont="1" applyAlignme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3" fillId="2" borderId="0" xfId="0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2" fontId="3" fillId="2" borderId="0" xfId="0" applyNumberFormat="1" applyFont="1" applyFill="1" applyBorder="1" applyAlignment="1">
      <alignment horizontal="right" vertical="center"/>
    </xf>
    <xf numFmtId="164" fontId="0" fillId="0" borderId="0" xfId="1" applyNumberFormat="1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43" fontId="1" fillId="0" borderId="0" xfId="1" applyFont="1" applyBorder="1" applyAlignment="1">
      <alignment horizontal="right" vertical="center"/>
    </xf>
    <xf numFmtId="43" fontId="2" fillId="4" borderId="0" xfId="1" applyFont="1" applyFill="1" applyBorder="1" applyAlignment="1">
      <alignment horizontal="right" vertical="center"/>
    </xf>
    <xf numFmtId="43" fontId="0" fillId="0" borderId="0" xfId="1" applyFont="1" applyAlignment="1">
      <alignment horizontal="right" vertical="center"/>
    </xf>
    <xf numFmtId="43" fontId="0" fillId="0" borderId="0" xfId="0" applyNumberFormat="1" applyAlignment="1">
      <alignment horizontal="right" vertical="center"/>
    </xf>
    <xf numFmtId="43" fontId="0" fillId="0" borderId="0" xfId="1" applyNumberFormat="1" applyFont="1" applyBorder="1" applyAlignment="1">
      <alignment horizontal="righ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right" vertical="center"/>
    </xf>
    <xf numFmtId="11" fontId="3" fillId="2" borderId="0" xfId="0" applyNumberFormat="1" applyFont="1" applyFill="1" applyBorder="1" applyAlignment="1">
      <alignment horizontal="right" vertical="center"/>
    </xf>
    <xf numFmtId="164" fontId="0" fillId="0" borderId="0" xfId="0" applyNumberFormat="1" applyAlignment="1">
      <alignment vertical="center"/>
    </xf>
    <xf numFmtId="167" fontId="0" fillId="0" borderId="7" xfId="0" applyNumberFormat="1" applyBorder="1" applyAlignment="1">
      <alignment horizontal="right" vertical="center"/>
    </xf>
    <xf numFmtId="166" fontId="0" fillId="0" borderId="0" xfId="1" applyNumberFormat="1" applyFont="1" applyAlignment="1">
      <alignment horizontal="right" vertical="center"/>
    </xf>
    <xf numFmtId="166" fontId="0" fillId="0" borderId="0" xfId="0" applyNumberFormat="1" applyAlignment="1">
      <alignment vertical="center"/>
    </xf>
    <xf numFmtId="0" fontId="2" fillId="0" borderId="0" xfId="0" applyFont="1" applyFill="1" applyBorder="1" applyAlignment="1">
      <alignment horizontal="left" vertical="center" wrapText="1" indent="2"/>
    </xf>
    <xf numFmtId="0" fontId="2" fillId="0" borderId="2" xfId="0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4" xfId="0" applyBorder="1" applyAlignment="1">
      <alignment vertical="center" wrapText="1"/>
    </xf>
    <xf numFmtId="0" fontId="2" fillId="5" borderId="0" xfId="0" applyFont="1" applyFill="1" applyBorder="1" applyAlignment="1">
      <alignment vertical="center"/>
    </xf>
    <xf numFmtId="0" fontId="0" fillId="5" borderId="0" xfId="0" applyFill="1" applyAlignment="1">
      <alignment vertical="center"/>
    </xf>
    <xf numFmtId="43" fontId="2" fillId="5" borderId="0" xfId="1" applyFont="1" applyFill="1" applyAlignment="1">
      <alignment horizontal="right" vertical="center"/>
    </xf>
    <xf numFmtId="0" fontId="0" fillId="5" borderId="0" xfId="0" applyFill="1" applyBorder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left" vertical="center" wrapText="1" indent="1"/>
    </xf>
    <xf numFmtId="0" fontId="0" fillId="0" borderId="0" xfId="0" applyBorder="1" applyAlignment="1">
      <alignment horizontal="left" vertical="center" wrapText="1" indent="1"/>
    </xf>
    <xf numFmtId="0" fontId="2" fillId="4" borderId="0" xfId="0" applyFont="1" applyFill="1" applyBorder="1" applyAlignment="1">
      <alignment horizontal="left" vertical="center" wrapText="1" indent="2"/>
    </xf>
    <xf numFmtId="0" fontId="2" fillId="5" borderId="0" xfId="0" applyFont="1" applyFill="1" applyBorder="1" applyAlignment="1">
      <alignment horizontal="left" vertical="center" wrapText="1" indent="2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horizontal="left" vertical="center" wrapText="1" indent="2"/>
    </xf>
    <xf numFmtId="0" fontId="0" fillId="0" borderId="11" xfId="0" applyBorder="1" applyAlignment="1">
      <alignment vertical="center"/>
    </xf>
    <xf numFmtId="43" fontId="2" fillId="0" borderId="11" xfId="1" applyFont="1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0" fillId="0" borderId="1" xfId="0" applyBorder="1" applyAlignment="1">
      <alignment horizontal="left" vertical="center" wrapText="1" indent="3"/>
    </xf>
    <xf numFmtId="0" fontId="0" fillId="0" borderId="1" xfId="0" applyBorder="1" applyAlignment="1">
      <alignment vertical="center"/>
    </xf>
    <xf numFmtId="43" fontId="2" fillId="0" borderId="1" xfId="1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 indent="1"/>
    </xf>
    <xf numFmtId="0" fontId="2" fillId="0" borderId="7" xfId="0" applyFont="1" applyBorder="1" applyAlignment="1">
      <alignment horizontal="right" vertical="center"/>
    </xf>
    <xf numFmtId="0" fontId="0" fillId="0" borderId="0" xfId="0" applyFill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 indent="1"/>
    </xf>
    <xf numFmtId="0" fontId="0" fillId="0" borderId="16" xfId="0" applyBorder="1" applyAlignment="1">
      <alignment vertical="center"/>
    </xf>
    <xf numFmtId="43" fontId="0" fillId="0" borderId="0" xfId="0" applyNumberFormat="1"/>
    <xf numFmtId="43" fontId="7" fillId="0" borderId="0" xfId="1" applyFont="1" applyBorder="1" applyAlignment="1">
      <alignment horizontal="right" vertical="center"/>
    </xf>
    <xf numFmtId="43" fontId="0" fillId="0" borderId="0" xfId="1" applyFont="1" applyAlignment="1">
      <alignment vertical="center"/>
    </xf>
    <xf numFmtId="164" fontId="0" fillId="0" borderId="0" xfId="1" applyNumberFormat="1" applyFont="1" applyAlignment="1">
      <alignment vertical="center"/>
    </xf>
    <xf numFmtId="164" fontId="0" fillId="0" borderId="17" xfId="1" applyNumberFormat="1" applyFont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164" fontId="0" fillId="0" borderId="20" xfId="1" applyNumberFormat="1" applyFont="1" applyBorder="1" applyAlignment="1">
      <alignment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11" fontId="0" fillId="0" borderId="0" xfId="1" applyNumberFormat="1" applyFont="1" applyBorder="1" applyAlignment="1">
      <alignment horizontal="right" vertical="center"/>
    </xf>
    <xf numFmtId="0" fontId="3" fillId="2" borderId="0" xfId="0" applyFont="1" applyFill="1" applyAlignment="1">
      <alignment horizontal="right"/>
    </xf>
    <xf numFmtId="11" fontId="0" fillId="0" borderId="0" xfId="0" applyNumberFormat="1" applyAlignment="1">
      <alignment vertical="center"/>
    </xf>
    <xf numFmtId="0" fontId="2" fillId="0" borderId="0" xfId="0" applyFont="1" applyBorder="1" applyAlignment="1">
      <alignment horizontal="left" vertical="center" wrapText="1" indent="2"/>
    </xf>
    <xf numFmtId="164" fontId="0" fillId="0" borderId="0" xfId="1" applyNumberFormat="1" applyFont="1"/>
    <xf numFmtId="164" fontId="0" fillId="0" borderId="0" xfId="1" applyNumberFormat="1" applyFont="1" applyAlignment="1">
      <alignment vertical="center" wrapText="1"/>
    </xf>
    <xf numFmtId="0" fontId="0" fillId="0" borderId="0" xfId="0" applyFill="1" applyBorder="1" applyAlignment="1">
      <alignment vertical="center"/>
    </xf>
    <xf numFmtId="164" fontId="2" fillId="0" borderId="0" xfId="1" applyNumberFormat="1" applyFont="1" applyAlignment="1">
      <alignment vertical="center"/>
    </xf>
    <xf numFmtId="0" fontId="0" fillId="0" borderId="0" xfId="0" applyBorder="1" applyAlignment="1">
      <alignment horizontal="left" vertical="center" wrapText="1" indent="5"/>
    </xf>
    <xf numFmtId="0" fontId="2" fillId="0" borderId="7" xfId="0" applyFont="1" applyBorder="1" applyAlignment="1">
      <alignment horizontal="right" vertical="center" wrapText="1"/>
    </xf>
    <xf numFmtId="0" fontId="2" fillId="0" borderId="1" xfId="0" applyFont="1" applyBorder="1"/>
    <xf numFmtId="0" fontId="0" fillId="0" borderId="1" xfId="0" applyBorder="1" applyAlignment="1">
      <alignment horizontal="left"/>
    </xf>
    <xf numFmtId="2" fontId="0" fillId="0" borderId="0" xfId="0" applyNumberFormat="1"/>
    <xf numFmtId="2" fontId="0" fillId="0" borderId="0" xfId="1" applyNumberFormat="1" applyFont="1"/>
    <xf numFmtId="168" fontId="0" fillId="0" borderId="0" xfId="0" applyNumberFormat="1"/>
    <xf numFmtId="1" fontId="0" fillId="0" borderId="0" xfId="0" applyNumberFormat="1"/>
    <xf numFmtId="1" fontId="0" fillId="0" borderId="13" xfId="0" applyNumberFormat="1" applyBorder="1"/>
    <xf numFmtId="168" fontId="0" fillId="0" borderId="14" xfId="0" applyNumberFormat="1" applyBorder="1"/>
    <xf numFmtId="2" fontId="0" fillId="0" borderId="14" xfId="0" applyNumberFormat="1" applyBorder="1"/>
    <xf numFmtId="2" fontId="0" fillId="0" borderId="14" xfId="1" applyNumberFormat="1" applyFont="1" applyBorder="1"/>
    <xf numFmtId="2" fontId="0" fillId="0" borderId="15" xfId="0" applyNumberFormat="1" applyBorder="1"/>
    <xf numFmtId="1" fontId="0" fillId="0" borderId="16" xfId="0" applyNumberFormat="1" applyBorder="1"/>
    <xf numFmtId="168" fontId="0" fillId="0" borderId="1" xfId="0" applyNumberFormat="1" applyBorder="1"/>
    <xf numFmtId="2" fontId="0" fillId="0" borderId="1" xfId="0" applyNumberFormat="1" applyBorder="1"/>
    <xf numFmtId="2" fontId="0" fillId="0" borderId="1" xfId="1" applyNumberFormat="1" applyFont="1" applyBorder="1"/>
    <xf numFmtId="2" fontId="0" fillId="0" borderId="17" xfId="0" applyNumberFormat="1" applyBorder="1"/>
    <xf numFmtId="1" fontId="0" fillId="0" borderId="18" xfId="0" applyNumberFormat="1" applyBorder="1"/>
    <xf numFmtId="168" fontId="0" fillId="0" borderId="19" xfId="0" applyNumberFormat="1" applyBorder="1"/>
    <xf numFmtId="2" fontId="0" fillId="0" borderId="19" xfId="0" applyNumberFormat="1" applyBorder="1"/>
    <xf numFmtId="2" fontId="0" fillId="0" borderId="19" xfId="1" applyNumberFormat="1" applyFont="1" applyBorder="1"/>
    <xf numFmtId="2" fontId="0" fillId="0" borderId="20" xfId="0" applyNumberFormat="1" applyBorder="1"/>
    <xf numFmtId="1" fontId="0" fillId="0" borderId="14" xfId="0" applyNumberFormat="1" applyFont="1" applyFill="1" applyBorder="1"/>
    <xf numFmtId="1" fontId="0" fillId="0" borderId="1" xfId="0" applyNumberFormat="1" applyFont="1" applyFill="1" applyBorder="1"/>
    <xf numFmtId="1" fontId="0" fillId="0" borderId="19" xfId="0" applyNumberFormat="1" applyFont="1" applyFill="1" applyBorder="1"/>
    <xf numFmtId="1" fontId="0" fillId="0" borderId="25" xfId="0" applyNumberFormat="1" applyBorder="1"/>
    <xf numFmtId="1" fontId="0" fillId="0" borderId="26" xfId="0" applyNumberFormat="1" applyBorder="1"/>
    <xf numFmtId="1" fontId="0" fillId="0" borderId="27" xfId="0" applyNumberFormat="1" applyBorder="1"/>
    <xf numFmtId="1" fontId="0" fillId="0" borderId="28" xfId="0" applyNumberFormat="1" applyBorder="1"/>
    <xf numFmtId="0" fontId="0" fillId="0" borderId="28" xfId="0" applyBorder="1"/>
    <xf numFmtId="0" fontId="2" fillId="3" borderId="22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 wrapText="1"/>
    </xf>
    <xf numFmtId="0" fontId="2" fillId="7" borderId="22" xfId="0" applyFont="1" applyFill="1" applyBorder="1" applyAlignment="1">
      <alignment horizontal="center" vertical="center" wrapText="1"/>
    </xf>
    <xf numFmtId="0" fontId="2" fillId="7" borderId="24" xfId="0" applyFont="1" applyFill="1" applyBorder="1" applyAlignment="1">
      <alignment horizontal="center" vertical="center" wrapText="1"/>
    </xf>
    <xf numFmtId="0" fontId="2" fillId="7" borderId="23" xfId="0" applyFont="1" applyFill="1" applyBorder="1" applyAlignment="1">
      <alignment horizontal="center" vertical="center" wrapText="1"/>
    </xf>
    <xf numFmtId="0" fontId="2" fillId="7" borderId="21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 wrapText="1"/>
    </xf>
    <xf numFmtId="2" fontId="0" fillId="8" borderId="1" xfId="1" applyNumberFormat="1" applyFont="1" applyFill="1" applyBorder="1"/>
    <xf numFmtId="43" fontId="0" fillId="0" borderId="0" xfId="1" applyNumberFormat="1" applyFont="1" applyAlignment="1">
      <alignment vertical="center"/>
    </xf>
    <xf numFmtId="0" fontId="0" fillId="8" borderId="1" xfId="0" applyFill="1" applyBorder="1"/>
    <xf numFmtId="0" fontId="12" fillId="0" borderId="0" xfId="3" applyFont="1" applyAlignment="1">
      <alignment horizontal="center" vertical="center" wrapText="1"/>
    </xf>
    <xf numFmtId="0" fontId="11" fillId="0" borderId="0" xfId="3"/>
    <xf numFmtId="0" fontId="11" fillId="0" borderId="1" xfId="3" applyBorder="1"/>
    <xf numFmtId="43" fontId="0" fillId="0" borderId="1" xfId="4" applyFont="1" applyBorder="1"/>
    <xf numFmtId="164" fontId="0" fillId="0" borderId="1" xfId="4" applyNumberFormat="1" applyFont="1" applyBorder="1"/>
    <xf numFmtId="0" fontId="2" fillId="0" borderId="1" xfId="0" applyFont="1" applyBorder="1" applyAlignment="1">
      <alignment horizontal="center" vertical="center" wrapText="1"/>
    </xf>
    <xf numFmtId="43" fontId="11" fillId="0" borderId="0" xfId="1" applyFont="1"/>
    <xf numFmtId="0" fontId="17" fillId="0" borderId="0" xfId="0" applyFont="1" applyBorder="1" applyAlignment="1">
      <alignment vertical="center"/>
    </xf>
    <xf numFmtId="43" fontId="2" fillId="0" borderId="0" xfId="1" applyNumberFormat="1" applyFont="1" applyBorder="1" applyAlignment="1">
      <alignment horizontal="right" vertical="center"/>
    </xf>
    <xf numFmtId="0" fontId="18" fillId="0" borderId="0" xfId="0" applyFont="1" applyBorder="1" applyAlignment="1">
      <alignment horizontal="left" vertical="center" wrapText="1" indent="2"/>
    </xf>
    <xf numFmtId="0" fontId="18" fillId="0" borderId="0" xfId="0" applyFont="1" applyBorder="1" applyAlignment="1">
      <alignment vertical="center"/>
    </xf>
    <xf numFmtId="0" fontId="18" fillId="0" borderId="0" xfId="0" applyFont="1" applyAlignment="1">
      <alignment horizontal="right" vertical="center"/>
    </xf>
    <xf numFmtId="43" fontId="18" fillId="0" borderId="0" xfId="1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 indent="4"/>
    </xf>
    <xf numFmtId="0" fontId="2" fillId="0" borderId="0" xfId="0" applyFont="1" applyBorder="1" applyAlignment="1">
      <alignment horizontal="left" vertical="center" wrapText="1" indent="4"/>
    </xf>
    <xf numFmtId="0" fontId="2" fillId="4" borderId="0" xfId="0" applyFont="1" applyFill="1" applyBorder="1" applyAlignment="1">
      <alignment horizontal="left" vertical="center" wrapText="1" indent="4"/>
    </xf>
    <xf numFmtId="0" fontId="10" fillId="0" borderId="0" xfId="0" applyFont="1"/>
    <xf numFmtId="0" fontId="0" fillId="0" borderId="0" xfId="0" applyFont="1" applyAlignment="1">
      <alignment horizontal="center"/>
    </xf>
    <xf numFmtId="0" fontId="16" fillId="9" borderId="30" xfId="0" applyFont="1" applyFill="1" applyBorder="1" applyAlignment="1">
      <alignment horizontal="center" vertical="center" wrapText="1"/>
    </xf>
    <xf numFmtId="0" fontId="16" fillId="9" borderId="32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6" fillId="9" borderId="0" xfId="0" applyFont="1" applyFill="1" applyBorder="1" applyAlignment="1">
      <alignment vertical="center"/>
    </xf>
    <xf numFmtId="0" fontId="16" fillId="9" borderId="34" xfId="0" applyFont="1" applyFill="1" applyBorder="1" applyAlignment="1">
      <alignment horizontal="center" vertical="center" wrapText="1"/>
    </xf>
    <xf numFmtId="0" fontId="16" fillId="9" borderId="0" xfId="0" applyFont="1" applyFill="1" applyBorder="1" applyAlignment="1">
      <alignment vertical="center" wrapText="1"/>
    </xf>
    <xf numFmtId="0" fontId="8" fillId="10" borderId="36" xfId="0" applyFont="1" applyFill="1" applyBorder="1" applyAlignment="1">
      <alignment horizontal="center"/>
    </xf>
    <xf numFmtId="0" fontId="8" fillId="10" borderId="36" xfId="0" applyFont="1" applyFill="1" applyBorder="1" applyAlignment="1">
      <alignment horizontal="right" indent="1"/>
    </xf>
    <xf numFmtId="0" fontId="8" fillId="10" borderId="37" xfId="0" applyFont="1" applyFill="1" applyBorder="1" applyAlignment="1">
      <alignment horizontal="right" indent="1"/>
    </xf>
    <xf numFmtId="0" fontId="16" fillId="9" borderId="32" xfId="0" applyFont="1" applyFill="1" applyBorder="1" applyAlignment="1">
      <alignment vertical="center" wrapText="1"/>
    </xf>
    <xf numFmtId="0" fontId="8" fillId="11" borderId="36" xfId="0" applyFont="1" applyFill="1" applyBorder="1" applyAlignment="1">
      <alignment horizontal="center"/>
    </xf>
    <xf numFmtId="0" fontId="8" fillId="11" borderId="36" xfId="0" applyFont="1" applyFill="1" applyBorder="1" applyAlignment="1">
      <alignment horizontal="right" indent="1"/>
    </xf>
    <xf numFmtId="0" fontId="8" fillId="11" borderId="37" xfId="0" applyFont="1" applyFill="1" applyBorder="1" applyAlignment="1">
      <alignment horizontal="right" indent="1"/>
    </xf>
    <xf numFmtId="0" fontId="0" fillId="12" borderId="36" xfId="0" applyFont="1" applyFill="1" applyBorder="1" applyAlignment="1">
      <alignment horizontal="center"/>
    </xf>
    <xf numFmtId="0" fontId="0" fillId="12" borderId="36" xfId="0" applyFont="1" applyFill="1" applyBorder="1" applyAlignment="1">
      <alignment horizontal="right" indent="1"/>
    </xf>
    <xf numFmtId="167" fontId="0" fillId="0" borderId="0" xfId="0" applyNumberFormat="1"/>
    <xf numFmtId="0" fontId="8" fillId="10" borderId="39" xfId="0" applyFont="1" applyFill="1" applyBorder="1" applyAlignment="1">
      <alignment horizontal="center"/>
    </xf>
    <xf numFmtId="0" fontId="8" fillId="10" borderId="39" xfId="0" applyFont="1" applyFill="1" applyBorder="1" applyAlignment="1">
      <alignment horizontal="right" indent="1"/>
    </xf>
    <xf numFmtId="0" fontId="8" fillId="10" borderId="40" xfId="0" applyFont="1" applyFill="1" applyBorder="1" applyAlignment="1">
      <alignment horizontal="right" indent="1"/>
    </xf>
    <xf numFmtId="0" fontId="0" fillId="12" borderId="37" xfId="0" applyFont="1" applyFill="1" applyBorder="1" applyAlignment="1">
      <alignment horizontal="right" indent="1"/>
    </xf>
    <xf numFmtId="0" fontId="0" fillId="13" borderId="36" xfId="0" applyFont="1" applyFill="1" applyBorder="1" applyAlignment="1">
      <alignment horizontal="center"/>
    </xf>
    <xf numFmtId="0" fontId="0" fillId="13" borderId="36" xfId="0" applyFont="1" applyFill="1" applyBorder="1" applyAlignment="1">
      <alignment horizontal="right" indent="1"/>
    </xf>
    <xf numFmtId="0" fontId="0" fillId="13" borderId="37" xfId="0" applyFont="1" applyFill="1" applyBorder="1" applyAlignment="1">
      <alignment horizontal="right" indent="1"/>
    </xf>
    <xf numFmtId="0" fontId="0" fillId="13" borderId="39" xfId="0" applyFont="1" applyFill="1" applyBorder="1" applyAlignment="1">
      <alignment horizontal="center"/>
    </xf>
    <xf numFmtId="0" fontId="0" fillId="13" borderId="39" xfId="0" applyFont="1" applyFill="1" applyBorder="1" applyAlignment="1">
      <alignment horizontal="right" indent="1"/>
    </xf>
    <xf numFmtId="0" fontId="0" fillId="13" borderId="40" xfId="0" applyFont="1" applyFill="1" applyBorder="1" applyAlignment="1">
      <alignment horizontal="right" indent="1"/>
    </xf>
    <xf numFmtId="0" fontId="0" fillId="14" borderId="36" xfId="0" applyFont="1" applyFill="1" applyBorder="1" applyAlignment="1">
      <alignment horizontal="center"/>
    </xf>
    <xf numFmtId="0" fontId="0" fillId="14" borderId="36" xfId="0" applyFont="1" applyFill="1" applyBorder="1" applyAlignment="1">
      <alignment horizontal="right" indent="1"/>
    </xf>
    <xf numFmtId="0" fontId="0" fillId="14" borderId="37" xfId="0" applyFont="1" applyFill="1" applyBorder="1" applyAlignment="1">
      <alignment horizontal="right" indent="1"/>
    </xf>
    <xf numFmtId="0" fontId="0" fillId="15" borderId="36" xfId="0" applyFont="1" applyFill="1" applyBorder="1" applyAlignment="1">
      <alignment horizontal="center"/>
    </xf>
    <xf numFmtId="0" fontId="0" fillId="15" borderId="36" xfId="0" applyFont="1" applyFill="1" applyBorder="1" applyAlignment="1">
      <alignment horizontal="right" indent="1"/>
    </xf>
    <xf numFmtId="0" fontId="0" fillId="15" borderId="37" xfId="0" applyFont="1" applyFill="1" applyBorder="1" applyAlignment="1">
      <alignment horizontal="right" indent="1"/>
    </xf>
    <xf numFmtId="0" fontId="0" fillId="16" borderId="36" xfId="0" applyFont="1" applyFill="1" applyBorder="1" applyAlignment="1">
      <alignment horizontal="center"/>
    </xf>
    <xf numFmtId="0" fontId="0" fillId="16" borderId="36" xfId="0" applyFont="1" applyFill="1" applyBorder="1" applyAlignment="1">
      <alignment horizontal="right" indent="1"/>
    </xf>
    <xf numFmtId="0" fontId="0" fillId="16" borderId="37" xfId="0" applyFont="1" applyFill="1" applyBorder="1" applyAlignment="1">
      <alignment horizontal="right" indent="1"/>
    </xf>
    <xf numFmtId="0" fontId="0" fillId="17" borderId="36" xfId="0" applyFont="1" applyFill="1" applyBorder="1" applyAlignment="1">
      <alignment horizontal="center"/>
    </xf>
    <xf numFmtId="0" fontId="0" fillId="17" borderId="36" xfId="0" applyFont="1" applyFill="1" applyBorder="1" applyAlignment="1">
      <alignment horizontal="right" indent="1"/>
    </xf>
    <xf numFmtId="0" fontId="0" fillId="17" borderId="37" xfId="0" applyFont="1" applyFill="1" applyBorder="1" applyAlignment="1">
      <alignment horizontal="right" indent="1"/>
    </xf>
    <xf numFmtId="0" fontId="0" fillId="17" borderId="39" xfId="0" applyFont="1" applyFill="1" applyBorder="1" applyAlignment="1">
      <alignment horizontal="center"/>
    </xf>
    <xf numFmtId="0" fontId="0" fillId="17" borderId="39" xfId="0" applyFont="1" applyFill="1" applyBorder="1" applyAlignment="1">
      <alignment horizontal="right" indent="1"/>
    </xf>
    <xf numFmtId="0" fontId="0" fillId="17" borderId="40" xfId="0" applyFont="1" applyFill="1" applyBorder="1" applyAlignment="1">
      <alignment horizontal="right" indent="1"/>
    </xf>
    <xf numFmtId="0" fontId="0" fillId="8" borderId="16" xfId="0" applyFill="1" applyBorder="1"/>
    <xf numFmtId="2" fontId="0" fillId="8" borderId="17" xfId="1" applyNumberFormat="1" applyFont="1" applyFill="1" applyBorder="1"/>
    <xf numFmtId="0" fontId="11" fillId="0" borderId="45" xfId="3" applyBorder="1"/>
    <xf numFmtId="43" fontId="0" fillId="0" borderId="45" xfId="4" applyFont="1" applyBorder="1"/>
    <xf numFmtId="164" fontId="0" fillId="0" borderId="45" xfId="4" applyNumberFormat="1" applyFont="1" applyBorder="1"/>
    <xf numFmtId="0" fontId="2" fillId="3" borderId="1" xfId="0" applyFont="1" applyFill="1" applyBorder="1" applyAlignment="1">
      <alignment horizontal="center" vertical="center" wrapText="1"/>
    </xf>
    <xf numFmtId="0" fontId="20" fillId="18" borderId="1" xfId="3" applyFont="1" applyFill="1" applyBorder="1"/>
    <xf numFmtId="43" fontId="3" fillId="18" borderId="1" xfId="4" applyFont="1" applyFill="1" applyBorder="1"/>
    <xf numFmtId="164" fontId="3" fillId="18" borderId="1" xfId="4" applyNumberFormat="1" applyFont="1" applyFill="1" applyBorder="1"/>
    <xf numFmtId="0" fontId="3" fillId="8" borderId="16" xfId="0" applyFont="1" applyFill="1" applyBorder="1"/>
    <xf numFmtId="0" fontId="3" fillId="8" borderId="1" xfId="0" applyFont="1" applyFill="1" applyBorder="1"/>
    <xf numFmtId="2" fontId="3" fillId="8" borderId="1" xfId="1" applyNumberFormat="1" applyFont="1" applyFill="1" applyBorder="1"/>
    <xf numFmtId="0" fontId="20" fillId="18" borderId="0" xfId="3" applyFont="1" applyFill="1"/>
    <xf numFmtId="0" fontId="19" fillId="8" borderId="1" xfId="0" applyFont="1" applyFill="1" applyBorder="1"/>
    <xf numFmtId="43" fontId="3" fillId="2" borderId="0" xfId="1" applyFont="1" applyFill="1" applyBorder="1" applyAlignment="1">
      <alignment horizontal="right" vertical="center" wrapText="1"/>
    </xf>
    <xf numFmtId="0" fontId="2" fillId="0" borderId="0" xfId="0" applyFont="1" applyBorder="1" applyAlignment="1">
      <alignment horizontal="left" vertical="center" wrapText="1"/>
    </xf>
    <xf numFmtId="43" fontId="0" fillId="0" borderId="0" xfId="0" applyNumberFormat="1" applyBorder="1" applyAlignment="1">
      <alignment horizontal="right" vertical="center"/>
    </xf>
    <xf numFmtId="0" fontId="0" fillId="0" borderId="0" xfId="0" applyFont="1" applyBorder="1" applyAlignment="1">
      <alignment horizontal="left" vertical="center" wrapText="1" indent="2"/>
    </xf>
    <xf numFmtId="9" fontId="0" fillId="0" borderId="0" xfId="2" applyFont="1" applyBorder="1" applyAlignment="1">
      <alignment horizontal="right" vertical="center"/>
    </xf>
    <xf numFmtId="43" fontId="2" fillId="0" borderId="0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 wrapText="1" indent="3"/>
    </xf>
    <xf numFmtId="0" fontId="4" fillId="0" borderId="0" xfId="0" applyFont="1" applyBorder="1" applyAlignment="1">
      <alignment horizontal="left" vertical="center" indent="1"/>
    </xf>
    <xf numFmtId="43" fontId="0" fillId="0" borderId="0" xfId="0" applyNumberFormat="1" applyFont="1" applyBorder="1" applyAlignment="1">
      <alignment horizontal="right" vertical="center"/>
    </xf>
    <xf numFmtId="43" fontId="0" fillId="0" borderId="0" xfId="1" applyNumberFormat="1" applyFont="1" applyAlignment="1">
      <alignment horizontal="right" vertical="center"/>
    </xf>
    <xf numFmtId="0" fontId="2" fillId="0" borderId="1" xfId="0" applyFont="1" applyBorder="1" applyAlignment="1">
      <alignment horizontal="left" vertical="center" wrapText="1" indent="4"/>
    </xf>
    <xf numFmtId="0" fontId="2" fillId="0" borderId="1" xfId="0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 indent="5"/>
    </xf>
    <xf numFmtId="43" fontId="0" fillId="0" borderId="1" xfId="1" applyFont="1" applyBorder="1" applyAlignment="1">
      <alignment vertical="center"/>
    </xf>
    <xf numFmtId="43" fontId="0" fillId="0" borderId="1" xfId="1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 wrapText="1" indent="5"/>
    </xf>
    <xf numFmtId="0" fontId="2" fillId="8" borderId="22" xfId="0" applyFont="1" applyFill="1" applyBorder="1" applyAlignment="1">
      <alignment horizontal="center" vertical="center" wrapText="1"/>
    </xf>
    <xf numFmtId="0" fontId="2" fillId="8" borderId="23" xfId="0" applyFont="1" applyFill="1" applyBorder="1" applyAlignment="1">
      <alignment horizontal="center" vertical="center" wrapText="1"/>
    </xf>
    <xf numFmtId="0" fontId="2" fillId="8" borderId="21" xfId="0" applyFont="1" applyFill="1" applyBorder="1" applyAlignment="1">
      <alignment horizontal="center" vertical="center" wrapText="1"/>
    </xf>
    <xf numFmtId="1" fontId="8" fillId="6" borderId="16" xfId="0" applyNumberFormat="1" applyFont="1" applyFill="1" applyBorder="1"/>
    <xf numFmtId="0" fontId="8" fillId="6" borderId="1" xfId="0" applyFont="1" applyFill="1" applyBorder="1" applyAlignment="1">
      <alignment vertical="center"/>
    </xf>
    <xf numFmtId="2" fontId="8" fillId="6" borderId="1" xfId="0" applyNumberFormat="1" applyFont="1" applyFill="1" applyBorder="1" applyAlignment="1">
      <alignment vertical="center"/>
    </xf>
    <xf numFmtId="168" fontId="8" fillId="6" borderId="1" xfId="0" applyNumberFormat="1" applyFont="1" applyFill="1" applyBorder="1" applyAlignment="1">
      <alignment horizontal="right"/>
    </xf>
    <xf numFmtId="2" fontId="8" fillId="6" borderId="1" xfId="1" applyNumberFormat="1" applyFont="1" applyFill="1" applyBorder="1"/>
    <xf numFmtId="2" fontId="8" fillId="6" borderId="1" xfId="0" applyNumberFormat="1" applyFont="1" applyFill="1" applyBorder="1"/>
    <xf numFmtId="2" fontId="8" fillId="6" borderId="43" xfId="0" applyNumberFormat="1" applyFont="1" applyFill="1" applyBorder="1"/>
    <xf numFmtId="2" fontId="8" fillId="6" borderId="17" xfId="0" applyNumberFormat="1" applyFont="1" applyFill="1" applyBorder="1" applyAlignment="1">
      <alignment horizontal="center"/>
    </xf>
    <xf numFmtId="0" fontId="8" fillId="6" borderId="16" xfId="0" applyFont="1" applyFill="1" applyBorder="1"/>
    <xf numFmtId="0" fontId="8" fillId="6" borderId="1" xfId="0" applyFont="1" applyFill="1" applyBorder="1"/>
    <xf numFmtId="2" fontId="8" fillId="6" borderId="17" xfId="1" applyNumberFormat="1" applyFont="1" applyFill="1" applyBorder="1"/>
    <xf numFmtId="169" fontId="8" fillId="6" borderId="13" xfId="0" applyNumberFormat="1" applyFont="1" applyFill="1" applyBorder="1"/>
    <xf numFmtId="0" fontId="8" fillId="6" borderId="14" xfId="0" applyFont="1" applyFill="1" applyBorder="1"/>
    <xf numFmtId="0" fontId="8" fillId="0" borderId="0" xfId="0" applyFont="1"/>
    <xf numFmtId="1" fontId="8" fillId="6" borderId="13" xfId="0" applyNumberFormat="1" applyFont="1" applyFill="1" applyBorder="1"/>
    <xf numFmtId="2" fontId="8" fillId="6" borderId="14" xfId="1" applyNumberFormat="1" applyFont="1" applyFill="1" applyBorder="1"/>
    <xf numFmtId="2" fontId="8" fillId="6" borderId="14" xfId="0" applyNumberFormat="1" applyFont="1" applyFill="1" applyBorder="1"/>
    <xf numFmtId="2" fontId="8" fillId="6" borderId="42" xfId="0" applyNumberFormat="1" applyFont="1" applyFill="1" applyBorder="1"/>
    <xf numFmtId="2" fontId="8" fillId="6" borderId="15" xfId="0" applyNumberFormat="1" applyFont="1" applyFill="1" applyBorder="1" applyAlignment="1">
      <alignment horizontal="center"/>
    </xf>
    <xf numFmtId="0" fontId="8" fillId="6" borderId="13" xfId="0" applyFont="1" applyFill="1" applyBorder="1"/>
    <xf numFmtId="2" fontId="8" fillId="6" borderId="15" xfId="1" applyNumberFormat="1" applyFont="1" applyFill="1" applyBorder="1"/>
    <xf numFmtId="1" fontId="8" fillId="6" borderId="18" xfId="0" applyNumberFormat="1" applyFont="1" applyFill="1" applyBorder="1"/>
    <xf numFmtId="0" fontId="8" fillId="6" borderId="19" xfId="0" applyFont="1" applyFill="1" applyBorder="1" applyAlignment="1">
      <alignment vertical="center"/>
    </xf>
    <xf numFmtId="2" fontId="8" fillId="6" borderId="19" xfId="0" applyNumberFormat="1" applyFont="1" applyFill="1" applyBorder="1" applyAlignment="1">
      <alignment vertical="center"/>
    </xf>
    <xf numFmtId="168" fontId="8" fillId="6" borderId="19" xfId="0" applyNumberFormat="1" applyFont="1" applyFill="1" applyBorder="1" applyAlignment="1">
      <alignment horizontal="right"/>
    </xf>
    <xf numFmtId="2" fontId="8" fillId="6" borderId="19" xfId="1" applyNumberFormat="1" applyFont="1" applyFill="1" applyBorder="1"/>
    <xf numFmtId="2" fontId="8" fillId="6" borderId="19" xfId="0" applyNumberFormat="1" applyFont="1" applyFill="1" applyBorder="1"/>
    <xf numFmtId="2" fontId="8" fillId="6" borderId="44" xfId="0" applyNumberFormat="1" applyFont="1" applyFill="1" applyBorder="1"/>
    <xf numFmtId="2" fontId="8" fillId="6" borderId="20" xfId="0" applyNumberFormat="1" applyFont="1" applyFill="1" applyBorder="1" applyAlignment="1">
      <alignment horizontal="center"/>
    </xf>
    <xf numFmtId="0" fontId="8" fillId="6" borderId="18" xfId="0" applyFont="1" applyFill="1" applyBorder="1"/>
    <xf numFmtId="0" fontId="8" fillId="6" borderId="19" xfId="0" applyFont="1" applyFill="1" applyBorder="1"/>
    <xf numFmtId="2" fontId="8" fillId="6" borderId="20" xfId="1" applyNumberFormat="1" applyFont="1" applyFill="1" applyBorder="1"/>
    <xf numFmtId="169" fontId="8" fillId="6" borderId="16" xfId="0" applyNumberFormat="1" applyFont="1" applyFill="1" applyBorder="1"/>
    <xf numFmtId="169" fontId="8" fillId="6" borderId="18" xfId="0" applyNumberFormat="1" applyFont="1" applyFill="1" applyBorder="1"/>
    <xf numFmtId="1" fontId="8" fillId="8" borderId="16" xfId="0" applyNumberFormat="1" applyFont="1" applyFill="1" applyBorder="1"/>
    <xf numFmtId="0" fontId="8" fillId="8" borderId="1" xfId="0" applyFont="1" applyFill="1" applyBorder="1"/>
    <xf numFmtId="0" fontId="8" fillId="8" borderId="1" xfId="0" applyFont="1" applyFill="1" applyBorder="1" applyAlignment="1">
      <alignment vertical="center" wrapText="1"/>
    </xf>
    <xf numFmtId="0" fontId="8" fillId="8" borderId="1" xfId="0" applyFont="1" applyFill="1" applyBorder="1" applyAlignment="1">
      <alignment horizontal="right" vertical="center" wrapText="1"/>
    </xf>
    <xf numFmtId="2" fontId="8" fillId="8" borderId="1" xfId="1" applyNumberFormat="1" applyFont="1" applyFill="1" applyBorder="1"/>
    <xf numFmtId="2" fontId="8" fillId="8" borderId="1" xfId="0" applyNumberFormat="1" applyFont="1" applyFill="1" applyBorder="1"/>
    <xf numFmtId="2" fontId="8" fillId="8" borderId="43" xfId="0" applyNumberFormat="1" applyFont="1" applyFill="1" applyBorder="1"/>
    <xf numFmtId="0" fontId="8" fillId="8" borderId="17" xfId="0" applyFont="1" applyFill="1" applyBorder="1" applyAlignment="1">
      <alignment horizontal="center"/>
    </xf>
    <xf numFmtId="0" fontId="8" fillId="8" borderId="16" xfId="0" applyFont="1" applyFill="1" applyBorder="1"/>
    <xf numFmtId="2" fontId="8" fillId="8" borderId="17" xfId="1" applyNumberFormat="1" applyFont="1" applyFill="1" applyBorder="1"/>
    <xf numFmtId="0" fontId="19" fillId="3" borderId="22" xfId="0" applyFont="1" applyFill="1" applyBorder="1" applyAlignment="1">
      <alignment horizontal="center" vertical="center" wrapText="1"/>
    </xf>
    <xf numFmtId="0" fontId="19" fillId="3" borderId="24" xfId="0" applyFont="1" applyFill="1" applyBorder="1" applyAlignment="1">
      <alignment horizontal="center" vertical="center" wrapText="1"/>
    </xf>
    <xf numFmtId="0" fontId="19" fillId="3" borderId="23" xfId="0" applyFont="1" applyFill="1" applyBorder="1" applyAlignment="1">
      <alignment horizontal="center" vertical="center" wrapText="1"/>
    </xf>
    <xf numFmtId="0" fontId="19" fillId="3" borderId="29" xfId="0" applyFont="1" applyFill="1" applyBorder="1" applyAlignment="1">
      <alignment horizontal="center" vertical="center" wrapText="1"/>
    </xf>
    <xf numFmtId="0" fontId="19" fillId="7" borderId="22" xfId="0" applyFont="1" applyFill="1" applyBorder="1" applyAlignment="1">
      <alignment horizontal="center" vertical="center" wrapText="1"/>
    </xf>
    <xf numFmtId="0" fontId="19" fillId="7" borderId="23" xfId="0" applyFont="1" applyFill="1" applyBorder="1" applyAlignment="1">
      <alignment horizontal="center" vertical="center" wrapText="1"/>
    </xf>
    <xf numFmtId="0" fontId="19" fillId="7" borderId="21" xfId="0" applyFont="1" applyFill="1" applyBorder="1" applyAlignment="1">
      <alignment horizontal="center" vertical="center" wrapText="1"/>
    </xf>
    <xf numFmtId="0" fontId="19" fillId="8" borderId="22" xfId="0" applyFont="1" applyFill="1" applyBorder="1" applyAlignment="1">
      <alignment horizontal="center" vertical="center" wrapText="1"/>
    </xf>
    <xf numFmtId="0" fontId="19" fillId="8" borderId="23" xfId="0" applyFont="1" applyFill="1" applyBorder="1" applyAlignment="1">
      <alignment horizontal="center" vertical="center" wrapText="1"/>
    </xf>
    <xf numFmtId="0" fontId="19" fillId="8" borderId="21" xfId="0" applyFont="1" applyFill="1" applyBorder="1" applyAlignment="1">
      <alignment horizontal="center" vertical="center" wrapText="1"/>
    </xf>
    <xf numFmtId="0" fontId="19" fillId="0" borderId="0" xfId="0" applyFont="1"/>
    <xf numFmtId="1" fontId="8" fillId="8" borderId="13" xfId="0" applyNumberFormat="1" applyFont="1" applyFill="1" applyBorder="1"/>
    <xf numFmtId="0" fontId="8" fillId="8" borderId="14" xfId="0" applyFont="1" applyFill="1" applyBorder="1" applyAlignment="1">
      <alignment vertical="center"/>
    </xf>
    <xf numFmtId="0" fontId="8" fillId="8" borderId="14" xfId="0" applyFont="1" applyFill="1" applyBorder="1" applyAlignment="1">
      <alignment vertical="center" wrapText="1"/>
    </xf>
    <xf numFmtId="2" fontId="8" fillId="8" borderId="14" xfId="1" applyNumberFormat="1" applyFont="1" applyFill="1" applyBorder="1"/>
    <xf numFmtId="2" fontId="8" fillId="8" borderId="14" xfId="0" applyNumberFormat="1" applyFont="1" applyFill="1" applyBorder="1"/>
    <xf numFmtId="2" fontId="8" fillId="8" borderId="42" xfId="0" applyNumberFormat="1" applyFont="1" applyFill="1" applyBorder="1"/>
    <xf numFmtId="2" fontId="8" fillId="8" borderId="15" xfId="0" applyNumberFormat="1" applyFont="1" applyFill="1" applyBorder="1" applyAlignment="1">
      <alignment horizontal="center"/>
    </xf>
    <xf numFmtId="0" fontId="8" fillId="8" borderId="13" xfId="0" applyFont="1" applyFill="1" applyBorder="1"/>
    <xf numFmtId="0" fontId="8" fillId="8" borderId="14" xfId="0" applyFont="1" applyFill="1" applyBorder="1"/>
    <xf numFmtId="2" fontId="8" fillId="8" borderId="15" xfId="1" applyNumberFormat="1" applyFont="1" applyFill="1" applyBorder="1"/>
    <xf numFmtId="0" fontId="8" fillId="8" borderId="18" xfId="0" applyFont="1" applyFill="1" applyBorder="1"/>
    <xf numFmtId="0" fontId="8" fillId="8" borderId="19" xfId="0" applyFont="1" applyFill="1" applyBorder="1"/>
    <xf numFmtId="2" fontId="8" fillId="8" borderId="19" xfId="1" applyNumberFormat="1" applyFont="1" applyFill="1" applyBorder="1"/>
    <xf numFmtId="2" fontId="8" fillId="8" borderId="20" xfId="1" applyNumberFormat="1" applyFont="1" applyFill="1" applyBorder="1"/>
    <xf numFmtId="0" fontId="8" fillId="0" borderId="6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 wrapText="1" indent="2"/>
    </xf>
    <xf numFmtId="43" fontId="8" fillId="0" borderId="0" xfId="1" applyFont="1" applyFill="1" applyBorder="1" applyAlignment="1">
      <alignment horizontal="right" vertical="center"/>
    </xf>
    <xf numFmtId="0" fontId="8" fillId="0" borderId="7" xfId="0" applyFont="1" applyFill="1" applyBorder="1" applyAlignment="1">
      <alignment horizontal="right" vertical="center"/>
    </xf>
    <xf numFmtId="0" fontId="19" fillId="0" borderId="6" xfId="0" applyFont="1" applyFill="1" applyBorder="1" applyAlignment="1">
      <alignment horizontal="right" vertical="center"/>
    </xf>
    <xf numFmtId="0" fontId="22" fillId="0" borderId="0" xfId="0" applyFont="1" applyFill="1" applyBorder="1" applyAlignment="1">
      <alignment vertical="center"/>
    </xf>
    <xf numFmtId="43" fontId="19" fillId="0" borderId="0" xfId="1" applyFont="1" applyFill="1" applyBorder="1" applyAlignment="1">
      <alignment horizontal="right" vertical="center" wrapText="1"/>
    </xf>
    <xf numFmtId="0" fontId="19" fillId="0" borderId="0" xfId="0" applyFont="1" applyFill="1" applyBorder="1" applyAlignment="1">
      <alignment vertical="center"/>
    </xf>
    <xf numFmtId="43" fontId="19" fillId="0" borderId="0" xfId="1" applyFont="1" applyFill="1" applyBorder="1" applyAlignment="1">
      <alignment horizontal="right" vertical="center"/>
    </xf>
    <xf numFmtId="0" fontId="19" fillId="0" borderId="0" xfId="0" applyFont="1" applyFill="1" applyBorder="1" applyAlignment="1">
      <alignment horizontal="left" vertical="center" wrapText="1" indent="2"/>
    </xf>
    <xf numFmtId="0" fontId="8" fillId="0" borderId="0" xfId="0" applyFont="1" applyFill="1" applyBorder="1" applyAlignment="1">
      <alignment horizontal="left" vertical="center" wrapText="1" indent="4"/>
    </xf>
    <xf numFmtId="43" fontId="1" fillId="0" borderId="0" xfId="1" applyNumberFormat="1" applyFont="1" applyBorder="1" applyAlignment="1">
      <alignment horizontal="right" vertical="center"/>
    </xf>
    <xf numFmtId="0" fontId="24" fillId="0" borderId="0" xfId="0" applyFont="1" applyFill="1" applyBorder="1" applyAlignment="1">
      <alignment vertical="center"/>
    </xf>
    <xf numFmtId="0" fontId="8" fillId="0" borderId="0" xfId="0" applyFont="1" applyFill="1" applyAlignment="1">
      <alignment horizontal="right" vertical="center"/>
    </xf>
    <xf numFmtId="164" fontId="8" fillId="0" borderId="0" xfId="1" applyNumberFormat="1" applyFont="1" applyFill="1" applyBorder="1" applyAlignment="1">
      <alignment horizontal="right" vertical="center"/>
    </xf>
    <xf numFmtId="0" fontId="19" fillId="0" borderId="7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left" vertical="center" wrapText="1" indent="5"/>
    </xf>
    <xf numFmtId="0" fontId="22" fillId="0" borderId="0" xfId="0" applyFont="1" applyFill="1" applyBorder="1" applyAlignment="1">
      <alignment horizontal="left" vertical="center" indent="1"/>
    </xf>
    <xf numFmtId="0" fontId="8" fillId="0" borderId="0" xfId="0" applyFont="1" applyFill="1" applyBorder="1" applyAlignment="1">
      <alignment horizontal="left" vertical="center" indent="1"/>
    </xf>
    <xf numFmtId="0" fontId="8" fillId="0" borderId="0" xfId="0" applyFont="1" applyFill="1" applyBorder="1" applyAlignment="1">
      <alignment horizontal="left" vertical="center" wrapText="1" indent="3"/>
    </xf>
    <xf numFmtId="0" fontId="22" fillId="0" borderId="0" xfId="0" applyFont="1" applyFill="1" applyBorder="1" applyAlignment="1">
      <alignment horizontal="left" vertical="center"/>
    </xf>
    <xf numFmtId="0" fontId="26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0" fillId="0" borderId="46" xfId="0" applyBorder="1"/>
    <xf numFmtId="0" fontId="0" fillId="0" borderId="48" xfId="0" applyBorder="1"/>
    <xf numFmtId="0" fontId="2" fillId="0" borderId="4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164" fontId="0" fillId="0" borderId="47" xfId="1" applyNumberFormat="1" applyFont="1" applyBorder="1"/>
    <xf numFmtId="164" fontId="0" fillId="0" borderId="46" xfId="1" applyNumberFormat="1" applyFont="1" applyBorder="1"/>
    <xf numFmtId="164" fontId="0" fillId="0" borderId="0" xfId="1" applyNumberFormat="1" applyFont="1" applyBorder="1"/>
    <xf numFmtId="164" fontId="0" fillId="0" borderId="49" xfId="1" applyNumberFormat="1" applyFont="1" applyBorder="1"/>
    <xf numFmtId="164" fontId="0" fillId="0" borderId="48" xfId="1" applyNumberFormat="1" applyFont="1" applyBorder="1"/>
    <xf numFmtId="164" fontId="0" fillId="0" borderId="11" xfId="1" applyNumberFormat="1" applyFont="1" applyBorder="1"/>
    <xf numFmtId="164" fontId="0" fillId="2" borderId="46" xfId="1" applyNumberFormat="1" applyFont="1" applyFill="1" applyBorder="1"/>
    <xf numFmtId="164" fontId="0" fillId="2" borderId="0" xfId="1" applyNumberFormat="1" applyFont="1" applyFill="1" applyBorder="1"/>
    <xf numFmtId="164" fontId="0" fillId="2" borderId="0" xfId="1" applyNumberFormat="1" applyFont="1" applyFill="1"/>
    <xf numFmtId="164" fontId="0" fillId="2" borderId="48" xfId="1" applyNumberFormat="1" applyFont="1" applyFill="1" applyBorder="1"/>
    <xf numFmtId="164" fontId="0" fillId="2" borderId="11" xfId="1" applyNumberFormat="1" applyFont="1" applyFill="1" applyBorder="1"/>
    <xf numFmtId="164" fontId="0" fillId="2" borderId="49" xfId="1" applyNumberFormat="1" applyFont="1" applyFill="1" applyBorder="1"/>
    <xf numFmtId="164" fontId="0" fillId="2" borderId="47" xfId="1" applyNumberFormat="1" applyFont="1" applyFill="1" applyBorder="1"/>
    <xf numFmtId="0" fontId="0" fillId="0" borderId="0" xfId="0" applyAlignment="1">
      <alignment horizontal="center"/>
    </xf>
    <xf numFmtId="0" fontId="10" fillId="0" borderId="1" xfId="0" applyFont="1" applyBorder="1" applyAlignment="1">
      <alignment horizontal="center"/>
    </xf>
    <xf numFmtId="0" fontId="2" fillId="16" borderId="38" xfId="0" applyFont="1" applyFill="1" applyBorder="1" applyAlignment="1">
      <alignment horizontal="center" vertical="center" wrapText="1"/>
    </xf>
    <xf numFmtId="0" fontId="2" fillId="16" borderId="41" xfId="0" applyFont="1" applyFill="1" applyBorder="1" applyAlignment="1">
      <alignment horizontal="center" vertical="center" wrapText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32" xfId="0" applyFont="1" applyFill="1" applyBorder="1" applyAlignment="1">
      <alignment horizontal="center" vertical="center" wrapText="1"/>
    </xf>
    <xf numFmtId="0" fontId="16" fillId="9" borderId="30" xfId="0" applyFont="1" applyFill="1" applyBorder="1" applyAlignment="1">
      <alignment horizontal="center" vertical="center" wrapText="1"/>
    </xf>
    <xf numFmtId="0" fontId="16" fillId="9" borderId="33" xfId="0" applyFont="1" applyFill="1" applyBorder="1" applyAlignment="1">
      <alignment horizontal="center" vertical="center" wrapText="1"/>
    </xf>
    <xf numFmtId="0" fontId="19" fillId="10" borderId="35" xfId="0" applyFont="1" applyFill="1" applyBorder="1" applyAlignment="1">
      <alignment horizontal="center" vertical="center" wrapText="1"/>
    </xf>
    <xf numFmtId="0" fontId="19" fillId="10" borderId="38" xfId="0" applyFont="1" applyFill="1" applyBorder="1" applyAlignment="1">
      <alignment horizontal="center" vertical="center" wrapText="1"/>
    </xf>
    <xf numFmtId="0" fontId="2" fillId="12" borderId="38" xfId="0" applyFont="1" applyFill="1" applyBorder="1" applyAlignment="1">
      <alignment horizontal="center" vertical="center" wrapText="1"/>
    </xf>
    <xf numFmtId="0" fontId="2" fillId="14" borderId="38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</cellXfs>
  <cellStyles count="5">
    <cellStyle name="Comma" xfId="1" builtinId="3"/>
    <cellStyle name="Comma 2" xfId="4"/>
    <cellStyle name="Normal" xfId="0" builtinId="0"/>
    <cellStyle name="Normal 2" xfId="3"/>
    <cellStyle name="Percent" xfId="2" builtinId="5"/>
  </cellStyles>
  <dxfs count="20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1" tint="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1" tint="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1" tint="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1" tint="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1" tint="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1" tint="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1" tint="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1" tint="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theme="1" tint="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1" tint="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1" tint="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1" tint="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1" tint="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1" tint="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1" tint="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1" tint="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1" tint="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1" tint="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1" tint="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1" tint="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theme="1" tint="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1" tint="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1" tint="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1" tint="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1" tint="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1" tint="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1" tint="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1" tint="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1" tint="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1" tint="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1" tint="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1" tint="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theme="1" tint="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1" tint="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1" tint="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1" tint="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1" tint="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1" tint="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1" tint="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1" tint="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1" tint="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1" tint="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1" tint="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1" tint="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1" tint="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1" tint="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1" tint="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1" tint="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theme="1" tint="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1" tint="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1" tint="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1" tint="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1" tint="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1" tint="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1" tint="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1" tint="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1" tint="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1" tint="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1" tint="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1" tint="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1" tint="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1" tint="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theme="1" tint="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1" tint="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1" tint="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1" tint="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1" tint="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10</xdr:col>
      <xdr:colOff>409576</xdr:colOff>
      <xdr:row>6</xdr:row>
      <xdr:rowOff>161926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4607" t="61178" r="63303" b="31891"/>
        <a:stretch/>
      </xdr:blipFill>
      <xdr:spPr>
        <a:xfrm>
          <a:off x="3048000" y="190500"/>
          <a:ext cx="3457576" cy="111442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6</xdr:col>
      <xdr:colOff>113902</xdr:colOff>
      <xdr:row>41</xdr:row>
      <xdr:rowOff>149136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8032" t="30046" r="22661" b="7691"/>
        <a:stretch/>
      </xdr:blipFill>
      <xdr:spPr>
        <a:xfrm>
          <a:off x="609600" y="4191000"/>
          <a:ext cx="3161902" cy="3768636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18</xdr:row>
      <xdr:rowOff>0</xdr:rowOff>
    </xdr:from>
    <xdr:ext cx="1649619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0" y="3429000"/>
              <a:ext cx="1649619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d>
                          <m:d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𝜋</m:t>
                                    </m:r>
                                  </m:e>
                                  <m:sup>
                                    <m:r>
                                      <a:rPr lang="en-IN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en-I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</m:t>
                                </m:r>
                                <m:sSub>
                                  <m:sSubPr>
                                    <m:ctrlPr>
                                      <a:rPr lang="en-IN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IN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𝐼</m:t>
                                    </m:r>
                                  </m:e>
                                  <m:sub>
                                    <m:r>
                                      <a:rPr lang="en-IN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𝑦</m:t>
                                    </m:r>
                                  </m:sub>
                                </m:sSub>
                              </m:num>
                              <m:den>
                                <m:sSup>
                                  <m:sSup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sSub>
                                      <m:sSubPr>
                                        <m:ctrlPr>
                                          <a:rPr lang="en-IN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IN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𝐿</m:t>
                                        </m:r>
                                      </m:e>
                                      <m:sub>
                                        <m:r>
                                          <a:rPr lang="en-IN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𝐿𝑇</m:t>
                                        </m:r>
                                      </m:sub>
                                    </m:sSub>
                                  </m:e>
                                  <m:sup>
                                    <m:r>
                                      <a:rPr lang="en-IN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den>
                            </m:f>
                          </m:e>
                        </m:d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d>
                          <m:dPr>
                            <m:begChr m:val="["/>
                            <m:endChr m:val="]"/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𝐺</m:t>
                            </m:r>
                            <m:sSub>
                              <m:sSubPr>
                                <m:ctrlPr>
                                  <a:rPr lang="en-I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𝐼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sub>
                            </m:sSub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f>
                              <m:fPr>
                                <m:ctrlPr>
                                  <a:rPr lang="en-I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𝜋</m:t>
                                    </m:r>
                                  </m:e>
                                  <m:sup>
                                    <m:r>
                                      <a:rPr lang="en-IN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en-I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</m:t>
                                </m:r>
                                <m:sSub>
                                  <m:sSubPr>
                                    <m:ctrlPr>
                                      <a:rPr lang="en-IN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IN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𝐼</m:t>
                                    </m:r>
                                  </m:e>
                                  <m:sub>
                                    <m:r>
                                      <a:rPr lang="en-IN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𝑤</m:t>
                                    </m:r>
                                  </m:sub>
                                </m:sSub>
                              </m:num>
                              <m:den>
                                <m:sSup>
                                  <m:sSup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sSub>
                                      <m:sSubPr>
                                        <m:ctrlPr>
                                          <a:rPr lang="en-IN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IN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𝐿</m:t>
                                        </m:r>
                                      </m:e>
                                      <m:sub>
                                        <m:r>
                                          <a:rPr lang="en-IN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𝐿𝑇</m:t>
                                        </m:r>
                                      </m:sub>
                                    </m:sSub>
                                  </m:e>
                                  <m:sup>
                                    <m:r>
                                      <a:rPr lang="en-IN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den>
                            </m:f>
                          </m:e>
                        </m:d>
                      </m:e>
                    </m:rad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0" y="3429000"/>
              <a:ext cx="1649619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i="0">
                  <a:latin typeface="Cambria Math" panose="02040503050406030204" pitchFamily="18" charset="0"/>
                </a:rPr>
                <a:t>√((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(𝜋^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𝐸𝐼_𝑦)/〖𝐿_𝐿𝑇〗^2 )</a:t>
              </a:r>
              <a:r>
                <a:rPr lang="en-IN" sz="1100" b="0" i="0">
                  <a:latin typeface="Cambria Math" panose="02040503050406030204" pitchFamily="18" charset="0"/>
                </a:rPr>
                <a:t>∗[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𝐺𝐼_𝑡+(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𝜋^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𝐸𝐼_𝑤)/〖𝐿_𝐿𝑇〗^2 ] )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3</xdr:col>
      <xdr:colOff>19050</xdr:colOff>
      <xdr:row>17</xdr:row>
      <xdr:rowOff>171450</xdr:rowOff>
    </xdr:from>
    <xdr:ext cx="1695079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1847850" y="3409950"/>
              <a:ext cx="1695079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𝜋</m:t>
                            </m:r>
                          </m:e>
                          <m:sup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  <m:sSub>
                          <m:sSubPr>
                            <m:ctrl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sub>
                        </m:sSub>
                        <m:sSub>
                          <m:sSubPr>
                            <m:ctrl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  <m:r>
                                  <a:rPr lang="en-I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𝐿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𝐿𝑇</m:t>
                                </m:r>
                              </m:sub>
                            </m:sSub>
                          </m:e>
                          <m:sup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  <m:rad>
                      <m:radPr>
                        <m:degHide m:val="on"/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1+</m:t>
                        </m:r>
                        <m:f>
                          <m:f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20</m:t>
                            </m:r>
                          </m:den>
                        </m:f>
                        <m:sSup>
                          <m:sSup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begChr m:val="["/>
                                <m:endChr m:val="]"/>
                                <m:ctrlPr>
                                  <a:rPr lang="en-I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IN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f>
                                      <m:fPr>
                                        <m:type m:val="lin"/>
                                        <m:ctrlPr>
                                          <a:rPr lang="en-IN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sSub>
                                          <m:sSubPr>
                                            <m:ctrlPr>
                                              <a:rPr lang="en-IN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IN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𝐿</m:t>
                                            </m:r>
                                          </m:e>
                                          <m:sub>
                                            <m:r>
                                              <a:rPr lang="en-IN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𝐿𝑇</m:t>
                                            </m:r>
                                          </m:sub>
                                        </m:sSub>
                                      </m:num>
                                      <m:den>
                                        <m:sSub>
                                          <m:sSubPr>
                                            <m:ctrlPr>
                                              <a:rPr lang="en-IN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IN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𝑟</m:t>
                                            </m:r>
                                          </m:e>
                                          <m:sub>
                                            <m:r>
                                              <a:rPr lang="en-IN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𝑦</m:t>
                                            </m:r>
                                          </m:sub>
                                        </m:sSub>
                                      </m:den>
                                    </m:f>
                                  </m:num>
                                  <m:den>
                                    <m:f>
                                      <m:fPr>
                                        <m:type m:val="lin"/>
                                        <m:ctrlPr>
                                          <a:rPr lang="en-IN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sSub>
                                          <m:sSubPr>
                                            <m:ctrlPr>
                                              <a:rPr lang="en-IN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IN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h</m:t>
                                            </m:r>
                                          </m:e>
                                          <m:sub>
                                            <m:r>
                                              <a:rPr lang="en-IN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𝑓</m:t>
                                            </m:r>
                                          </m:sub>
                                        </m:sSub>
                                      </m:num>
                                      <m:den>
                                        <m:sSub>
                                          <m:sSubPr>
                                            <m:ctrlPr>
                                              <a:rPr lang="en-IN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IN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𝑡</m:t>
                                            </m:r>
                                          </m:e>
                                          <m:sub>
                                            <m:r>
                                              <a:rPr lang="en-IN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𝑓</m:t>
                                            </m:r>
                                          </m:sub>
                                        </m:sSub>
                                      </m:den>
                                    </m:f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1847850" y="3409950"/>
              <a:ext cx="1695079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(𝜋^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𝐸𝐼_𝑦 ℎ_𝑓)/〖〖2𝐿〗_𝐿𝑇〗^2  </a:t>
              </a:r>
              <a:r>
                <a:rPr lang="en-IN" sz="1100" i="0">
                  <a:latin typeface="Cambria Math" panose="02040503050406030204" pitchFamily="18" charset="0"/>
                </a:rPr>
                <a:t>√(</a:t>
              </a:r>
              <a:r>
                <a:rPr lang="en-IN" sz="1100" b="0" i="0">
                  <a:latin typeface="Cambria Math" panose="02040503050406030204" pitchFamily="18" charset="0"/>
                </a:rPr>
                <a:t>1+1/20 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[(𝐿_𝐿𝑇∕𝑟_𝑦 )/(ℎ_𝑓∕𝑡_𝑓 )]^</a:t>
              </a:r>
              <a:r>
                <a:rPr lang="en-IN" sz="1100" b="0" i="0">
                  <a:latin typeface="Cambria Math" panose="02040503050406030204" pitchFamily="18" charset="0"/>
                </a:rPr>
                <a:t>2 )</a:t>
              </a:r>
              <a:endParaRPr lang="en-IN" sz="1100"/>
            </a:p>
          </xdr:txBody>
        </xdr:sp>
      </mc:Fallback>
    </mc:AlternateContent>
    <xdr:clientData/>
  </xdr:oneCellAnchor>
  <xdr:twoCellAnchor editAs="oneCell">
    <xdr:from>
      <xdr:col>6</xdr:col>
      <xdr:colOff>95250</xdr:colOff>
      <xdr:row>20</xdr:row>
      <xdr:rowOff>66675</xdr:rowOff>
    </xdr:from>
    <xdr:to>
      <xdr:col>11</xdr:col>
      <xdr:colOff>360830</xdr:colOff>
      <xdr:row>49</xdr:row>
      <xdr:rowOff>165225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3657" t="16610" r="50507" b="5326"/>
        <a:stretch/>
      </xdr:blipFill>
      <xdr:spPr>
        <a:xfrm>
          <a:off x="3752850" y="3876675"/>
          <a:ext cx="3313580" cy="5623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131884</xdr:colOff>
      <xdr:row>72</xdr:row>
      <xdr:rowOff>10991</xdr:rowOff>
    </xdr:from>
    <xdr:ext cx="1765787" cy="1850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4205653" y="10327299"/>
              <a:ext cx="1765787" cy="1850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10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χ</m:t>
                    </m:r>
                    <m:f>
                      <m:fPr>
                        <m:type m:val="lin"/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110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γ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</m:t>
                            </m:r>
                          </m:sub>
                        </m:sSub>
                      </m:den>
                    </m:f>
                    <m:r>
                      <a:rPr lang="en-IN" sz="110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≤</m:t>
                    </m:r>
                    <m:f>
                      <m:fPr>
                        <m:type m:val="lin"/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γ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𝑚𝑜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4205653" y="10327299"/>
              <a:ext cx="1765787" cy="1850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l-GR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χ</a:t>
              </a:r>
              <a:r>
                <a:rPr lang="en-IN" sz="110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𝑓_𝑦∕</a:t>
              </a:r>
              <a:r>
                <a:rPr lang="el-GR" sz="110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γ</a:t>
              </a:r>
              <a:r>
                <a:rPr lang="en-IN" sz="110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 </a:t>
              </a:r>
              <a:r>
                <a:rPr lang="en-IN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≤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𝑓_𝑦∕</a:t>
              </a:r>
              <a:r>
                <a:rPr lang="el-GR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γ</a:t>
              </a:r>
              <a:r>
                <a:rPr lang="en-IN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𝑚𝑜 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345830</xdr:colOff>
      <xdr:row>66</xdr:row>
      <xdr:rowOff>39565</xdr:rowOff>
    </xdr:from>
    <xdr:ext cx="148438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4422530" y="9231190"/>
              <a:ext cx="148438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0.5</m:t>
                    </m:r>
                    <m:d>
                      <m:dPr>
                        <m:begChr m:val="["/>
                        <m:endChr m:val="]"/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1+</m:t>
                        </m:r>
                        <m:r>
                          <m:rPr>
                            <m:sty m:val="p"/>
                          </m:rPr>
                          <a:rPr lang="el-GR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α</m:t>
                        </m:r>
                        <m:d>
                          <m:dPr>
                            <m:ctrlPr>
                              <a:rPr lang="el-GR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el-GR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λ</m:t>
                            </m:r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−0.2</m:t>
                            </m:r>
                          </m:e>
                        </m:d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l-GR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λ</m:t>
                            </m:r>
                          </m:e>
                          <m:sup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d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4422530" y="9231190"/>
              <a:ext cx="148438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0.5[1+</a:t>
              </a:r>
              <a:r>
                <a:rPr lang="el-GR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α(λ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−0.2)+</a:t>
              </a:r>
              <a:r>
                <a:rPr lang="el-GR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λ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^2 ]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641838</xdr:colOff>
      <xdr:row>62</xdr:row>
      <xdr:rowOff>14653</xdr:rowOff>
    </xdr:from>
    <xdr:ext cx="1182566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4715607" y="8653095"/>
              <a:ext cx="1182566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type m:val="lin"/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𝑐𝑐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4715607" y="8653095"/>
              <a:ext cx="1182566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N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√(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𝑓_𝑦∕𝑓_𝑐𝑐 )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593481</xdr:colOff>
      <xdr:row>69</xdr:row>
      <xdr:rowOff>31505</xdr:rowOff>
    </xdr:from>
    <xdr:ext cx="1153842" cy="3423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4668524" y="10310222"/>
              <a:ext cx="1153842" cy="3423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d>
                          <m:dPr>
                            <m:begChr m:val="["/>
                            <m:endChr m:val="]"/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el-GR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Φ</m:t>
                            </m:r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sSup>
                              <m:sSup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p>
                                      <m:sSupPr>
                                        <m:ctrlPr>
                                          <a:rPr lang="en-IN" sz="1100" b="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el-GR" sz="1100" b="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Φ</m:t>
                                        </m:r>
                                      </m:e>
                                      <m:sup>
                                        <m:r>
                                          <a:rPr lang="en-IN" sz="1100" b="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sSup>
                                      <m:sSupPr>
                                        <m:ctrlPr>
                                          <a:rPr lang="en-IN" sz="1100" b="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el-GR" sz="1100" b="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λ</m:t>
                                        </m:r>
                                      </m:e>
                                      <m:sup>
                                        <m:r>
                                          <a:rPr lang="en-IN" sz="1100" b="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  <m:sup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0.5</m:t>
                                </m:r>
                              </m:sup>
                            </m:sSup>
                          </m:e>
                        </m:d>
                      </m:den>
                    </m:f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4668524" y="10310222"/>
              <a:ext cx="1153842" cy="3423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1/[</a:t>
              </a:r>
              <a:r>
                <a:rPr lang="el-GR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Φ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+(</a:t>
              </a:r>
              <a:r>
                <a:rPr lang="el-GR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Φ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^2−</a:t>
              </a:r>
              <a:r>
                <a:rPr lang="el-GR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λ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^2 )^0.5 ] 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943803</xdr:colOff>
      <xdr:row>46</xdr:row>
      <xdr:rowOff>20292</xdr:rowOff>
    </xdr:from>
    <xdr:ext cx="942975" cy="3878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5018846" y="9404488"/>
              <a:ext cx="942975" cy="3878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2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2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  <m:sub>
                            <m: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𝑔</m:t>
                            </m:r>
                          </m:sub>
                        </m:sSub>
                        <m:r>
                          <a:rPr lang="en-IN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2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12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γ</m:t>
                            </m:r>
                          </m:e>
                          <m:sub>
                            <m: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𝑚𝑜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2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5018846" y="9404488"/>
              <a:ext cx="942975" cy="3878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N" sz="12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2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𝐴_𝑔∗𝑓_𝑦)/</a:t>
              </a:r>
              <a:r>
                <a:rPr lang="el-GR" sz="12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γ</a:t>
              </a:r>
              <a:r>
                <a:rPr lang="en-IN" sz="12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2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𝑚𝑜 </a:t>
              </a:r>
              <a:endParaRPr lang="en-IN" sz="12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1170747</xdr:colOff>
      <xdr:row>86</xdr:row>
      <xdr:rowOff>39342</xdr:rowOff>
    </xdr:from>
    <xdr:ext cx="573682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5245790" y="14873494"/>
              <a:ext cx="573682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type m:val="lin"/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250</m:t>
                            </m:r>
                          </m:num>
                          <m:den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5245790" y="14873494"/>
              <a:ext cx="573682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√(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250∕𝑓_𝑦 )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245162</xdr:colOff>
      <xdr:row>90</xdr:row>
      <xdr:rowOff>85725</xdr:rowOff>
    </xdr:from>
    <xdr:ext cx="1646925" cy="35708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4320205" y="16236812"/>
              <a:ext cx="1646925" cy="357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β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𝑏</m:t>
                            </m:r>
                          </m:sub>
                        </m:s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𝑍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𝑝</m:t>
                            </m:r>
                          </m:sub>
                        </m:s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γ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𝑚𝑜</m:t>
                            </m:r>
                          </m:sub>
                        </m:sSub>
                      </m:den>
                    </m:f>
                    <m:r>
                      <a:rPr lang="en-IN" sz="110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≤</m:t>
                    </m:r>
                    <m:f>
                      <m:fPr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1.2∗</m:t>
                        </m:r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𝑍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110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γ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4320205" y="16236812"/>
              <a:ext cx="1646925" cy="357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</a:t>
              </a:r>
              <a:r>
                <a:rPr lang="el-GR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β</a:t>
              </a:r>
              <a:r>
                <a:rPr lang="en-IN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𝑏∗𝑍_𝑝∗𝑓_𝑦)/</a:t>
              </a:r>
              <a:r>
                <a:rPr lang="el-GR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γ</a:t>
              </a:r>
              <a:r>
                <a:rPr lang="en-IN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𝑚𝑜 </a:t>
              </a:r>
              <a:r>
                <a:rPr lang="en-IN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≤</a:t>
              </a:r>
              <a:r>
                <a:rPr lang="en-IN" sz="110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1.2∗𝑍_𝑒∗𝑓_𝑦)/</a:t>
              </a:r>
              <a:r>
                <a:rPr lang="el-GR" sz="110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γ</a:t>
              </a:r>
              <a:r>
                <a:rPr lang="en-IN" sz="110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 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913572</xdr:colOff>
      <xdr:row>104</xdr:row>
      <xdr:rowOff>35615</xdr:rowOff>
    </xdr:from>
    <xdr:ext cx="855875" cy="3580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4988615" y="19193289"/>
              <a:ext cx="855875" cy="3580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𝑣</m:t>
                            </m:r>
                          </m:sub>
                        </m:s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𝑦𝑤</m:t>
                            </m:r>
                          </m:sub>
                        </m:sSub>
                      </m:num>
                      <m:den>
                        <m:rad>
                          <m:radPr>
                            <m:degHide m:val="on"/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3</m:t>
                            </m:r>
                          </m:e>
                        </m:rad>
                      </m:den>
                    </m:f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/</m:t>
                    </m:r>
                    <m:sSub>
                      <m:sSub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γ</m:t>
                        </m:r>
                      </m:e>
                      <m: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𝑚𝑜</m:t>
                        </m:r>
                      </m:sub>
                    </m:sSub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4988615" y="19193289"/>
              <a:ext cx="855875" cy="3580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𝐴_𝑣∗𝑓_𝑦𝑤)/√3/</a:t>
              </a:r>
              <a:r>
                <a:rPr lang="el-GR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γ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_𝑚𝑜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195885</xdr:colOff>
      <xdr:row>124</xdr:row>
      <xdr:rowOff>40585</xdr:rowOff>
    </xdr:from>
    <xdr:ext cx="1651137" cy="55008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4270928" y="24374889"/>
              <a:ext cx="1651137" cy="5500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100">
                  <a:solidFill>
                    <a:sysClr val="windowText" lastClr="000000"/>
                  </a:solidFill>
                </a:rPr>
                <a:t>Plastic or Compact Section: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m:rPr>
                        <m:sty m:val="p"/>
                      </m:rPr>
                      <a:rPr lang="el-GR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β</m:t>
                    </m:r>
                    <m:d>
                      <m:dPr>
                        <m:ctrlPr>
                          <a:rPr lang="el-GR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l-GR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𝑑</m:t>
                            </m:r>
                          </m:sub>
                        </m:s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𝑓𝑑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IN" sz="1100" b="0" i="1">
                <a:solidFill>
                  <a:sysClr val="windowText" lastClr="000000"/>
                </a:solidFill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l-GR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≤</m:t>
                    </m:r>
                    <m:f>
                      <m:fPr>
                        <m:type m:val="lin"/>
                        <m:ctrlPr>
                          <a:rPr lang="el-GR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1.2 </m:t>
                        </m:r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𝑍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l-GR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γ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𝑚𝑜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4270928" y="24374889"/>
              <a:ext cx="1651137" cy="5500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100">
                  <a:solidFill>
                    <a:sysClr val="windowText" lastClr="000000"/>
                  </a:solidFill>
                </a:rPr>
                <a:t>Plastic or Compact Section:</a:t>
              </a:r>
            </a:p>
            <a:p>
              <a:pPr/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𝑀_𝑑−</a:t>
              </a:r>
              <a:r>
                <a:rPr lang="el-GR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β(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𝑀</a:t>
              </a:r>
              <a:r>
                <a:rPr lang="el-GR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𝑑−𝑀_𝑓𝑑 )</a:t>
              </a:r>
              <a:endParaRPr lang="en-IN" sz="1100" b="0" i="1">
                <a:solidFill>
                  <a:sysClr val="windowText" lastClr="000000"/>
                </a:solidFill>
                <a:latin typeface="Cambria Math" panose="02040503050406030204" pitchFamily="18" charset="0"/>
              </a:endParaRPr>
            </a:p>
            <a:p>
              <a:pPr/>
              <a:r>
                <a:rPr lang="el-GR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≤〖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1.2 𝑍_𝑒  𝑓_𝑦</a:t>
              </a:r>
              <a:r>
                <a:rPr lang="el-GR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〗∕γ_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𝑚𝑜 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809625</xdr:colOff>
      <xdr:row>117</xdr:row>
      <xdr:rowOff>9525</xdr:rowOff>
    </xdr:from>
    <xdr:ext cx="676147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4886325" y="20354925"/>
              <a:ext cx="676147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𝑉</m:t>
                                    </m:r>
                                  </m:e>
                                  <m:sub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𝑑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</m:e>
                      <m:sup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4886325" y="20354925"/>
              <a:ext cx="676147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2𝑉/𝑉_𝑑 −1)^2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132523</xdr:colOff>
      <xdr:row>124</xdr:row>
      <xdr:rowOff>638257</xdr:rowOff>
    </xdr:from>
    <xdr:ext cx="1731065" cy="3551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/>
            <xdr:cNvSpPr txBox="1"/>
          </xdr:nvSpPr>
          <xdr:spPr>
            <a:xfrm>
              <a:off x="4207566" y="24972561"/>
              <a:ext cx="1731065" cy="3551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 marL="0" marR="0" lvl="0" indent="0" algn="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IN" sz="1100" b="0" i="0">
                        <a:solidFill>
                          <a:sysClr val="windowText" lastClr="000000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Semi</m:t>
                    </m:r>
                    <m:r>
                      <m:rPr>
                        <m:nor/>
                      </m:rPr>
                      <a:rPr lang="en-IN" sz="1100" b="0" i="0">
                        <a:solidFill>
                          <a:sysClr val="windowText" lastClr="000000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</m:t>
                    </m:r>
                    <m:r>
                      <m:rPr>
                        <m:nor/>
                      </m:rPr>
                      <a:rPr lang="en-IN" sz="1100">
                        <a:solidFill>
                          <a:sysClr val="windowText" lastClr="000000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Compact</m:t>
                    </m:r>
                    <m:r>
                      <m:rPr>
                        <m:nor/>
                      </m:rPr>
                      <a:rPr lang="en-IN" sz="1100">
                        <a:solidFill>
                          <a:sysClr val="windowText" lastClr="000000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n-IN" sz="1100">
                        <a:solidFill>
                          <a:sysClr val="windowText" lastClr="000000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Section</m:t>
                    </m:r>
                    <m:r>
                      <m:rPr>
                        <m:nor/>
                      </m:rPr>
                      <a:rPr lang="en-IN" sz="1100">
                        <a:solidFill>
                          <a:sysClr val="windowText" lastClr="000000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:</m:t>
                    </m:r>
                  </m:oMath>
                </m:oMathPara>
              </a14:m>
              <a:endParaRPr lang="en-IN">
                <a:solidFill>
                  <a:sysClr val="windowText" lastClr="000000"/>
                </a:solidFill>
                <a:effectLst/>
              </a:endParaRPr>
            </a:p>
            <a:p>
              <a:pPr algn="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lin"/>
                        <m:ctrlPr>
                          <a:rPr lang="el-GR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𝑍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l-GR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γ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𝑚𝑜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4207566" y="24972561"/>
              <a:ext cx="1731065" cy="3551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 marL="0" marR="0" lvl="0" indent="0" algn="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"Semi−</a:t>
              </a:r>
              <a:r>
                <a:rPr lang="en-IN" sz="110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Compact Section:</a:t>
              </a:r>
              <a:r>
                <a:rPr lang="en-IN" sz="1100" i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IN">
                <a:solidFill>
                  <a:sysClr val="windowText" lastClr="000000"/>
                </a:solidFill>
                <a:effectLst/>
              </a:endParaRPr>
            </a:p>
            <a:p>
              <a:pPr algn="r"/>
              <a:r>
                <a:rPr lang="el-GR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〖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 𝑍_𝑒  𝑓_𝑦</a:t>
              </a:r>
              <a:r>
                <a:rPr lang="el-GR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〗∕γ_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𝑚𝑜 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73716</xdr:colOff>
      <xdr:row>141</xdr:row>
      <xdr:rowOff>120927</xdr:rowOff>
    </xdr:from>
    <xdr:ext cx="1773499" cy="4023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/>
            <xdr:cNvSpPr txBox="1"/>
          </xdr:nvSpPr>
          <xdr:spPr>
            <a:xfrm>
              <a:off x="4148759" y="26807492"/>
              <a:ext cx="1773499" cy="4023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IN" sz="110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𝑀</m:t>
                                    </m:r>
                                  </m:e>
                                  <m:sub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𝑀</m:t>
                                    </m:r>
                                  </m:e>
                                  <m:sub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𝑛𝑑𝑦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</m:e>
                      <m:sup>
                        <m:sSub>
                          <m:sSub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α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sup>
                    </m:sSup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𝑀</m:t>
                                    </m:r>
                                  </m:e>
                                  <m:sub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𝑧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𝑀</m:t>
                                    </m:r>
                                  </m:e>
                                  <m:sub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𝑛𝑑𝑧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</m:e>
                      <m:sup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α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sup>
                    </m:sSup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≤1.0</m:t>
                    </m:r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4148759" y="26807492"/>
              <a:ext cx="1773499" cy="4023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𝑀_𝑦/𝑀_𝑛𝑑𝑦 )^(</a:t>
              </a:r>
              <a:r>
                <a:rPr lang="el-GR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α</a:t>
              </a:r>
              <a:r>
                <a:rPr lang="en-IN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1 )+(𝑀_𝑧/𝑀_𝑛𝑑𝑧 )^(</a:t>
              </a:r>
              <a:r>
                <a:rPr lang="el-GR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α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_2 )≤1.0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16153</xdr:colOff>
      <xdr:row>145</xdr:row>
      <xdr:rowOff>32303</xdr:rowOff>
    </xdr:from>
    <xdr:ext cx="1895474" cy="4695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/>
            <xdr:cNvSpPr txBox="1"/>
          </xdr:nvSpPr>
          <xdr:spPr>
            <a:xfrm>
              <a:off x="4091196" y="32947390"/>
              <a:ext cx="1895474" cy="4695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4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𝑁</m:t>
                        </m:r>
                      </m:num>
                      <m:den>
                        <m:sSub>
                          <m:sSubPr>
                            <m:ctrlPr>
                              <a:rPr lang="en-IN" sz="14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en-IN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𝑑</m:t>
                            </m:r>
                          </m:sub>
                        </m:sSub>
                      </m:den>
                    </m:f>
                    <m:r>
                      <a:rPr lang="en-IN" sz="14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IN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IN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IN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𝑑𝑦</m:t>
                            </m:r>
                          </m:sub>
                        </m:sSub>
                      </m:den>
                    </m:f>
                    <m:r>
                      <a:rPr lang="en-IN" sz="14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IN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IN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𝑧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IN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𝑑𝑧</m:t>
                            </m:r>
                          </m:sub>
                        </m:sSub>
                      </m:den>
                    </m:f>
                    <m:r>
                      <a:rPr lang="en-IN" sz="14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≤1.0</m:t>
                    </m:r>
                  </m:oMath>
                </m:oMathPara>
              </a14:m>
              <a:endParaRPr lang="en-IN" sz="14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5" name="TextBox 14"/>
            <xdr:cNvSpPr txBox="1"/>
          </xdr:nvSpPr>
          <xdr:spPr>
            <a:xfrm>
              <a:off x="4091196" y="32947390"/>
              <a:ext cx="1895474" cy="4695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N" sz="14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𝑁/𝑁_𝑑 +𝑀_𝑦/𝑀_𝑑𝑦 +𝑀_𝑧/𝑀_𝑑𝑧   ≤1.0</a:t>
              </a:r>
              <a:endParaRPr lang="en-IN" sz="14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135835</xdr:colOff>
      <xdr:row>136</xdr:row>
      <xdr:rowOff>208306</xdr:rowOff>
    </xdr:from>
    <xdr:ext cx="1781175" cy="1909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/>
            <xdr:cNvSpPr txBox="1"/>
          </xdr:nvSpPr>
          <xdr:spPr>
            <a:xfrm>
              <a:off x="4210878" y="26836893"/>
              <a:ext cx="1781175" cy="1909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2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1.04 </m:t>
                    </m:r>
                    <m:sSub>
                      <m:sSubPr>
                        <m:ctrlPr>
                          <a:rPr lang="en-IN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n-IN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n-IN" sz="12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n-IN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IN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p>
                            <m: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1.7</m:t>
                            </m:r>
                          </m:sup>
                        </m:sSup>
                      </m:e>
                    </m:d>
                    <m:r>
                      <a:rPr lang="en-IN" sz="12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≤ </m:t>
                    </m:r>
                    <m:sSub>
                      <m:sSubPr>
                        <m:ctrlPr>
                          <a:rPr lang="en-IN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n-IN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</m:oMath>
                </m:oMathPara>
              </a14:m>
              <a:endParaRPr lang="en-IN" sz="12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4210878" y="26836893"/>
              <a:ext cx="1781175" cy="1909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N" sz="12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1.04 𝑀_𝑑  (1−𝑛^1.7 )  ≤ 𝑀_𝑑</a:t>
              </a:r>
              <a:endParaRPr lang="en-IN" sz="12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257175</xdr:colOff>
      <xdr:row>151</xdr:row>
      <xdr:rowOff>66675</xdr:rowOff>
    </xdr:from>
    <xdr:ext cx="166738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/>
            <xdr:cNvSpPr txBox="1"/>
          </xdr:nvSpPr>
          <xdr:spPr>
            <a:xfrm>
              <a:off x="4333875" y="28032075"/>
              <a:ext cx="166738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4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𝑀</m:t>
                    </m:r>
                    <m:r>
                      <a:rPr lang="en-IN" sz="14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type m:val="lin"/>
                        <m:ctrlPr>
                          <a:rPr lang="en-IN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l-GR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ψ</m:t>
                        </m:r>
                        <m:r>
                          <a:rPr lang="en-IN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𝑇</m:t>
                        </m:r>
                        <m:sSub>
                          <m:sSubPr>
                            <m:ctrlPr>
                              <a:rPr lang="en-IN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𝑍</m:t>
                            </m:r>
                          </m:e>
                          <m:sub>
                            <m:r>
                              <a:rPr lang="en-IN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𝑒𝑐</m:t>
                            </m:r>
                          </m:sub>
                        </m:sSub>
                      </m:num>
                      <m:den>
                        <m:r>
                          <a:rPr lang="en-IN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IN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 ≤ </m:t>
                        </m:r>
                        <m:sSub>
                          <m:sSubPr>
                            <m:ctrlPr>
                              <a:rPr lang="en-IN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IN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𝑑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4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4333875" y="28032075"/>
              <a:ext cx="166738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4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𝑀−〖</a:t>
              </a:r>
              <a:r>
                <a:rPr lang="el-GR" sz="14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ψ</a:t>
              </a:r>
              <a:r>
                <a:rPr lang="en-IN" sz="14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𝑇𝑍_𝑒𝑐〗∕〖𝐴 ≤ </a:t>
              </a:r>
              <a:r>
                <a:rPr lang="en-IN" sz="14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𝑀_𝑑 〗</a:t>
              </a:r>
              <a:endParaRPr lang="en-IN" sz="14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3</xdr:col>
      <xdr:colOff>475418</xdr:colOff>
      <xdr:row>173</xdr:row>
      <xdr:rowOff>57150</xdr:rowOff>
    </xdr:from>
    <xdr:ext cx="1926535" cy="5568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/>
            <xdr:cNvSpPr txBox="1"/>
          </xdr:nvSpPr>
          <xdr:spPr>
            <a:xfrm>
              <a:off x="4020375" y="37660193"/>
              <a:ext cx="1926535" cy="5568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right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𝑃</m:t>
                        </m:r>
                      </m:num>
                      <m:den>
                        <m:sSub>
                          <m:sSub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𝑑𝑦</m:t>
                            </m:r>
                          </m:sub>
                        </m:sSub>
                      </m:den>
                    </m:f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  <m:f>
                      <m:f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sSub>
                              <m:sSub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𝑚𝑦</m:t>
                                </m:r>
                              </m:sub>
                            </m:s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𝑑𝑦</m:t>
                            </m:r>
                          </m:sub>
                        </m:sSub>
                      </m:den>
                    </m:f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𝐿𝑇</m:t>
                        </m:r>
                      </m:sub>
                    </m:sSub>
                    <m:f>
                      <m:f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𝑧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𝑑𝑧</m:t>
                            </m:r>
                          </m:sub>
                        </m:sSub>
                      </m:den>
                    </m:f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≤1.0</m:t>
                    </m:r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8" name="TextBox 17"/>
            <xdr:cNvSpPr txBox="1"/>
          </xdr:nvSpPr>
          <xdr:spPr>
            <a:xfrm>
              <a:off x="4020375" y="37660193"/>
              <a:ext cx="1926535" cy="5568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/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𝑃/𝑃_𝑑𝑦 +𝐾_𝑦  〖𝐶_𝑚𝑦  𝑀〗_𝑦/𝑀_𝑑𝑦 +𝐾_𝐿𝑇  𝑀_𝑧/𝑀_𝑑𝑧   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≤1.0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90695</xdr:colOff>
      <xdr:row>177</xdr:row>
      <xdr:rowOff>27747</xdr:rowOff>
    </xdr:from>
    <xdr:ext cx="1924052" cy="7818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/>
            <xdr:cNvSpPr txBox="1"/>
          </xdr:nvSpPr>
          <xdr:spPr>
            <a:xfrm>
              <a:off x="4165738" y="39303877"/>
              <a:ext cx="1924052" cy="7818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2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𝑃</m:t>
                        </m:r>
                      </m:num>
                      <m:den>
                        <m:sSub>
                          <m:sSubPr>
                            <m:ctrlPr>
                              <a:rPr lang="en-IN" sz="12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𝑑𝑧</m:t>
                            </m:r>
                          </m:sub>
                        </m:sSub>
                      </m:den>
                    </m:f>
                    <m:r>
                      <a:rPr lang="en-IN" sz="12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IN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0.6</m:t>
                        </m:r>
                        <m:r>
                          <a:rPr lang="en-IN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IN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  <m:f>
                      <m:fPr>
                        <m:ctrlPr>
                          <a:rPr lang="en-IN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sSub>
                              <m:sSubPr>
                                <m:ctrlPr>
                                  <a:rPr lang="en-IN" sz="12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12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n-IN" sz="12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𝑚𝑦</m:t>
                                </m:r>
                              </m:sub>
                            </m:sSub>
                            <m: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𝑑𝑦</m:t>
                            </m:r>
                          </m:sub>
                        </m:sSub>
                      </m:den>
                    </m:f>
                    <m:r>
                      <a:rPr lang="en-IN" sz="12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IN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IN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𝑧</m:t>
                        </m:r>
                      </m:sub>
                    </m:sSub>
                    <m:f>
                      <m:fPr>
                        <m:ctrlPr>
                          <a:rPr lang="en-IN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sSub>
                              <m:sSubPr>
                                <m:ctrlPr>
                                  <a:rPr lang="en-IN" sz="12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12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n-IN" sz="12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𝑚𝑧</m:t>
                                </m:r>
                              </m:sub>
                            </m:sSub>
                            <m: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𝑧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𝑑𝑧</m:t>
                            </m:r>
                          </m:sub>
                        </m:sSub>
                      </m:den>
                    </m:f>
                    <m:r>
                      <a:rPr lang="en-IN" sz="12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n-IN" sz="12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≤1.0</m:t>
                    </m:r>
                  </m:oMath>
                </m:oMathPara>
              </a14:m>
              <a:endParaRPr lang="en-IN" sz="12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9" name="TextBox 18"/>
            <xdr:cNvSpPr txBox="1"/>
          </xdr:nvSpPr>
          <xdr:spPr>
            <a:xfrm>
              <a:off x="4165738" y="39303877"/>
              <a:ext cx="1924052" cy="7818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N" sz="12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𝑃/𝑃_𝑑𝑧 +〖0.6𝐾〗_𝑦  〖𝐶_𝑚𝑦  𝑀〗_𝑦/𝑀_𝑑𝑦 +𝐾_𝑧  〖𝐶_𝑚𝑧  𝑀〗_𝑧/𝑀_𝑑𝑧   </a:t>
              </a:r>
              <a:r>
                <a:rPr lang="en-IN" sz="12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≤1.0</a:t>
              </a:r>
              <a:endParaRPr lang="en-IN" sz="12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28575</xdr:colOff>
      <xdr:row>165</xdr:row>
      <xdr:rowOff>377274</xdr:rowOff>
    </xdr:from>
    <xdr:ext cx="1855700" cy="1947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/>
            <xdr:cNvSpPr txBox="1"/>
          </xdr:nvSpPr>
          <xdr:spPr>
            <a:xfrm>
              <a:off x="4103618" y="35586644"/>
              <a:ext cx="1855700" cy="1947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1+</m:t>
                    </m:r>
                    <m:d>
                      <m:d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λ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−0.2</m:t>
                        </m:r>
                      </m:e>
                    </m:d>
                    <m:sSub>
                      <m:sSub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≤1+0.8</m:t>
                    </m:r>
                    <m:sSub>
                      <m:sSub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</m:t>
                        </m:r>
                      </m:sub>
                    </m:sSub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20" name="TextBox 19"/>
            <xdr:cNvSpPr txBox="1"/>
          </xdr:nvSpPr>
          <xdr:spPr>
            <a:xfrm>
              <a:off x="4103618" y="35586644"/>
              <a:ext cx="1855700" cy="1947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1+(</a:t>
              </a:r>
              <a:r>
                <a:rPr lang="el-GR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λ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_𝑦−0.2) 𝑛_𝑦  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≤1+0.8𝑛_𝑦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19050</xdr:colOff>
      <xdr:row>168</xdr:row>
      <xdr:rowOff>0</xdr:rowOff>
    </xdr:from>
    <xdr:ext cx="181318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/>
            <xdr:cNvSpPr txBox="1"/>
          </xdr:nvSpPr>
          <xdr:spPr>
            <a:xfrm>
              <a:off x="4094093" y="33627391"/>
              <a:ext cx="181318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1+</m:t>
                    </m:r>
                    <m:d>
                      <m:d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λ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𝑧</m:t>
                            </m:r>
                          </m:sub>
                        </m:s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−0.2</m:t>
                        </m:r>
                      </m:e>
                    </m:d>
                    <m:sSub>
                      <m:sSub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𝑧</m:t>
                        </m:r>
                      </m:sub>
                    </m:sSub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≤1+0.8</m:t>
                    </m:r>
                    <m:sSub>
                      <m:sSub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𝑧</m:t>
                        </m:r>
                      </m:sub>
                    </m:sSub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21" name="TextBox 20"/>
            <xdr:cNvSpPr txBox="1"/>
          </xdr:nvSpPr>
          <xdr:spPr>
            <a:xfrm>
              <a:off x="4094093" y="33627391"/>
              <a:ext cx="181318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1+(</a:t>
              </a:r>
              <a:r>
                <a:rPr lang="el-GR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λ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_𝑧−0.2) 𝑛_𝑧  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≤1+0.8𝑛_𝑧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159440</xdr:colOff>
      <xdr:row>170</xdr:row>
      <xdr:rowOff>15089</xdr:rowOff>
    </xdr:from>
    <xdr:ext cx="1704975" cy="7702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/>
            <xdr:cNvSpPr txBox="1"/>
          </xdr:nvSpPr>
          <xdr:spPr>
            <a:xfrm>
              <a:off x="4234483" y="36748459"/>
              <a:ext cx="1704975" cy="770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right"/>
                  </m:oMathParaPr>
                  <m:oMath xmlns:m="http://schemas.openxmlformats.org/officeDocument/2006/math">
                    <m:r>
                      <a:rPr lang="en-IN" sz="12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1−</m:t>
                    </m:r>
                    <m:f>
                      <m:fPr>
                        <m:ctrlPr>
                          <a:rPr lang="en-IN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0.1</m:t>
                        </m:r>
                        <m:sSub>
                          <m:sSubPr>
                            <m:ctrlP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λ</m:t>
                            </m:r>
                          </m:e>
                          <m:sub>
                            <m: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𝐿𝑇</m:t>
                            </m:r>
                          </m:sub>
                        </m:sSub>
                        <m:sSub>
                          <m:sSubPr>
                            <m:ctrlP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</m:num>
                      <m:den>
                        <m:d>
                          <m:dPr>
                            <m:ctrlP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IN" sz="12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12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n-IN" sz="12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𝑚𝐿𝑇</m:t>
                                </m:r>
                              </m:sub>
                            </m:sSub>
                            <m: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−0.25</m:t>
                            </m:r>
                          </m:e>
                        </m:d>
                      </m:den>
                    </m:f>
                    <m:r>
                      <a:rPr lang="en-IN" sz="12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n-IN" sz="12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≥1−</m:t>
                    </m:r>
                    <m:f>
                      <m:fPr>
                        <m:ctrlPr>
                          <a:rPr lang="en-IN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0.1</m:t>
                        </m:r>
                        <m:sSub>
                          <m:sSubPr>
                            <m:ctrlP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</m:num>
                      <m:den>
                        <m:d>
                          <m:dPr>
                            <m:ctrlP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IN" sz="12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12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n-IN" sz="12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𝑚𝐿𝑇</m:t>
                                </m:r>
                              </m:sub>
                            </m:sSub>
                            <m: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−0.25</m:t>
                            </m:r>
                          </m:e>
                        </m:d>
                      </m:den>
                    </m:f>
                  </m:oMath>
                </m:oMathPara>
              </a14:m>
              <a:endParaRPr lang="en-IN" sz="16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22" name="TextBox 21"/>
            <xdr:cNvSpPr txBox="1"/>
          </xdr:nvSpPr>
          <xdr:spPr>
            <a:xfrm>
              <a:off x="4234483" y="36748459"/>
              <a:ext cx="1704975" cy="770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/>
              <a:r>
                <a:rPr lang="en-IN" sz="12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1−(0.1</a:t>
              </a:r>
              <a:r>
                <a:rPr lang="el-GR" sz="12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λ</a:t>
              </a:r>
              <a:r>
                <a:rPr lang="en-IN" sz="12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_𝐿𝑇 𝑛_𝑦)/((𝐶_𝑚𝐿𝑇−0.25) )  </a:t>
              </a:r>
              <a:r>
                <a:rPr lang="en-IN" sz="12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≥1−(0.1𝑛_𝑦)/((𝐶_𝑚𝐿𝑇−0.25) )</a:t>
              </a:r>
              <a:endParaRPr lang="en-IN" sz="16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1132743</xdr:colOff>
      <xdr:row>59</xdr:row>
      <xdr:rowOff>55685</xdr:rowOff>
    </xdr:from>
    <xdr:ext cx="538994" cy="3636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/>
            <xdr:cNvSpPr txBox="1"/>
          </xdr:nvSpPr>
          <xdr:spPr>
            <a:xfrm>
              <a:off x="5206512" y="8056685"/>
              <a:ext cx="538994" cy="3636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l-GR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π</m:t>
                            </m:r>
                          </m:e>
                          <m:sup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sSup>
                          <m:sSup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type m:val="lin"/>
                                    <m:ctrlPr>
                                      <a:rPr lang="en-IN" sz="110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𝐾𝐿</m:t>
                                    </m:r>
                                  </m:num>
                                  <m:den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23" name="TextBox 22"/>
            <xdr:cNvSpPr txBox="1"/>
          </xdr:nvSpPr>
          <xdr:spPr>
            <a:xfrm>
              <a:off x="5206512" y="8056685"/>
              <a:ext cx="538994" cy="3636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</a:t>
              </a:r>
              <a:r>
                <a:rPr lang="el-GR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π</a:t>
              </a:r>
              <a:r>
                <a:rPr lang="en-IN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^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2 𝐸)/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(𝐾𝐿∕𝑟)^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2 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892867</xdr:colOff>
      <xdr:row>48</xdr:row>
      <xdr:rowOff>81170</xdr:rowOff>
    </xdr:from>
    <xdr:ext cx="891077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/>
            <xdr:cNvSpPr txBox="1"/>
          </xdr:nvSpPr>
          <xdr:spPr>
            <a:xfrm>
              <a:off x="4967910" y="10111409"/>
              <a:ext cx="891077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lin"/>
                        <m:ctrlPr>
                          <a:rPr lang="en-IN" sz="12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0.9</m:t>
                        </m:r>
                        <m:sSub>
                          <m:sSubPr>
                            <m:ctrlP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  <m:sub>
                            <m: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  <m:sSub>
                          <m:sSubPr>
                            <m:ctrlP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𝑢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2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12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γ</m:t>
                            </m:r>
                          </m:e>
                          <m:sub>
                            <m: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𝑚</m:t>
                            </m:r>
                            <m: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2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24" name="TextBox 23"/>
            <xdr:cNvSpPr txBox="1"/>
          </xdr:nvSpPr>
          <xdr:spPr>
            <a:xfrm>
              <a:off x="4967910" y="10111409"/>
              <a:ext cx="891077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2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〖</a:t>
              </a:r>
              <a:r>
                <a:rPr lang="en-IN" sz="12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0.9𝐴_𝑛 𝑓_𝑢〗∕</a:t>
              </a:r>
              <a:r>
                <a:rPr lang="el-GR" sz="12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γ</a:t>
              </a:r>
              <a:r>
                <a:rPr lang="en-IN" sz="12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2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𝑚1 </a:t>
              </a:r>
              <a:endParaRPr lang="en-IN" sz="12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3</xdr:col>
      <xdr:colOff>387623</xdr:colOff>
      <xdr:row>153</xdr:row>
      <xdr:rowOff>17487</xdr:rowOff>
    </xdr:from>
    <xdr:ext cx="1997766" cy="5967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/>
            <xdr:cNvSpPr txBox="1"/>
          </xdr:nvSpPr>
          <xdr:spPr>
            <a:xfrm>
              <a:off x="3932580" y="32062900"/>
              <a:ext cx="1997766" cy="596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right"/>
                  </m:oMathParaPr>
                  <m:oMath xmlns:m="http://schemas.openxmlformats.org/officeDocument/2006/math">
                    <m:r>
                      <a:rPr lang="en-IN" sz="12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m:rPr>
                        <m:sty m:val="p"/>
                      </m:rPr>
                      <a:rPr lang="el-GR" sz="12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ψ</m:t>
                    </m:r>
                    <m:f>
                      <m:fPr>
                        <m:ctrlPr>
                          <a:rPr lang="en-IN" sz="12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>
                          <m:fPr>
                            <m:type m:val="lin"/>
                            <m:ctrlPr>
                              <a:rPr lang="en-IN" sz="12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𝑃</m:t>
                            </m:r>
                          </m:num>
                          <m:den>
                            <m: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𝐴</m:t>
                            </m:r>
                          </m:den>
                        </m:f>
                      </m:num>
                      <m:den>
                        <m:f>
                          <m:fPr>
                            <m:type m:val="lin"/>
                            <m:ctrlPr>
                              <a:rPr lang="en-IN" sz="12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IN" sz="120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12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𝑀</m:t>
                                </m:r>
                              </m:e>
                              <m:sub>
                                <m:r>
                                  <a:rPr lang="en-IN" sz="12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𝑑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IN" sz="120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12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en-IN" sz="12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𝑒𝑐</m:t>
                                </m:r>
                              </m:sub>
                            </m:sSub>
                          </m:den>
                        </m:f>
                      </m:den>
                    </m:f>
                    <m:r>
                      <a:rPr lang="en-IN" sz="12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IN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𝑑𝑦</m:t>
                            </m:r>
                          </m:sub>
                        </m:sSub>
                      </m:den>
                    </m:f>
                    <m:r>
                      <a:rPr lang="en-IN" sz="12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IN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𝑧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𝑑𝑧</m:t>
                            </m:r>
                          </m:sub>
                        </m:sSub>
                      </m:den>
                    </m:f>
                    <m:r>
                      <a:rPr lang="en-IN" sz="12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n-IN" sz="12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≤1.0</m:t>
                    </m:r>
                  </m:oMath>
                </m:oMathPara>
              </a14:m>
              <a:endParaRPr lang="en-IN" sz="12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25" name="TextBox 24"/>
            <xdr:cNvSpPr txBox="1"/>
          </xdr:nvSpPr>
          <xdr:spPr>
            <a:xfrm>
              <a:off x="3932580" y="32062900"/>
              <a:ext cx="1997766" cy="596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/>
              <a:r>
                <a:rPr lang="en-IN" sz="12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−</a:t>
              </a:r>
              <a:r>
                <a:rPr lang="el-GR" sz="12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ψ</a:t>
              </a:r>
              <a:r>
                <a:rPr lang="en-IN" sz="12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 (</a:t>
              </a:r>
              <a:r>
                <a:rPr lang="en-IN" sz="12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𝑃∕𝐴)/(𝑀_𝑑∕𝑍_𝑒𝑐 )+𝑀_𝑦/𝑀_𝑑𝑦 +𝑀_𝑧/𝑀_𝑑𝑧   </a:t>
              </a:r>
              <a:r>
                <a:rPr lang="en-IN" sz="12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≤1.0</a:t>
              </a:r>
              <a:endParaRPr lang="en-IN" sz="12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131884</xdr:colOff>
      <xdr:row>77</xdr:row>
      <xdr:rowOff>10991</xdr:rowOff>
    </xdr:from>
    <xdr:ext cx="1765787" cy="1850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4208584" y="10526591"/>
              <a:ext cx="1765787" cy="1850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10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χ</m:t>
                    </m:r>
                    <m:f>
                      <m:fPr>
                        <m:type m:val="lin"/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110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γ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</m:t>
                            </m:r>
                          </m:sub>
                        </m:sSub>
                      </m:den>
                    </m:f>
                    <m:r>
                      <a:rPr lang="en-IN" sz="110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≤</m:t>
                    </m:r>
                    <m:f>
                      <m:fPr>
                        <m:type m:val="lin"/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γ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𝑚𝑜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4208584" y="10526591"/>
              <a:ext cx="1765787" cy="1850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l-GR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χ</a:t>
              </a:r>
              <a:r>
                <a:rPr lang="en-IN" sz="110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𝑓_𝑦∕</a:t>
              </a:r>
              <a:r>
                <a:rPr lang="el-GR" sz="110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γ</a:t>
              </a:r>
              <a:r>
                <a:rPr lang="en-IN" sz="110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 </a:t>
              </a:r>
              <a:r>
                <a:rPr lang="en-IN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≤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𝑓_𝑦∕</a:t>
              </a:r>
              <a:r>
                <a:rPr lang="el-GR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γ</a:t>
              </a:r>
              <a:r>
                <a:rPr lang="en-IN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𝑚𝑜 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345830</xdr:colOff>
      <xdr:row>71</xdr:row>
      <xdr:rowOff>39565</xdr:rowOff>
    </xdr:from>
    <xdr:ext cx="148438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4422530" y="9440740"/>
              <a:ext cx="148438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0.5</m:t>
                    </m:r>
                    <m:d>
                      <m:dPr>
                        <m:begChr m:val="["/>
                        <m:endChr m:val="]"/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1+</m:t>
                        </m:r>
                        <m:r>
                          <m:rPr>
                            <m:sty m:val="p"/>
                          </m:rPr>
                          <a:rPr lang="el-GR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α</m:t>
                        </m:r>
                        <m:d>
                          <m:dPr>
                            <m:ctrlPr>
                              <a:rPr lang="el-GR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el-GR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λ</m:t>
                            </m:r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−0.2</m:t>
                            </m:r>
                          </m:e>
                        </m:d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l-GR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λ</m:t>
                            </m:r>
                          </m:e>
                          <m:sup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d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4422530" y="9440740"/>
              <a:ext cx="148438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0.5[1+</a:t>
              </a:r>
              <a:r>
                <a:rPr lang="el-GR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α(λ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−0.2)+</a:t>
              </a:r>
              <a:r>
                <a:rPr lang="el-GR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λ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^2 ]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641838</xdr:colOff>
      <xdr:row>67</xdr:row>
      <xdr:rowOff>14653</xdr:rowOff>
    </xdr:from>
    <xdr:ext cx="1182566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4718538" y="8463328"/>
              <a:ext cx="1182566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type m:val="lin"/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𝑐𝑐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4718538" y="8463328"/>
              <a:ext cx="1182566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N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√(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𝑓_𝑦∕𝑓_𝑐𝑐 )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593481</xdr:colOff>
      <xdr:row>74</xdr:row>
      <xdr:rowOff>31505</xdr:rowOff>
    </xdr:from>
    <xdr:ext cx="1153842" cy="3423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4670181" y="9927980"/>
              <a:ext cx="1153842" cy="3423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d>
                          <m:dPr>
                            <m:begChr m:val="["/>
                            <m:endChr m:val="]"/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el-GR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Φ</m:t>
                            </m:r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sSup>
                              <m:sSup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p>
                                      <m:sSupPr>
                                        <m:ctrlPr>
                                          <a:rPr lang="en-IN" sz="1100" b="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el-GR" sz="1100" b="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Φ</m:t>
                                        </m:r>
                                      </m:e>
                                      <m:sup>
                                        <m:r>
                                          <a:rPr lang="en-IN" sz="1100" b="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sSup>
                                      <m:sSupPr>
                                        <m:ctrlPr>
                                          <a:rPr lang="en-IN" sz="1100" b="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el-GR" sz="1100" b="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λ</m:t>
                                        </m:r>
                                      </m:e>
                                      <m:sup>
                                        <m:r>
                                          <a:rPr lang="en-IN" sz="1100" b="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  <m:sup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0.5</m:t>
                                </m:r>
                              </m:sup>
                            </m:sSup>
                          </m:e>
                        </m:d>
                      </m:den>
                    </m:f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4670181" y="9927980"/>
              <a:ext cx="1153842" cy="3423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1/[</a:t>
              </a:r>
              <a:r>
                <a:rPr lang="el-GR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Φ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+(</a:t>
              </a:r>
              <a:r>
                <a:rPr lang="el-GR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Φ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^2−</a:t>
              </a:r>
              <a:r>
                <a:rPr lang="el-GR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λ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^2 )^0.5 ] 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910673</xdr:colOff>
      <xdr:row>50</xdr:row>
      <xdr:rowOff>185944</xdr:rowOff>
    </xdr:from>
    <xdr:ext cx="942975" cy="4201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4987373" y="12273169"/>
              <a:ext cx="942975" cy="420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3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3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3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  <m:sub>
                            <m:r>
                              <a:rPr lang="en-IN" sz="13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𝑔</m:t>
                            </m:r>
                          </m:sub>
                        </m:sSub>
                        <m:r>
                          <a:rPr lang="en-IN" sz="13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en-IN" sz="13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3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n-IN" sz="13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3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13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γ</m:t>
                            </m:r>
                          </m:e>
                          <m:sub>
                            <m:r>
                              <a:rPr lang="en-IN" sz="13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𝑚𝑜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3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4987373" y="12273169"/>
              <a:ext cx="942975" cy="420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N" sz="13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3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𝐴_𝑔∗𝑓_𝑦)/</a:t>
              </a:r>
              <a:r>
                <a:rPr lang="el-GR" sz="13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γ</a:t>
              </a:r>
              <a:r>
                <a:rPr lang="en-IN" sz="13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3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𝑚𝑜 </a:t>
              </a:r>
              <a:endParaRPr lang="en-IN" sz="13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1170747</xdr:colOff>
      <xdr:row>91</xdr:row>
      <xdr:rowOff>39342</xdr:rowOff>
    </xdr:from>
    <xdr:ext cx="573682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5247447" y="14869767"/>
              <a:ext cx="573682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type m:val="lin"/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250</m:t>
                            </m:r>
                          </m:num>
                          <m:den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5247447" y="14869767"/>
              <a:ext cx="573682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√(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250∕𝑓_𝑦 )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245162</xdr:colOff>
      <xdr:row>98</xdr:row>
      <xdr:rowOff>85725</xdr:rowOff>
    </xdr:from>
    <xdr:ext cx="1646925" cy="35708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4321862" y="15916275"/>
              <a:ext cx="1646925" cy="357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β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𝑏</m:t>
                            </m:r>
                          </m:sub>
                        </m:s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𝑍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𝑝</m:t>
                            </m:r>
                          </m:sub>
                        </m:s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γ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𝑚𝑜</m:t>
                            </m:r>
                          </m:sub>
                        </m:sSub>
                      </m:den>
                    </m:f>
                    <m:r>
                      <a:rPr lang="en-IN" sz="110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≤</m:t>
                    </m:r>
                    <m:f>
                      <m:fPr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1.2∗</m:t>
                        </m:r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𝑍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110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γ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4321862" y="15916275"/>
              <a:ext cx="1646925" cy="357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</a:t>
              </a:r>
              <a:r>
                <a:rPr lang="el-GR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β</a:t>
              </a:r>
              <a:r>
                <a:rPr lang="en-IN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𝑏∗𝑍_𝑝∗𝑓_𝑦)/</a:t>
              </a:r>
              <a:r>
                <a:rPr lang="el-GR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γ</a:t>
              </a:r>
              <a:r>
                <a:rPr lang="en-IN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𝑚𝑜 </a:t>
              </a:r>
              <a:r>
                <a:rPr lang="en-IN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≤</a:t>
              </a:r>
              <a:r>
                <a:rPr lang="en-IN" sz="110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1.2∗𝑍_𝑒∗𝑓_𝑦)/</a:t>
              </a:r>
              <a:r>
                <a:rPr lang="el-GR" sz="110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γ</a:t>
              </a:r>
              <a:r>
                <a:rPr lang="en-IN" sz="110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 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913572</xdr:colOff>
      <xdr:row>113</xdr:row>
      <xdr:rowOff>35615</xdr:rowOff>
    </xdr:from>
    <xdr:ext cx="855875" cy="3580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4990272" y="18876065"/>
              <a:ext cx="855875" cy="3580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𝑣</m:t>
                            </m:r>
                          </m:sub>
                        </m:s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𝑦𝑤</m:t>
                            </m:r>
                          </m:sub>
                        </m:sSub>
                      </m:num>
                      <m:den>
                        <m:rad>
                          <m:radPr>
                            <m:degHide m:val="on"/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3</m:t>
                            </m:r>
                          </m:e>
                        </m:rad>
                      </m:den>
                    </m:f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/</m:t>
                    </m:r>
                    <m:sSub>
                      <m:sSub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γ</m:t>
                        </m:r>
                      </m:e>
                      <m: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𝑚𝑜</m:t>
                        </m:r>
                      </m:sub>
                    </m:sSub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4990272" y="18876065"/>
              <a:ext cx="855875" cy="3580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𝐴_𝑣∗𝑓_𝑦𝑤)/√3/</a:t>
              </a:r>
              <a:r>
                <a:rPr lang="el-GR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γ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_𝑚𝑜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1165777</xdr:colOff>
      <xdr:row>128</xdr:row>
      <xdr:rowOff>26090</xdr:rowOff>
    </xdr:from>
    <xdr:ext cx="676147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5240820" y="28476851"/>
              <a:ext cx="676147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𝑉</m:t>
                                    </m:r>
                                  </m:e>
                                  <m:sub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𝑑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</m:e>
                      <m:sup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5240820" y="28476851"/>
              <a:ext cx="676147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2𝑉/𝑉_𝑑 −1)^2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73716</xdr:colOff>
      <xdr:row>160</xdr:row>
      <xdr:rowOff>120927</xdr:rowOff>
    </xdr:from>
    <xdr:ext cx="1773499" cy="4023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/>
            <xdr:cNvSpPr txBox="1"/>
          </xdr:nvSpPr>
          <xdr:spPr>
            <a:xfrm>
              <a:off x="4150416" y="27952977"/>
              <a:ext cx="1773499" cy="4023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IN" sz="110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𝑀</m:t>
                                    </m:r>
                                  </m:e>
                                  <m:sub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𝑀</m:t>
                                    </m:r>
                                  </m:e>
                                  <m:sub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𝑛𝑑𝑦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</m:e>
                      <m:sup>
                        <m:sSub>
                          <m:sSub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α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sup>
                    </m:sSup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𝑀</m:t>
                                    </m:r>
                                  </m:e>
                                  <m:sub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𝑧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𝑀</m:t>
                                    </m:r>
                                  </m:e>
                                  <m:sub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𝑛𝑑𝑧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</m:e>
                      <m:sup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α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sup>
                    </m:sSup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≤1.0</m:t>
                    </m:r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4150416" y="27952977"/>
              <a:ext cx="1773499" cy="4023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𝑀_𝑦/𝑀_𝑛𝑑𝑦 )^(</a:t>
              </a:r>
              <a:r>
                <a:rPr lang="el-GR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α</a:t>
              </a:r>
              <a:r>
                <a:rPr lang="en-IN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1 )+(𝑀_𝑧/𝑀_𝑛𝑑𝑧 )^(</a:t>
              </a:r>
              <a:r>
                <a:rPr lang="el-GR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α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_2 )≤1.0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3</xdr:col>
      <xdr:colOff>516031</xdr:colOff>
      <xdr:row>164</xdr:row>
      <xdr:rowOff>57150</xdr:rowOff>
    </xdr:from>
    <xdr:ext cx="1895474" cy="4695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/>
            <xdr:cNvSpPr txBox="1"/>
          </xdr:nvSpPr>
          <xdr:spPr>
            <a:xfrm>
              <a:off x="4057090" y="39871650"/>
              <a:ext cx="1895474" cy="4695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4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𝑁</m:t>
                        </m:r>
                      </m:num>
                      <m:den>
                        <m:sSub>
                          <m:sSubPr>
                            <m:ctrlPr>
                              <a:rPr lang="en-IN" sz="14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en-IN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𝑑</m:t>
                            </m:r>
                          </m:sub>
                        </m:sSub>
                      </m:den>
                    </m:f>
                    <m:r>
                      <a:rPr lang="en-IN" sz="14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IN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IN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IN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𝑑𝑦</m:t>
                            </m:r>
                          </m:sub>
                        </m:sSub>
                      </m:den>
                    </m:f>
                    <m:r>
                      <a:rPr lang="en-IN" sz="14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IN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IN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𝑧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IN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𝑑𝑧</m:t>
                            </m:r>
                          </m:sub>
                        </m:sSub>
                      </m:den>
                    </m:f>
                    <m:r>
                      <a:rPr lang="en-IN" sz="14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≤1.0</m:t>
                    </m:r>
                  </m:oMath>
                </m:oMathPara>
              </a14:m>
              <a:endParaRPr lang="en-IN" sz="14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4057090" y="39871650"/>
              <a:ext cx="1895474" cy="4695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N" sz="14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𝑁/𝑁_𝑑 +𝑀_𝑦/𝑀_𝑑𝑦 +𝑀_𝑧/𝑀_𝑑𝑧   ≤1.0</a:t>
              </a:r>
              <a:endParaRPr lang="en-IN" sz="14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257175</xdr:colOff>
      <xdr:row>170</xdr:row>
      <xdr:rowOff>66675</xdr:rowOff>
    </xdr:from>
    <xdr:ext cx="166738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/>
            <xdr:cNvSpPr txBox="1"/>
          </xdr:nvSpPr>
          <xdr:spPr>
            <a:xfrm>
              <a:off x="4333875" y="30832425"/>
              <a:ext cx="166738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4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𝑀</m:t>
                    </m:r>
                    <m:r>
                      <a:rPr lang="en-IN" sz="14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type m:val="lin"/>
                        <m:ctrlPr>
                          <a:rPr lang="en-IN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l-GR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ψ</m:t>
                        </m:r>
                        <m:r>
                          <a:rPr lang="en-IN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𝑇</m:t>
                        </m:r>
                        <m:sSub>
                          <m:sSubPr>
                            <m:ctrlPr>
                              <a:rPr lang="en-IN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𝑍</m:t>
                            </m:r>
                          </m:e>
                          <m:sub>
                            <m:r>
                              <a:rPr lang="en-IN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𝑒𝑐</m:t>
                            </m:r>
                          </m:sub>
                        </m:sSub>
                      </m:num>
                      <m:den>
                        <m:r>
                          <a:rPr lang="en-IN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IN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 ≤ </m:t>
                        </m:r>
                        <m:sSub>
                          <m:sSubPr>
                            <m:ctrlPr>
                              <a:rPr lang="en-IN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IN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𝑑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4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4333875" y="30832425"/>
              <a:ext cx="166738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4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𝑀−〖</a:t>
              </a:r>
              <a:r>
                <a:rPr lang="el-GR" sz="14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ψ</a:t>
              </a:r>
              <a:r>
                <a:rPr lang="en-IN" sz="14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𝑇𝑍_𝑒𝑐〗∕〖𝐴 ≤ </a:t>
              </a:r>
              <a:r>
                <a:rPr lang="en-IN" sz="14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𝑀_𝑑 〗</a:t>
              </a:r>
              <a:endParaRPr lang="en-IN" sz="14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3</xdr:col>
      <xdr:colOff>475418</xdr:colOff>
      <xdr:row>191</xdr:row>
      <xdr:rowOff>57150</xdr:rowOff>
    </xdr:from>
    <xdr:ext cx="1926535" cy="5568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/>
            <xdr:cNvSpPr txBox="1"/>
          </xdr:nvSpPr>
          <xdr:spPr>
            <a:xfrm>
              <a:off x="4018718" y="37328475"/>
              <a:ext cx="1926535" cy="5568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right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𝑃</m:t>
                        </m:r>
                      </m:num>
                      <m:den>
                        <m:sSub>
                          <m:sSub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𝑑𝑦</m:t>
                            </m:r>
                          </m:sub>
                        </m:sSub>
                      </m:den>
                    </m:f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  <m:f>
                      <m:f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sSub>
                              <m:sSub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𝑚𝑦</m:t>
                                </m:r>
                              </m:sub>
                            </m:s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𝑑𝑦</m:t>
                            </m:r>
                          </m:sub>
                        </m:sSub>
                      </m:den>
                    </m:f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𝐿𝑇</m:t>
                        </m:r>
                      </m:sub>
                    </m:sSub>
                    <m:f>
                      <m:f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𝑧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𝑑𝑧</m:t>
                            </m:r>
                          </m:sub>
                        </m:sSub>
                      </m:den>
                    </m:f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≤1.0</m:t>
                    </m:r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4018718" y="37328475"/>
              <a:ext cx="1926535" cy="5568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/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𝑃/𝑃_𝑑𝑦 +𝐾_𝑦  〖𝐶_𝑚𝑦  𝑀〗_𝑦/𝑀_𝑑𝑦 +𝐾_𝐿𝑇  𝑀_𝑧/𝑀_𝑑𝑧   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≤1.0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90695</xdr:colOff>
      <xdr:row>195</xdr:row>
      <xdr:rowOff>27747</xdr:rowOff>
    </xdr:from>
    <xdr:ext cx="1924052" cy="7818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/>
            <xdr:cNvSpPr txBox="1"/>
          </xdr:nvSpPr>
          <xdr:spPr>
            <a:xfrm>
              <a:off x="4167395" y="38508747"/>
              <a:ext cx="1924052" cy="7818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2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𝑃</m:t>
                        </m:r>
                      </m:num>
                      <m:den>
                        <m:sSub>
                          <m:sSubPr>
                            <m:ctrlPr>
                              <a:rPr lang="en-IN" sz="12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𝑑𝑧</m:t>
                            </m:r>
                          </m:sub>
                        </m:sSub>
                      </m:den>
                    </m:f>
                    <m:r>
                      <a:rPr lang="en-IN" sz="12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IN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0.6</m:t>
                        </m:r>
                        <m:r>
                          <a:rPr lang="en-IN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IN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  <m:f>
                      <m:fPr>
                        <m:ctrlPr>
                          <a:rPr lang="en-IN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sSub>
                              <m:sSubPr>
                                <m:ctrlPr>
                                  <a:rPr lang="en-IN" sz="12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12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n-IN" sz="12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𝑚𝑦</m:t>
                                </m:r>
                              </m:sub>
                            </m:sSub>
                            <m: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𝑑𝑦</m:t>
                            </m:r>
                          </m:sub>
                        </m:sSub>
                      </m:den>
                    </m:f>
                    <m:r>
                      <a:rPr lang="en-IN" sz="12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IN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IN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𝑧</m:t>
                        </m:r>
                      </m:sub>
                    </m:sSub>
                    <m:f>
                      <m:fPr>
                        <m:ctrlPr>
                          <a:rPr lang="en-IN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sSub>
                              <m:sSubPr>
                                <m:ctrlPr>
                                  <a:rPr lang="en-IN" sz="12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12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n-IN" sz="12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𝑚𝑧</m:t>
                                </m:r>
                              </m:sub>
                            </m:sSub>
                            <m: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𝑧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𝑑𝑧</m:t>
                            </m:r>
                          </m:sub>
                        </m:sSub>
                      </m:den>
                    </m:f>
                    <m:r>
                      <a:rPr lang="en-IN" sz="12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n-IN" sz="12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≤1.0</m:t>
                    </m:r>
                  </m:oMath>
                </m:oMathPara>
              </a14:m>
              <a:endParaRPr lang="en-IN" sz="12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8" name="TextBox 17"/>
            <xdr:cNvSpPr txBox="1"/>
          </xdr:nvSpPr>
          <xdr:spPr>
            <a:xfrm>
              <a:off x="4167395" y="38508747"/>
              <a:ext cx="1924052" cy="7818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N" sz="12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𝑃/𝑃_𝑑𝑧 +〖0.6𝐾〗_𝑦  〖𝐶_𝑚𝑦  𝑀〗_𝑦/𝑀_𝑑𝑦 +𝐾_𝑧  〖𝐶_𝑚𝑧  𝑀〗_𝑧/𝑀_𝑑𝑧   </a:t>
              </a:r>
              <a:r>
                <a:rPr lang="en-IN" sz="12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≤1.0</a:t>
              </a:r>
              <a:endParaRPr lang="en-IN" sz="12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28575</xdr:colOff>
      <xdr:row>183</xdr:row>
      <xdr:rowOff>377274</xdr:rowOff>
    </xdr:from>
    <xdr:ext cx="1855700" cy="1947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/>
            <xdr:cNvSpPr txBox="1"/>
          </xdr:nvSpPr>
          <xdr:spPr>
            <a:xfrm>
              <a:off x="4105275" y="35257824"/>
              <a:ext cx="1855700" cy="1947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1+</m:t>
                    </m:r>
                    <m:d>
                      <m:d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λ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−0.2</m:t>
                        </m:r>
                      </m:e>
                    </m:d>
                    <m:sSub>
                      <m:sSub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≤1+0.8</m:t>
                    </m:r>
                    <m:sSub>
                      <m:sSub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</m:t>
                        </m:r>
                      </m:sub>
                    </m:sSub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9" name="TextBox 18"/>
            <xdr:cNvSpPr txBox="1"/>
          </xdr:nvSpPr>
          <xdr:spPr>
            <a:xfrm>
              <a:off x="4105275" y="35257824"/>
              <a:ext cx="1855700" cy="1947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1+(</a:t>
              </a:r>
              <a:r>
                <a:rPr lang="el-GR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λ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_𝑦−0.2) 𝑛_𝑦  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≤1+0.8𝑛_𝑦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19050</xdr:colOff>
      <xdr:row>186</xdr:row>
      <xdr:rowOff>0</xdr:rowOff>
    </xdr:from>
    <xdr:ext cx="181318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/>
            <xdr:cNvSpPr txBox="1"/>
          </xdr:nvSpPr>
          <xdr:spPr>
            <a:xfrm>
              <a:off x="4095750" y="35642550"/>
              <a:ext cx="181318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1+</m:t>
                    </m:r>
                    <m:d>
                      <m:d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λ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𝑧</m:t>
                            </m:r>
                          </m:sub>
                        </m:s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−0.2</m:t>
                        </m:r>
                      </m:e>
                    </m:d>
                    <m:sSub>
                      <m:sSub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𝑧</m:t>
                        </m:r>
                      </m:sub>
                    </m:sSub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≤1+0.8</m:t>
                    </m:r>
                    <m:sSub>
                      <m:sSub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𝑧</m:t>
                        </m:r>
                      </m:sub>
                    </m:sSub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20" name="TextBox 19"/>
            <xdr:cNvSpPr txBox="1"/>
          </xdr:nvSpPr>
          <xdr:spPr>
            <a:xfrm>
              <a:off x="4095750" y="35642550"/>
              <a:ext cx="181318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1+(</a:t>
              </a:r>
              <a:r>
                <a:rPr lang="el-GR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λ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_𝑧−0.2) 𝑛_𝑧  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≤1+0.8𝑛_𝑧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159440</xdr:colOff>
      <xdr:row>188</xdr:row>
      <xdr:rowOff>15089</xdr:rowOff>
    </xdr:from>
    <xdr:ext cx="1704975" cy="7702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/>
            <xdr:cNvSpPr txBox="1"/>
          </xdr:nvSpPr>
          <xdr:spPr>
            <a:xfrm>
              <a:off x="4236140" y="36038639"/>
              <a:ext cx="1704975" cy="770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right"/>
                  </m:oMathParaPr>
                  <m:oMath xmlns:m="http://schemas.openxmlformats.org/officeDocument/2006/math">
                    <m:r>
                      <a:rPr lang="en-IN" sz="12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1−</m:t>
                    </m:r>
                    <m:f>
                      <m:fPr>
                        <m:ctrlPr>
                          <a:rPr lang="en-IN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0.1</m:t>
                        </m:r>
                        <m:sSub>
                          <m:sSubPr>
                            <m:ctrlP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λ</m:t>
                            </m:r>
                          </m:e>
                          <m:sub>
                            <m: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𝐿𝑇</m:t>
                            </m:r>
                          </m:sub>
                        </m:sSub>
                        <m:sSub>
                          <m:sSubPr>
                            <m:ctrlP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</m:num>
                      <m:den>
                        <m:d>
                          <m:dPr>
                            <m:ctrlP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IN" sz="12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12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n-IN" sz="12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𝑚𝐿𝑇</m:t>
                                </m:r>
                              </m:sub>
                            </m:sSub>
                            <m: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−0.25</m:t>
                            </m:r>
                          </m:e>
                        </m:d>
                      </m:den>
                    </m:f>
                    <m:r>
                      <a:rPr lang="en-IN" sz="12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n-IN" sz="12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≥1−</m:t>
                    </m:r>
                    <m:f>
                      <m:fPr>
                        <m:ctrlPr>
                          <a:rPr lang="en-IN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0.1</m:t>
                        </m:r>
                        <m:sSub>
                          <m:sSubPr>
                            <m:ctrlP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</m:num>
                      <m:den>
                        <m:d>
                          <m:dPr>
                            <m:ctrlP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IN" sz="12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12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n-IN" sz="12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𝑚𝐿𝑇</m:t>
                                </m:r>
                              </m:sub>
                            </m:sSub>
                            <m: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−0.25</m:t>
                            </m:r>
                          </m:e>
                        </m:d>
                      </m:den>
                    </m:f>
                  </m:oMath>
                </m:oMathPara>
              </a14:m>
              <a:endParaRPr lang="en-IN" sz="16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21" name="TextBox 20"/>
            <xdr:cNvSpPr txBox="1"/>
          </xdr:nvSpPr>
          <xdr:spPr>
            <a:xfrm>
              <a:off x="4236140" y="36038639"/>
              <a:ext cx="1704975" cy="770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/>
              <a:r>
                <a:rPr lang="en-IN" sz="12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1−(0.1</a:t>
              </a:r>
              <a:r>
                <a:rPr lang="el-GR" sz="12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λ</a:t>
              </a:r>
              <a:r>
                <a:rPr lang="en-IN" sz="12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_𝐿𝑇 𝑛_𝑦)/((𝐶_𝑚𝐿𝑇−0.25) )  </a:t>
              </a:r>
              <a:r>
                <a:rPr lang="en-IN" sz="12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≥1−(0.1𝑛_𝑦)/((𝐶_𝑚𝐿𝑇−0.25) )</a:t>
              </a:r>
              <a:endParaRPr lang="en-IN" sz="16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1132743</xdr:colOff>
      <xdr:row>64</xdr:row>
      <xdr:rowOff>55685</xdr:rowOff>
    </xdr:from>
    <xdr:ext cx="538994" cy="3636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/>
            <xdr:cNvSpPr txBox="1"/>
          </xdr:nvSpPr>
          <xdr:spPr>
            <a:xfrm>
              <a:off x="5209443" y="7866185"/>
              <a:ext cx="538994" cy="3636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l-GR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π</m:t>
                            </m:r>
                          </m:e>
                          <m:sup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sSup>
                          <m:sSup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type m:val="lin"/>
                                    <m:ctrlPr>
                                      <a:rPr lang="en-IN" sz="110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𝐾𝐿</m:t>
                                    </m:r>
                                  </m:num>
                                  <m:den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22" name="TextBox 21"/>
            <xdr:cNvSpPr txBox="1"/>
          </xdr:nvSpPr>
          <xdr:spPr>
            <a:xfrm>
              <a:off x="5209443" y="7866185"/>
              <a:ext cx="538994" cy="3636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</a:t>
              </a:r>
              <a:r>
                <a:rPr lang="el-GR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π</a:t>
              </a:r>
              <a:r>
                <a:rPr lang="en-IN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^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2 𝐸)/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(𝐾𝐿∕𝑟)^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2 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760344</xdr:colOff>
      <xdr:row>53</xdr:row>
      <xdr:rowOff>81170</xdr:rowOff>
    </xdr:from>
    <xdr:ext cx="1039194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/>
            <xdr:cNvSpPr txBox="1"/>
          </xdr:nvSpPr>
          <xdr:spPr>
            <a:xfrm>
              <a:off x="4837044" y="13006595"/>
              <a:ext cx="103919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lin"/>
                        <m:ctrlPr>
                          <a:rPr lang="en-IN" sz="14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0.9</m:t>
                        </m:r>
                        <m:sSub>
                          <m:sSubPr>
                            <m:ctrlPr>
                              <a:rPr lang="en-IN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  <m:sub>
                            <m:r>
                              <a:rPr lang="en-IN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  <m:sSub>
                          <m:sSubPr>
                            <m:ctrlPr>
                              <a:rPr lang="en-IN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n-IN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𝑢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4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14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γ</m:t>
                            </m:r>
                          </m:e>
                          <m:sub>
                            <m:r>
                              <a:rPr lang="en-IN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𝑚</m:t>
                            </m:r>
                            <m:r>
                              <a:rPr lang="en-IN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4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23" name="TextBox 22"/>
            <xdr:cNvSpPr txBox="1"/>
          </xdr:nvSpPr>
          <xdr:spPr>
            <a:xfrm>
              <a:off x="4837044" y="13006595"/>
              <a:ext cx="103919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4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〖</a:t>
              </a:r>
              <a:r>
                <a:rPr lang="en-IN" sz="14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0.9𝐴_𝑛 𝑓_𝑢〗∕</a:t>
              </a:r>
              <a:r>
                <a:rPr lang="el-GR" sz="14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γ</a:t>
              </a:r>
              <a:r>
                <a:rPr lang="en-IN" sz="14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4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𝑚1 </a:t>
              </a:r>
              <a:endParaRPr lang="en-IN" sz="14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3</xdr:col>
      <xdr:colOff>387623</xdr:colOff>
      <xdr:row>171</xdr:row>
      <xdr:rowOff>17487</xdr:rowOff>
    </xdr:from>
    <xdr:ext cx="1997766" cy="5967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/>
            <xdr:cNvSpPr txBox="1"/>
          </xdr:nvSpPr>
          <xdr:spPr>
            <a:xfrm>
              <a:off x="3930923" y="31354737"/>
              <a:ext cx="1997766" cy="596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right"/>
                  </m:oMathParaPr>
                  <m:oMath xmlns:m="http://schemas.openxmlformats.org/officeDocument/2006/math">
                    <m:r>
                      <a:rPr lang="en-IN" sz="12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m:rPr>
                        <m:sty m:val="p"/>
                      </m:rPr>
                      <a:rPr lang="el-GR" sz="12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ψ</m:t>
                    </m:r>
                    <m:f>
                      <m:fPr>
                        <m:ctrlPr>
                          <a:rPr lang="en-IN" sz="12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>
                          <m:fPr>
                            <m:type m:val="lin"/>
                            <m:ctrlPr>
                              <a:rPr lang="en-IN" sz="12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𝑃</m:t>
                            </m:r>
                          </m:num>
                          <m:den>
                            <m: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𝐴</m:t>
                            </m:r>
                          </m:den>
                        </m:f>
                      </m:num>
                      <m:den>
                        <m:f>
                          <m:fPr>
                            <m:type m:val="lin"/>
                            <m:ctrlPr>
                              <a:rPr lang="en-IN" sz="12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IN" sz="120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12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𝑀</m:t>
                                </m:r>
                              </m:e>
                              <m:sub>
                                <m:r>
                                  <a:rPr lang="en-IN" sz="12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𝑑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IN" sz="120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12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en-IN" sz="12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𝑒𝑐</m:t>
                                </m:r>
                              </m:sub>
                            </m:sSub>
                          </m:den>
                        </m:f>
                      </m:den>
                    </m:f>
                    <m:r>
                      <a:rPr lang="en-IN" sz="12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IN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𝑑𝑦</m:t>
                            </m:r>
                          </m:sub>
                        </m:sSub>
                      </m:den>
                    </m:f>
                    <m:r>
                      <a:rPr lang="en-IN" sz="12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IN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𝑧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𝑑𝑧</m:t>
                            </m:r>
                          </m:sub>
                        </m:sSub>
                      </m:den>
                    </m:f>
                    <m:r>
                      <a:rPr lang="en-IN" sz="12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n-IN" sz="12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≤1.0</m:t>
                    </m:r>
                  </m:oMath>
                </m:oMathPara>
              </a14:m>
              <a:endParaRPr lang="en-IN" sz="12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24" name="TextBox 23"/>
            <xdr:cNvSpPr txBox="1"/>
          </xdr:nvSpPr>
          <xdr:spPr>
            <a:xfrm>
              <a:off x="3930923" y="31354737"/>
              <a:ext cx="1997766" cy="596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/>
              <a:r>
                <a:rPr lang="en-IN" sz="12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−</a:t>
              </a:r>
              <a:r>
                <a:rPr lang="el-GR" sz="12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ψ</a:t>
              </a:r>
              <a:r>
                <a:rPr lang="en-IN" sz="12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 (</a:t>
              </a:r>
              <a:r>
                <a:rPr lang="en-IN" sz="12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𝑃∕𝐴)/(𝑀_𝑑∕𝑍_𝑒𝑐 )+𝑀_𝑦/𝑀_𝑑𝑦 +𝑀_𝑧/𝑀_𝑑𝑧   </a:t>
              </a:r>
              <a:r>
                <a:rPr lang="en-IN" sz="12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≤1.0</a:t>
              </a:r>
              <a:endParaRPr lang="en-IN" sz="12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63362</xdr:colOff>
      <xdr:row>138</xdr:row>
      <xdr:rowOff>0</xdr:rowOff>
    </xdr:from>
    <xdr:ext cx="1651137" cy="55008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/>
            <xdr:cNvSpPr txBox="1"/>
          </xdr:nvSpPr>
          <xdr:spPr>
            <a:xfrm>
              <a:off x="4138405" y="29709717"/>
              <a:ext cx="1651137" cy="5500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100">
                  <a:solidFill>
                    <a:sysClr val="windowText" lastClr="000000"/>
                  </a:solidFill>
                </a:rPr>
                <a:t>Plastic or Compact Section: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m:rPr>
                        <m:sty m:val="p"/>
                      </m:rPr>
                      <a:rPr lang="el-GR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β</m:t>
                    </m:r>
                    <m:d>
                      <m:dPr>
                        <m:ctrlPr>
                          <a:rPr lang="el-GR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l-GR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𝑑</m:t>
                            </m:r>
                          </m:sub>
                        </m:s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𝑓𝑑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IN" sz="1100" b="0" i="1">
                <a:solidFill>
                  <a:sysClr val="windowText" lastClr="000000"/>
                </a:solidFill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l-GR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≤</m:t>
                    </m:r>
                    <m:f>
                      <m:fPr>
                        <m:type m:val="lin"/>
                        <m:ctrlPr>
                          <a:rPr lang="el-GR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1.2 </m:t>
                        </m:r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𝑍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l-GR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γ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𝑚𝑜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25" name="TextBox 24"/>
            <xdr:cNvSpPr txBox="1"/>
          </xdr:nvSpPr>
          <xdr:spPr>
            <a:xfrm>
              <a:off x="4138405" y="29709717"/>
              <a:ext cx="1651137" cy="5500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100">
                  <a:solidFill>
                    <a:sysClr val="windowText" lastClr="000000"/>
                  </a:solidFill>
                </a:rPr>
                <a:t>Plastic or Compact Section:</a:t>
              </a:r>
            </a:p>
            <a:p>
              <a:pPr/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𝑀_𝑑−</a:t>
              </a:r>
              <a:r>
                <a:rPr lang="el-GR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β(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𝑀</a:t>
              </a:r>
              <a:r>
                <a:rPr lang="el-GR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𝑑−𝑀_𝑓𝑑 )</a:t>
              </a:r>
              <a:endParaRPr lang="en-IN" sz="1100" b="0" i="1">
                <a:solidFill>
                  <a:sysClr val="windowText" lastClr="000000"/>
                </a:solidFill>
                <a:latin typeface="Cambria Math" panose="02040503050406030204" pitchFamily="18" charset="0"/>
              </a:endParaRPr>
            </a:p>
            <a:p>
              <a:pPr/>
              <a:r>
                <a:rPr lang="el-GR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≤〖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1.2 𝑍_𝑒  𝑓_𝑦</a:t>
              </a:r>
              <a:r>
                <a:rPr lang="el-GR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〗∕γ_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𝑚𝑜 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24848</xdr:colOff>
      <xdr:row>138</xdr:row>
      <xdr:rowOff>589389</xdr:rowOff>
    </xdr:from>
    <xdr:ext cx="1731065" cy="3551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/>
            <xdr:cNvSpPr txBox="1"/>
          </xdr:nvSpPr>
          <xdr:spPr>
            <a:xfrm>
              <a:off x="4099891" y="30299106"/>
              <a:ext cx="1731065" cy="3551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 marL="0" marR="0" lvl="0" indent="0" algn="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IN" sz="1100" b="0" i="0">
                        <a:solidFill>
                          <a:sysClr val="windowText" lastClr="000000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Semi</m:t>
                    </m:r>
                    <m:r>
                      <m:rPr>
                        <m:nor/>
                      </m:rPr>
                      <a:rPr lang="en-IN" sz="1100" b="0" i="0">
                        <a:solidFill>
                          <a:sysClr val="windowText" lastClr="000000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</m:t>
                    </m:r>
                    <m:r>
                      <m:rPr>
                        <m:nor/>
                      </m:rPr>
                      <a:rPr lang="en-IN" sz="1100">
                        <a:solidFill>
                          <a:sysClr val="windowText" lastClr="000000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Compact</m:t>
                    </m:r>
                    <m:r>
                      <m:rPr>
                        <m:nor/>
                      </m:rPr>
                      <a:rPr lang="en-IN" sz="1100">
                        <a:solidFill>
                          <a:sysClr val="windowText" lastClr="000000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n-IN" sz="1100">
                        <a:solidFill>
                          <a:sysClr val="windowText" lastClr="000000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Section</m:t>
                    </m:r>
                    <m:r>
                      <m:rPr>
                        <m:nor/>
                      </m:rPr>
                      <a:rPr lang="en-IN" sz="1100">
                        <a:solidFill>
                          <a:sysClr val="windowText" lastClr="000000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:</m:t>
                    </m:r>
                  </m:oMath>
                </m:oMathPara>
              </a14:m>
              <a:endParaRPr lang="en-IN">
                <a:solidFill>
                  <a:sysClr val="windowText" lastClr="000000"/>
                </a:solidFill>
                <a:effectLst/>
              </a:endParaRPr>
            </a:p>
            <a:p>
              <a:pPr algn="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lin"/>
                        <m:ctrlPr>
                          <a:rPr lang="el-GR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𝑍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l-GR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γ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𝑚𝑜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26" name="TextBox 25"/>
            <xdr:cNvSpPr txBox="1"/>
          </xdr:nvSpPr>
          <xdr:spPr>
            <a:xfrm>
              <a:off x="4099891" y="30299106"/>
              <a:ext cx="1731065" cy="3551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 marL="0" marR="0" lvl="0" indent="0" algn="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"Semi−</a:t>
              </a:r>
              <a:r>
                <a:rPr lang="en-IN" sz="110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Compact Section:</a:t>
              </a:r>
              <a:r>
                <a:rPr lang="en-IN" sz="1100" i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IN">
                <a:solidFill>
                  <a:sysClr val="windowText" lastClr="000000"/>
                </a:solidFill>
                <a:effectLst/>
              </a:endParaRPr>
            </a:p>
            <a:p>
              <a:pPr algn="r"/>
              <a:r>
                <a:rPr lang="el-GR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〖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 𝑍_𝑒  𝑓_𝑦</a:t>
              </a:r>
              <a:r>
                <a:rPr lang="el-GR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〗∕γ_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𝑚𝑜 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198782</xdr:colOff>
      <xdr:row>135</xdr:row>
      <xdr:rowOff>24847</xdr:rowOff>
    </xdr:from>
    <xdr:ext cx="1730217" cy="3549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/>
            <xdr:cNvSpPr txBox="1"/>
          </xdr:nvSpPr>
          <xdr:spPr>
            <a:xfrm>
              <a:off x="4273825" y="31258564"/>
              <a:ext cx="1730217" cy="3549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β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𝑏</m:t>
                            </m:r>
                          </m:sub>
                        </m:s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𝑍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𝑝</m:t>
                            </m:r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γ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𝑚𝑜</m:t>
                            </m:r>
                          </m:sub>
                        </m:sSub>
                      </m:den>
                    </m:f>
                    <m:r>
                      <a:rPr lang="en-IN" sz="110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≤</m:t>
                    </m:r>
                    <m:f>
                      <m:fPr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1.2∗</m:t>
                        </m:r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𝑍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110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γ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27" name="TextBox 26"/>
            <xdr:cNvSpPr txBox="1"/>
          </xdr:nvSpPr>
          <xdr:spPr>
            <a:xfrm>
              <a:off x="4273825" y="31258564"/>
              <a:ext cx="1730217" cy="3549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</a:t>
              </a:r>
              <a:r>
                <a:rPr lang="el-GR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β</a:t>
              </a:r>
              <a:r>
                <a:rPr lang="en-IN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𝑏∗𝑍_𝑝1∗𝑓_𝑦)/</a:t>
              </a:r>
              <a:r>
                <a:rPr lang="el-GR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γ</a:t>
              </a:r>
              <a:r>
                <a:rPr lang="en-IN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𝑚𝑜 </a:t>
              </a:r>
              <a:r>
                <a:rPr lang="en-IN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≤</a:t>
              </a:r>
              <a:r>
                <a:rPr lang="en-IN" sz="110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1.2∗𝑍_𝑒1∗𝑓_𝑦)/</a:t>
              </a:r>
              <a:r>
                <a:rPr lang="el-GR" sz="110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γ</a:t>
              </a:r>
              <a:r>
                <a:rPr lang="en-IN" sz="110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 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659709</xdr:colOff>
      <xdr:row>155</xdr:row>
      <xdr:rowOff>127967</xdr:rowOff>
    </xdr:from>
    <xdr:ext cx="1169103" cy="3986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/>
            <xdr:cNvSpPr txBox="1"/>
          </xdr:nvSpPr>
          <xdr:spPr>
            <a:xfrm>
              <a:off x="4736409" y="36284867"/>
              <a:ext cx="1169103" cy="3986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𝑑𝑦</m:t>
                            </m:r>
                          </m:sub>
                        </m:sSub>
                        <m:d>
                          <m:d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e>
                        </m:d>
                      </m:num>
                      <m:den>
                        <m:d>
                          <m:d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1−0.5</m:t>
                            </m:r>
                            <m:sSub>
                              <m:sSub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𝑓</m:t>
                                </m:r>
                              </m:sub>
                            </m:sSub>
                          </m:e>
                        </m:d>
                      </m:den>
                    </m:f>
                    <m:r>
                      <a:rPr lang="en-IN" sz="1100" b="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≤</m:t>
                    </m:r>
                    <m:sSub>
                      <m:sSub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𝑀</m:t>
                        </m:r>
                      </m:e>
                      <m: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𝑑𝑦</m:t>
                        </m:r>
                      </m:sub>
                    </m:sSub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36" name="TextBox 35"/>
            <xdr:cNvSpPr txBox="1"/>
          </xdr:nvSpPr>
          <xdr:spPr>
            <a:xfrm>
              <a:off x="4736409" y="36284867"/>
              <a:ext cx="1169103" cy="3986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𝑀_𝑑𝑦 (1−𝑛))/((1−0.5𝑎_𝑓 ) )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≤𝑀_𝑑𝑦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634861</xdr:colOff>
      <xdr:row>153</xdr:row>
      <xdr:rowOff>60464</xdr:rowOff>
    </xdr:from>
    <xdr:ext cx="1175771" cy="3570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/>
            <xdr:cNvSpPr txBox="1"/>
          </xdr:nvSpPr>
          <xdr:spPr>
            <a:xfrm>
              <a:off x="4711561" y="36979364"/>
              <a:ext cx="1175771" cy="3570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𝑑𝑧</m:t>
                            </m:r>
                          </m:sub>
                        </m:sSub>
                        <m:d>
                          <m:d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e>
                        </m:d>
                      </m:num>
                      <m:den>
                        <m:d>
                          <m:d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1−0.5</m:t>
                            </m:r>
                            <m:sSub>
                              <m:sSub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𝑤</m:t>
                                </m:r>
                              </m:sub>
                            </m:sSub>
                          </m:e>
                        </m:d>
                      </m:den>
                    </m:f>
                    <m:r>
                      <a:rPr lang="en-IN" sz="1100" b="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≤</m:t>
                    </m:r>
                    <m:sSub>
                      <m:sSub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𝑀</m:t>
                        </m:r>
                      </m:e>
                      <m: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𝑑𝑧</m:t>
                        </m:r>
                      </m:sub>
                    </m:sSub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37" name="TextBox 36"/>
            <xdr:cNvSpPr txBox="1"/>
          </xdr:nvSpPr>
          <xdr:spPr>
            <a:xfrm>
              <a:off x="4711561" y="36979364"/>
              <a:ext cx="1175771" cy="3570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𝑀_𝑑𝑧 (1−𝑛))/((1−0.5𝑎_𝑤 ) )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≤𝑀_𝑑𝑧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772768</xdr:colOff>
      <xdr:row>157</xdr:row>
      <xdr:rowOff>60463</xdr:rowOff>
    </xdr:from>
    <xdr:ext cx="1069267" cy="3419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xtBox 37"/>
            <xdr:cNvSpPr txBox="1"/>
          </xdr:nvSpPr>
          <xdr:spPr>
            <a:xfrm>
              <a:off x="4847811" y="37878854"/>
              <a:ext cx="1069267" cy="3419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1.66</m:t>
                        </m:r>
                      </m:num>
                      <m:den>
                        <m:d>
                          <m:d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1−1.13</m:t>
                            </m:r>
                            <m:sSup>
                              <m:sSup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p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den>
                    </m:f>
                    <m:r>
                      <a:rPr lang="en-IN" sz="110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</m:t>
                    </m:r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6</m:t>
                    </m:r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38" name="TextBox 37"/>
            <xdr:cNvSpPr txBox="1"/>
          </xdr:nvSpPr>
          <xdr:spPr>
            <a:xfrm>
              <a:off x="4847811" y="37878854"/>
              <a:ext cx="1069267" cy="3419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1.66/((1−1.13𝑛^2 ) )</a:t>
              </a:r>
              <a:r>
                <a:rPr lang="en-IN" sz="110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≤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6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131884</xdr:colOff>
      <xdr:row>93</xdr:row>
      <xdr:rowOff>10991</xdr:rowOff>
    </xdr:from>
    <xdr:ext cx="1765787" cy="1850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4208584" y="14327066"/>
              <a:ext cx="1765787" cy="1850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10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χ</m:t>
                    </m:r>
                    <m:f>
                      <m:fPr>
                        <m:type m:val="lin"/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110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γ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</m:t>
                            </m:r>
                          </m:sub>
                        </m:sSub>
                      </m:den>
                    </m:f>
                    <m:r>
                      <a:rPr lang="en-IN" sz="110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≤</m:t>
                    </m:r>
                    <m:f>
                      <m:fPr>
                        <m:type m:val="lin"/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γ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𝑚𝑜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4208584" y="14327066"/>
              <a:ext cx="1765787" cy="1850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l-GR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χ</a:t>
              </a:r>
              <a:r>
                <a:rPr lang="en-IN" sz="110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𝑓_𝑦∕</a:t>
              </a:r>
              <a:r>
                <a:rPr lang="el-GR" sz="110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γ</a:t>
              </a:r>
              <a:r>
                <a:rPr lang="en-IN" sz="110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 </a:t>
              </a:r>
              <a:r>
                <a:rPr lang="en-IN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≤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𝑓_𝑦∕</a:t>
              </a:r>
              <a:r>
                <a:rPr lang="el-GR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γ</a:t>
              </a:r>
              <a:r>
                <a:rPr lang="en-IN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𝑚𝑜 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345830</xdr:colOff>
      <xdr:row>87</xdr:row>
      <xdr:rowOff>39565</xdr:rowOff>
    </xdr:from>
    <xdr:ext cx="148438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4422530" y="12555415"/>
              <a:ext cx="148438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0.5</m:t>
                    </m:r>
                    <m:d>
                      <m:dPr>
                        <m:begChr m:val="["/>
                        <m:endChr m:val="]"/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1+</m:t>
                        </m:r>
                        <m:r>
                          <m:rPr>
                            <m:sty m:val="p"/>
                          </m:rPr>
                          <a:rPr lang="el-GR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α</m:t>
                        </m:r>
                        <m:d>
                          <m:dPr>
                            <m:ctrlPr>
                              <a:rPr lang="el-GR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el-GR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λ</m:t>
                            </m:r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−0.2</m:t>
                            </m:r>
                          </m:e>
                        </m:d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l-GR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λ</m:t>
                            </m:r>
                          </m:e>
                          <m:sup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d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4422530" y="12555415"/>
              <a:ext cx="148438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0.5[1+</a:t>
              </a:r>
              <a:r>
                <a:rPr lang="el-GR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α(λ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−0.2)+</a:t>
              </a:r>
              <a:r>
                <a:rPr lang="el-GR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λ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^2 ]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641838</xdr:colOff>
      <xdr:row>80</xdr:row>
      <xdr:rowOff>14653</xdr:rowOff>
    </xdr:from>
    <xdr:ext cx="1182566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4718538" y="11387503"/>
              <a:ext cx="1182566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type m:val="lin"/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𝑐𝑐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4718538" y="11387503"/>
              <a:ext cx="1182566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N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√(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𝑓_𝑦∕𝑓_𝑐𝑐 )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593481</xdr:colOff>
      <xdr:row>90</xdr:row>
      <xdr:rowOff>31505</xdr:rowOff>
    </xdr:from>
    <xdr:ext cx="1153842" cy="3423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4670181" y="13299830"/>
              <a:ext cx="1153842" cy="3423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d>
                          <m:dPr>
                            <m:begChr m:val="["/>
                            <m:endChr m:val="]"/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el-GR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Φ</m:t>
                            </m:r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sSup>
                              <m:sSup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p>
                                      <m:sSupPr>
                                        <m:ctrlPr>
                                          <a:rPr lang="en-IN" sz="1100" b="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el-GR" sz="1100" b="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Φ</m:t>
                                        </m:r>
                                      </m:e>
                                      <m:sup>
                                        <m:r>
                                          <a:rPr lang="en-IN" sz="1100" b="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sSup>
                                      <m:sSupPr>
                                        <m:ctrlPr>
                                          <a:rPr lang="en-IN" sz="1100" b="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el-GR" sz="1100" b="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λ</m:t>
                                        </m:r>
                                      </m:e>
                                      <m:sup>
                                        <m:r>
                                          <a:rPr lang="en-IN" sz="1100" b="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  <m:sup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0.5</m:t>
                                </m:r>
                              </m:sup>
                            </m:sSup>
                          </m:e>
                        </m:d>
                      </m:den>
                    </m:f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4670181" y="13299830"/>
              <a:ext cx="1153842" cy="3423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1/[</a:t>
              </a:r>
              <a:r>
                <a:rPr lang="el-GR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Φ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+(</a:t>
              </a:r>
              <a:r>
                <a:rPr lang="el-GR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Φ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^2−</a:t>
              </a:r>
              <a:r>
                <a:rPr lang="el-GR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λ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^2 )^0.5 ] 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910673</xdr:colOff>
      <xdr:row>63</xdr:row>
      <xdr:rowOff>185944</xdr:rowOff>
    </xdr:from>
    <xdr:ext cx="942975" cy="4201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4987373" y="16692769"/>
              <a:ext cx="942975" cy="420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3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3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3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  <m:sub>
                            <m:r>
                              <a:rPr lang="en-IN" sz="13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𝑔</m:t>
                            </m:r>
                          </m:sub>
                        </m:sSub>
                        <m:r>
                          <a:rPr lang="en-IN" sz="13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en-IN" sz="13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3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n-IN" sz="13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3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13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γ</m:t>
                            </m:r>
                          </m:e>
                          <m:sub>
                            <m:r>
                              <a:rPr lang="en-IN" sz="13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𝑚𝑜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3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4987373" y="16692769"/>
              <a:ext cx="942975" cy="420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N" sz="13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3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𝐴_𝑔∗𝑓_𝑦)/</a:t>
              </a:r>
              <a:r>
                <a:rPr lang="el-GR" sz="13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γ</a:t>
              </a:r>
              <a:r>
                <a:rPr lang="en-IN" sz="13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3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𝑚𝑜 </a:t>
              </a:r>
              <a:endParaRPr lang="en-IN" sz="13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1170747</xdr:colOff>
      <xdr:row>108</xdr:row>
      <xdr:rowOff>39342</xdr:rowOff>
    </xdr:from>
    <xdr:ext cx="573682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5247447" y="19479867"/>
              <a:ext cx="573682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type m:val="lin"/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250</m:t>
                            </m:r>
                          </m:num>
                          <m:den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5247447" y="19479867"/>
              <a:ext cx="573682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√(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250∕𝑓_𝑦 )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245162</xdr:colOff>
      <xdr:row>115</xdr:row>
      <xdr:rowOff>85725</xdr:rowOff>
    </xdr:from>
    <xdr:ext cx="1646925" cy="35708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4321862" y="21097875"/>
              <a:ext cx="1646925" cy="357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β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𝑏</m:t>
                            </m:r>
                          </m:sub>
                        </m:s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𝑍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𝑝</m:t>
                            </m:r>
                          </m:sub>
                        </m:s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γ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𝑚𝑜</m:t>
                            </m:r>
                          </m:sub>
                        </m:sSub>
                      </m:den>
                    </m:f>
                    <m:r>
                      <a:rPr lang="en-IN" sz="110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≤</m:t>
                    </m:r>
                    <m:f>
                      <m:fPr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1.2∗</m:t>
                        </m:r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𝑍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110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γ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4321862" y="21097875"/>
              <a:ext cx="1646925" cy="357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</a:t>
              </a:r>
              <a:r>
                <a:rPr lang="el-GR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β</a:t>
              </a:r>
              <a:r>
                <a:rPr lang="en-IN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𝑏∗𝑍_𝑝∗𝑓_𝑦)/</a:t>
              </a:r>
              <a:r>
                <a:rPr lang="el-GR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γ</a:t>
              </a:r>
              <a:r>
                <a:rPr lang="en-IN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𝑚𝑜 </a:t>
              </a:r>
              <a:r>
                <a:rPr lang="en-IN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≤</a:t>
              </a:r>
              <a:r>
                <a:rPr lang="en-IN" sz="110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1.2∗𝑍_𝑒∗𝑓_𝑦)/</a:t>
              </a:r>
              <a:r>
                <a:rPr lang="el-GR" sz="110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γ</a:t>
              </a:r>
              <a:r>
                <a:rPr lang="en-IN" sz="110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 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913572</xdr:colOff>
      <xdr:row>153</xdr:row>
      <xdr:rowOff>35615</xdr:rowOff>
    </xdr:from>
    <xdr:ext cx="855875" cy="3580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4990272" y="24819665"/>
              <a:ext cx="855875" cy="3580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𝑣</m:t>
                            </m:r>
                          </m:sub>
                        </m:s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𝑦𝑤</m:t>
                            </m:r>
                          </m:sub>
                        </m:sSub>
                      </m:num>
                      <m:den>
                        <m:rad>
                          <m:radPr>
                            <m:degHide m:val="on"/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3</m:t>
                            </m:r>
                          </m:e>
                        </m:rad>
                      </m:den>
                    </m:f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/</m:t>
                    </m:r>
                    <m:sSub>
                      <m:sSub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γ</m:t>
                        </m:r>
                      </m:e>
                      <m: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𝑚𝑜</m:t>
                        </m:r>
                      </m:sub>
                    </m:sSub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4990272" y="24819665"/>
              <a:ext cx="855875" cy="3580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𝐴_𝑣∗𝑓_𝑦𝑤)/√3/</a:t>
              </a:r>
              <a:r>
                <a:rPr lang="el-GR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γ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_𝑚𝑜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1165777</xdr:colOff>
      <xdr:row>168</xdr:row>
      <xdr:rowOff>26090</xdr:rowOff>
    </xdr:from>
    <xdr:ext cx="676147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5242477" y="27896240"/>
              <a:ext cx="676147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𝑉</m:t>
                                    </m:r>
                                  </m:e>
                                  <m:sub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𝑑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</m:e>
                      <m:sup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5242477" y="27896240"/>
              <a:ext cx="676147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2𝑉/𝑉_𝑑 −1)^2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73716</xdr:colOff>
      <xdr:row>201</xdr:row>
      <xdr:rowOff>120927</xdr:rowOff>
    </xdr:from>
    <xdr:ext cx="1773499" cy="4023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4150416" y="37630377"/>
              <a:ext cx="1773499" cy="4023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IN" sz="110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𝑀</m:t>
                                    </m:r>
                                  </m:e>
                                  <m:sub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𝑀</m:t>
                                    </m:r>
                                  </m:e>
                                  <m:sub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𝑛𝑑𝑦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</m:e>
                      <m:sup>
                        <m:sSub>
                          <m:sSub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α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sup>
                    </m:sSup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𝑀</m:t>
                                    </m:r>
                                  </m:e>
                                  <m:sub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𝑧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𝑀</m:t>
                                    </m:r>
                                  </m:e>
                                  <m:sub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𝑛𝑑𝑧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</m:e>
                      <m:sup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α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sup>
                    </m:sSup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≤1.0</m:t>
                    </m:r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4150416" y="37630377"/>
              <a:ext cx="1773499" cy="4023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𝑀_𝑦/𝑀_𝑛𝑑𝑦 )^(</a:t>
              </a:r>
              <a:r>
                <a:rPr lang="el-GR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α</a:t>
              </a:r>
              <a:r>
                <a:rPr lang="en-IN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1 )+(𝑀_𝑧/𝑀_𝑛𝑑𝑧 )^(</a:t>
              </a:r>
              <a:r>
                <a:rPr lang="el-GR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α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_2 )≤1.0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3</xdr:col>
      <xdr:colOff>516031</xdr:colOff>
      <xdr:row>205</xdr:row>
      <xdr:rowOff>57150</xdr:rowOff>
    </xdr:from>
    <xdr:ext cx="1895474" cy="4695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4059331" y="38747700"/>
              <a:ext cx="1895474" cy="4695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4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𝑁</m:t>
                        </m:r>
                      </m:num>
                      <m:den>
                        <m:sSub>
                          <m:sSubPr>
                            <m:ctrlPr>
                              <a:rPr lang="en-IN" sz="14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en-IN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𝑑</m:t>
                            </m:r>
                          </m:sub>
                        </m:sSub>
                      </m:den>
                    </m:f>
                    <m:r>
                      <a:rPr lang="en-IN" sz="14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IN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IN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IN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𝑑𝑦</m:t>
                            </m:r>
                          </m:sub>
                        </m:sSub>
                      </m:den>
                    </m:f>
                    <m:r>
                      <a:rPr lang="en-IN" sz="14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IN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IN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𝑧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IN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𝑑𝑧</m:t>
                            </m:r>
                          </m:sub>
                        </m:sSub>
                      </m:den>
                    </m:f>
                    <m:r>
                      <a:rPr lang="en-IN" sz="14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≤1.0</m:t>
                    </m:r>
                  </m:oMath>
                </m:oMathPara>
              </a14:m>
              <a:endParaRPr lang="en-IN" sz="14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4059331" y="38747700"/>
              <a:ext cx="1895474" cy="4695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N" sz="14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𝑁/𝑁_𝑑 +𝑀_𝑦/𝑀_𝑑𝑦 +𝑀_𝑧/𝑀_𝑑𝑧   ≤1.0</a:t>
              </a:r>
              <a:endParaRPr lang="en-IN" sz="14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257175</xdr:colOff>
      <xdr:row>211</xdr:row>
      <xdr:rowOff>66675</xdr:rowOff>
    </xdr:from>
    <xdr:ext cx="166738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/>
            <xdr:cNvSpPr txBox="1"/>
          </xdr:nvSpPr>
          <xdr:spPr>
            <a:xfrm>
              <a:off x="4333875" y="40509825"/>
              <a:ext cx="166738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4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𝑀</m:t>
                    </m:r>
                    <m:r>
                      <a:rPr lang="en-IN" sz="14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type m:val="lin"/>
                        <m:ctrlPr>
                          <a:rPr lang="en-IN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l-GR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ψ</m:t>
                        </m:r>
                        <m:r>
                          <a:rPr lang="en-IN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𝑇</m:t>
                        </m:r>
                        <m:sSub>
                          <m:sSubPr>
                            <m:ctrlPr>
                              <a:rPr lang="en-IN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𝑍</m:t>
                            </m:r>
                          </m:e>
                          <m:sub>
                            <m:r>
                              <a:rPr lang="en-IN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𝑒𝑐</m:t>
                            </m:r>
                          </m:sub>
                        </m:sSub>
                      </m:num>
                      <m:den>
                        <m:r>
                          <a:rPr lang="en-IN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IN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 ≤ </m:t>
                        </m:r>
                        <m:sSub>
                          <m:sSubPr>
                            <m:ctrlPr>
                              <a:rPr lang="en-IN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IN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𝑑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4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4333875" y="40509825"/>
              <a:ext cx="166738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4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𝑀−〖</a:t>
              </a:r>
              <a:r>
                <a:rPr lang="el-GR" sz="14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ψ</a:t>
              </a:r>
              <a:r>
                <a:rPr lang="en-IN" sz="14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𝑇𝑍_𝑒𝑐〗∕〖𝐴 ≤ </a:t>
              </a:r>
              <a:r>
                <a:rPr lang="en-IN" sz="14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𝑀_𝑑 〗</a:t>
              </a:r>
              <a:endParaRPr lang="en-IN" sz="14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3</xdr:col>
      <xdr:colOff>475418</xdr:colOff>
      <xdr:row>232</xdr:row>
      <xdr:rowOff>57150</xdr:rowOff>
    </xdr:from>
    <xdr:ext cx="1926535" cy="5568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/>
            <xdr:cNvSpPr txBox="1"/>
          </xdr:nvSpPr>
          <xdr:spPr>
            <a:xfrm>
              <a:off x="4018718" y="46815375"/>
              <a:ext cx="1926535" cy="5568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right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𝑃</m:t>
                        </m:r>
                      </m:num>
                      <m:den>
                        <m:sSub>
                          <m:sSub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𝑑𝑦</m:t>
                            </m:r>
                          </m:sub>
                        </m:sSub>
                      </m:den>
                    </m:f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  <m:f>
                      <m:f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sSub>
                              <m:sSub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𝑚𝑦</m:t>
                                </m:r>
                              </m:sub>
                            </m:s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𝑑𝑦</m:t>
                            </m:r>
                          </m:sub>
                        </m:sSub>
                      </m:den>
                    </m:f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𝐿𝑇</m:t>
                        </m:r>
                      </m:sub>
                    </m:sSub>
                    <m:f>
                      <m:f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𝑧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𝑑𝑧</m:t>
                            </m:r>
                          </m:sub>
                        </m:sSub>
                      </m:den>
                    </m:f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≤1.0</m:t>
                    </m:r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4018718" y="46815375"/>
              <a:ext cx="1926535" cy="5568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/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𝑃/𝑃_𝑑𝑦 +𝐾_𝑦  〖𝐶_𝑚𝑦  𝑀〗_𝑦/𝑀_𝑑𝑦 +𝐾_𝐿𝑇  𝑀_𝑧/𝑀_𝑑𝑧   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≤1.0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90695</xdr:colOff>
      <xdr:row>236</xdr:row>
      <xdr:rowOff>27747</xdr:rowOff>
    </xdr:from>
    <xdr:ext cx="1924052" cy="7818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/>
            <xdr:cNvSpPr txBox="1"/>
          </xdr:nvSpPr>
          <xdr:spPr>
            <a:xfrm>
              <a:off x="4167395" y="47995647"/>
              <a:ext cx="1924052" cy="7818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2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𝑃</m:t>
                        </m:r>
                      </m:num>
                      <m:den>
                        <m:sSub>
                          <m:sSubPr>
                            <m:ctrlPr>
                              <a:rPr lang="en-IN" sz="12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𝑑𝑧</m:t>
                            </m:r>
                          </m:sub>
                        </m:sSub>
                      </m:den>
                    </m:f>
                    <m:r>
                      <a:rPr lang="en-IN" sz="12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IN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0.6</m:t>
                        </m:r>
                        <m:r>
                          <a:rPr lang="en-IN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IN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  <m:f>
                      <m:fPr>
                        <m:ctrlPr>
                          <a:rPr lang="en-IN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sSub>
                              <m:sSubPr>
                                <m:ctrlPr>
                                  <a:rPr lang="en-IN" sz="12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12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n-IN" sz="12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𝑚𝑦</m:t>
                                </m:r>
                              </m:sub>
                            </m:sSub>
                            <m: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𝑑𝑦</m:t>
                            </m:r>
                          </m:sub>
                        </m:sSub>
                      </m:den>
                    </m:f>
                    <m:r>
                      <a:rPr lang="en-IN" sz="12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IN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IN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𝑧</m:t>
                        </m:r>
                      </m:sub>
                    </m:sSub>
                    <m:f>
                      <m:fPr>
                        <m:ctrlPr>
                          <a:rPr lang="en-IN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sSub>
                              <m:sSubPr>
                                <m:ctrlPr>
                                  <a:rPr lang="en-IN" sz="12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12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n-IN" sz="12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𝑚𝑧</m:t>
                                </m:r>
                              </m:sub>
                            </m:sSub>
                            <m: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𝑧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𝑑𝑧</m:t>
                            </m:r>
                          </m:sub>
                        </m:sSub>
                      </m:den>
                    </m:f>
                    <m:r>
                      <a:rPr lang="en-IN" sz="12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n-IN" sz="12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≤1.0</m:t>
                    </m:r>
                  </m:oMath>
                </m:oMathPara>
              </a14:m>
              <a:endParaRPr lang="en-IN" sz="12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5" name="TextBox 14"/>
            <xdr:cNvSpPr txBox="1"/>
          </xdr:nvSpPr>
          <xdr:spPr>
            <a:xfrm>
              <a:off x="4167395" y="47995647"/>
              <a:ext cx="1924052" cy="7818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N" sz="12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𝑃/𝑃_𝑑𝑧 +〖0.6𝐾〗_𝑦  〖𝐶_𝑚𝑦  𝑀〗_𝑦/𝑀_𝑑𝑦 +𝐾_𝑧  〖𝐶_𝑚𝑧  𝑀〗_𝑧/𝑀_𝑑𝑧   </a:t>
              </a:r>
              <a:r>
                <a:rPr lang="en-IN" sz="12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≤1.0</a:t>
              </a:r>
              <a:endParaRPr lang="en-IN" sz="12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28575</xdr:colOff>
      <xdr:row>224</xdr:row>
      <xdr:rowOff>377274</xdr:rowOff>
    </xdr:from>
    <xdr:ext cx="1855700" cy="1947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/>
            <xdr:cNvSpPr txBox="1"/>
          </xdr:nvSpPr>
          <xdr:spPr>
            <a:xfrm>
              <a:off x="4105275" y="44744724"/>
              <a:ext cx="1855700" cy="1947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1+</m:t>
                    </m:r>
                    <m:d>
                      <m:d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λ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−0.2</m:t>
                        </m:r>
                      </m:e>
                    </m:d>
                    <m:sSub>
                      <m:sSub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≤1+0.8</m:t>
                    </m:r>
                    <m:sSub>
                      <m:sSub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</m:t>
                        </m:r>
                      </m:sub>
                    </m:sSub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4105275" y="44744724"/>
              <a:ext cx="1855700" cy="1947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1+(</a:t>
              </a:r>
              <a:r>
                <a:rPr lang="el-GR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λ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_𝑦−0.2) 𝑛_𝑦  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≤1+0.8𝑛_𝑦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19050</xdr:colOff>
      <xdr:row>227</xdr:row>
      <xdr:rowOff>0</xdr:rowOff>
    </xdr:from>
    <xdr:ext cx="181318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/>
            <xdr:cNvSpPr txBox="1"/>
          </xdr:nvSpPr>
          <xdr:spPr>
            <a:xfrm>
              <a:off x="4095750" y="45129450"/>
              <a:ext cx="181318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1+</m:t>
                    </m:r>
                    <m:d>
                      <m:d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λ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𝑧</m:t>
                            </m:r>
                          </m:sub>
                        </m:s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−0.2</m:t>
                        </m:r>
                      </m:e>
                    </m:d>
                    <m:sSub>
                      <m:sSub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𝑧</m:t>
                        </m:r>
                      </m:sub>
                    </m:sSub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≤1+0.8</m:t>
                    </m:r>
                    <m:sSub>
                      <m:sSub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𝑧</m:t>
                        </m:r>
                      </m:sub>
                    </m:sSub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4095750" y="45129450"/>
              <a:ext cx="181318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1+(</a:t>
              </a:r>
              <a:r>
                <a:rPr lang="el-GR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λ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_𝑧−0.2) 𝑛_𝑧  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≤1+0.8𝑛_𝑧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159440</xdr:colOff>
      <xdr:row>229</xdr:row>
      <xdr:rowOff>15089</xdr:rowOff>
    </xdr:from>
    <xdr:ext cx="1704975" cy="7702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/>
            <xdr:cNvSpPr txBox="1"/>
          </xdr:nvSpPr>
          <xdr:spPr>
            <a:xfrm>
              <a:off x="4236140" y="45525539"/>
              <a:ext cx="1704975" cy="770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right"/>
                  </m:oMathParaPr>
                  <m:oMath xmlns:m="http://schemas.openxmlformats.org/officeDocument/2006/math">
                    <m:r>
                      <a:rPr lang="en-IN" sz="12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1−</m:t>
                    </m:r>
                    <m:f>
                      <m:fPr>
                        <m:ctrlPr>
                          <a:rPr lang="en-IN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0.1</m:t>
                        </m:r>
                        <m:sSub>
                          <m:sSubPr>
                            <m:ctrlP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λ</m:t>
                            </m:r>
                          </m:e>
                          <m:sub>
                            <m: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𝐿𝑇</m:t>
                            </m:r>
                          </m:sub>
                        </m:sSub>
                        <m:sSub>
                          <m:sSubPr>
                            <m:ctrlP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</m:num>
                      <m:den>
                        <m:d>
                          <m:dPr>
                            <m:ctrlP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IN" sz="12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12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n-IN" sz="12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𝑚𝐿𝑇</m:t>
                                </m:r>
                              </m:sub>
                            </m:sSub>
                            <m: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−0.25</m:t>
                            </m:r>
                          </m:e>
                        </m:d>
                      </m:den>
                    </m:f>
                    <m:r>
                      <a:rPr lang="en-IN" sz="12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n-IN" sz="12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≥1−</m:t>
                    </m:r>
                    <m:f>
                      <m:fPr>
                        <m:ctrlPr>
                          <a:rPr lang="en-IN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0.1</m:t>
                        </m:r>
                        <m:sSub>
                          <m:sSubPr>
                            <m:ctrlP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</m:num>
                      <m:den>
                        <m:d>
                          <m:dPr>
                            <m:ctrlP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IN" sz="12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12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n-IN" sz="12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𝑚𝐿𝑇</m:t>
                                </m:r>
                              </m:sub>
                            </m:sSub>
                            <m: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−0.25</m:t>
                            </m:r>
                          </m:e>
                        </m:d>
                      </m:den>
                    </m:f>
                  </m:oMath>
                </m:oMathPara>
              </a14:m>
              <a:endParaRPr lang="en-IN" sz="16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8" name="TextBox 17"/>
            <xdr:cNvSpPr txBox="1"/>
          </xdr:nvSpPr>
          <xdr:spPr>
            <a:xfrm>
              <a:off x="4236140" y="45525539"/>
              <a:ext cx="1704975" cy="770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/>
              <a:r>
                <a:rPr lang="en-IN" sz="12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1−(0.1</a:t>
              </a:r>
              <a:r>
                <a:rPr lang="el-GR" sz="12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λ</a:t>
              </a:r>
              <a:r>
                <a:rPr lang="en-IN" sz="12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_𝐿𝑇 𝑛_𝑦)/((𝐶_𝑚𝐿𝑇−0.25) )  </a:t>
              </a:r>
              <a:r>
                <a:rPr lang="en-IN" sz="12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≥1−(0.1𝑛_𝑦)/((𝐶_𝑚𝐿𝑇−0.25) )</a:t>
              </a:r>
              <a:endParaRPr lang="en-IN" sz="16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1132743</xdr:colOff>
      <xdr:row>77</xdr:row>
      <xdr:rowOff>55685</xdr:rowOff>
    </xdr:from>
    <xdr:ext cx="538994" cy="3636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/>
            <xdr:cNvSpPr txBox="1"/>
          </xdr:nvSpPr>
          <xdr:spPr>
            <a:xfrm>
              <a:off x="5209443" y="10342685"/>
              <a:ext cx="538994" cy="3636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l-GR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π</m:t>
                            </m:r>
                          </m:e>
                          <m:sup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sSup>
                          <m:sSup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type m:val="lin"/>
                                    <m:ctrlPr>
                                      <a:rPr lang="en-IN" sz="110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𝐾𝐿</m:t>
                                    </m:r>
                                  </m:num>
                                  <m:den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9" name="TextBox 18"/>
            <xdr:cNvSpPr txBox="1"/>
          </xdr:nvSpPr>
          <xdr:spPr>
            <a:xfrm>
              <a:off x="5209443" y="10342685"/>
              <a:ext cx="538994" cy="3636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</a:t>
              </a:r>
              <a:r>
                <a:rPr lang="el-GR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π</a:t>
              </a:r>
              <a:r>
                <a:rPr lang="en-IN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^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2 𝐸)/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(𝐾𝐿∕𝑟)^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2 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760344</xdr:colOff>
      <xdr:row>66</xdr:row>
      <xdr:rowOff>81170</xdr:rowOff>
    </xdr:from>
    <xdr:ext cx="1039194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/>
            <xdr:cNvSpPr txBox="1"/>
          </xdr:nvSpPr>
          <xdr:spPr>
            <a:xfrm>
              <a:off x="4837044" y="17426195"/>
              <a:ext cx="103919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lin"/>
                        <m:ctrlPr>
                          <a:rPr lang="en-IN" sz="14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0.9</m:t>
                        </m:r>
                        <m:sSub>
                          <m:sSubPr>
                            <m:ctrlPr>
                              <a:rPr lang="en-IN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  <m:sub>
                            <m:r>
                              <a:rPr lang="en-IN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  <m:sSub>
                          <m:sSubPr>
                            <m:ctrlPr>
                              <a:rPr lang="en-IN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n-IN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𝑢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4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14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γ</m:t>
                            </m:r>
                          </m:e>
                          <m:sub>
                            <m:r>
                              <a:rPr lang="en-IN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𝑚</m:t>
                            </m:r>
                            <m:r>
                              <a:rPr lang="en-IN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4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20" name="TextBox 19"/>
            <xdr:cNvSpPr txBox="1"/>
          </xdr:nvSpPr>
          <xdr:spPr>
            <a:xfrm>
              <a:off x="4837044" y="17426195"/>
              <a:ext cx="103919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4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〖</a:t>
              </a:r>
              <a:r>
                <a:rPr lang="en-IN" sz="14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0.9𝐴_𝑛 𝑓_𝑢〗∕</a:t>
              </a:r>
              <a:r>
                <a:rPr lang="el-GR" sz="14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γ</a:t>
              </a:r>
              <a:r>
                <a:rPr lang="en-IN" sz="14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4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𝑚1 </a:t>
              </a:r>
              <a:endParaRPr lang="en-IN" sz="14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3</xdr:col>
      <xdr:colOff>387623</xdr:colOff>
      <xdr:row>212</xdr:row>
      <xdr:rowOff>17487</xdr:rowOff>
    </xdr:from>
    <xdr:ext cx="1997766" cy="5967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/>
            <xdr:cNvSpPr txBox="1"/>
          </xdr:nvSpPr>
          <xdr:spPr>
            <a:xfrm>
              <a:off x="3930923" y="40841637"/>
              <a:ext cx="1997766" cy="596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right"/>
                  </m:oMathParaPr>
                  <m:oMath xmlns:m="http://schemas.openxmlformats.org/officeDocument/2006/math">
                    <m:r>
                      <a:rPr lang="en-IN" sz="12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m:rPr>
                        <m:sty m:val="p"/>
                      </m:rPr>
                      <a:rPr lang="el-GR" sz="12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ψ</m:t>
                    </m:r>
                    <m:f>
                      <m:fPr>
                        <m:ctrlPr>
                          <a:rPr lang="en-IN" sz="12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>
                          <m:fPr>
                            <m:type m:val="lin"/>
                            <m:ctrlPr>
                              <a:rPr lang="en-IN" sz="12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𝑃</m:t>
                            </m:r>
                          </m:num>
                          <m:den>
                            <m: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𝐴</m:t>
                            </m:r>
                          </m:den>
                        </m:f>
                      </m:num>
                      <m:den>
                        <m:f>
                          <m:fPr>
                            <m:type m:val="lin"/>
                            <m:ctrlPr>
                              <a:rPr lang="en-IN" sz="12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IN" sz="120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12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𝑀</m:t>
                                </m:r>
                              </m:e>
                              <m:sub>
                                <m:r>
                                  <a:rPr lang="en-IN" sz="12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𝑑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IN" sz="120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12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en-IN" sz="12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𝑒𝑐</m:t>
                                </m:r>
                              </m:sub>
                            </m:sSub>
                          </m:den>
                        </m:f>
                      </m:den>
                    </m:f>
                    <m:r>
                      <a:rPr lang="en-IN" sz="12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IN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𝑑𝑦</m:t>
                            </m:r>
                          </m:sub>
                        </m:sSub>
                      </m:den>
                    </m:f>
                    <m:r>
                      <a:rPr lang="en-IN" sz="12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IN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𝑧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IN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𝑑𝑧</m:t>
                            </m:r>
                          </m:sub>
                        </m:sSub>
                      </m:den>
                    </m:f>
                    <m:r>
                      <a:rPr lang="en-IN" sz="12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n-IN" sz="12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≤1.0</m:t>
                    </m:r>
                  </m:oMath>
                </m:oMathPara>
              </a14:m>
              <a:endParaRPr lang="en-IN" sz="12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21" name="TextBox 20"/>
            <xdr:cNvSpPr txBox="1"/>
          </xdr:nvSpPr>
          <xdr:spPr>
            <a:xfrm>
              <a:off x="3930923" y="40841637"/>
              <a:ext cx="1997766" cy="596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/>
              <a:r>
                <a:rPr lang="en-IN" sz="12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−</a:t>
              </a:r>
              <a:r>
                <a:rPr lang="el-GR" sz="12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ψ</a:t>
              </a:r>
              <a:r>
                <a:rPr lang="en-IN" sz="12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 (</a:t>
              </a:r>
              <a:r>
                <a:rPr lang="en-IN" sz="12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𝑃∕𝐴)/(𝑀_𝑑∕𝑍_𝑒𝑐 )+𝑀_𝑦/𝑀_𝑑𝑦 +𝑀_𝑧/𝑀_𝑑𝑧   </a:t>
              </a:r>
              <a:r>
                <a:rPr lang="en-IN" sz="12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≤1.0</a:t>
              </a:r>
              <a:endParaRPr lang="en-IN" sz="12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63362</xdr:colOff>
      <xdr:row>181</xdr:row>
      <xdr:rowOff>0</xdr:rowOff>
    </xdr:from>
    <xdr:ext cx="1651137" cy="55008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/>
            <xdr:cNvSpPr txBox="1"/>
          </xdr:nvSpPr>
          <xdr:spPr>
            <a:xfrm>
              <a:off x="4140062" y="31099125"/>
              <a:ext cx="1651137" cy="5500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100">
                  <a:solidFill>
                    <a:sysClr val="windowText" lastClr="000000"/>
                  </a:solidFill>
                </a:rPr>
                <a:t>Plastic or Compact Section: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m:rPr>
                        <m:sty m:val="p"/>
                      </m:rPr>
                      <a:rPr lang="el-GR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β</m:t>
                    </m:r>
                    <m:d>
                      <m:dPr>
                        <m:ctrlPr>
                          <a:rPr lang="el-GR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l-GR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𝑑</m:t>
                            </m:r>
                          </m:sub>
                        </m:s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𝑓𝑑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IN" sz="1100" b="0" i="1">
                <a:solidFill>
                  <a:sysClr val="windowText" lastClr="000000"/>
                </a:solidFill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l-GR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≤</m:t>
                    </m:r>
                    <m:f>
                      <m:fPr>
                        <m:type m:val="lin"/>
                        <m:ctrlPr>
                          <a:rPr lang="el-GR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1.2 </m:t>
                        </m:r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𝑍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l-GR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γ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𝑚𝑜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22" name="TextBox 21"/>
            <xdr:cNvSpPr txBox="1"/>
          </xdr:nvSpPr>
          <xdr:spPr>
            <a:xfrm>
              <a:off x="4140062" y="31099125"/>
              <a:ext cx="1651137" cy="5500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100">
                  <a:solidFill>
                    <a:sysClr val="windowText" lastClr="000000"/>
                  </a:solidFill>
                </a:rPr>
                <a:t>Plastic or Compact Section:</a:t>
              </a:r>
            </a:p>
            <a:p>
              <a:pPr/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𝑀_𝑑−</a:t>
              </a:r>
              <a:r>
                <a:rPr lang="el-GR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β(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𝑀</a:t>
              </a:r>
              <a:r>
                <a:rPr lang="el-GR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𝑑−𝑀_𝑓𝑑 )</a:t>
              </a:r>
              <a:endParaRPr lang="en-IN" sz="1100" b="0" i="1">
                <a:solidFill>
                  <a:sysClr val="windowText" lastClr="000000"/>
                </a:solidFill>
                <a:latin typeface="Cambria Math" panose="02040503050406030204" pitchFamily="18" charset="0"/>
              </a:endParaRPr>
            </a:p>
            <a:p>
              <a:pPr/>
              <a:r>
                <a:rPr lang="el-GR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≤〖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1.2 𝑍_𝑒  𝑓_𝑦</a:t>
              </a:r>
              <a:r>
                <a:rPr lang="el-GR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〗∕γ_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𝑚𝑜 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24848</xdr:colOff>
      <xdr:row>181</xdr:row>
      <xdr:rowOff>589389</xdr:rowOff>
    </xdr:from>
    <xdr:ext cx="1731065" cy="3551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/>
            <xdr:cNvSpPr txBox="1"/>
          </xdr:nvSpPr>
          <xdr:spPr>
            <a:xfrm>
              <a:off x="4101548" y="31688514"/>
              <a:ext cx="1731065" cy="3551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 marL="0" marR="0" lvl="0" indent="0" algn="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IN" sz="1100" b="0" i="0">
                        <a:solidFill>
                          <a:sysClr val="windowText" lastClr="000000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Semi</m:t>
                    </m:r>
                    <m:r>
                      <m:rPr>
                        <m:nor/>
                      </m:rPr>
                      <a:rPr lang="en-IN" sz="1100" b="0" i="0">
                        <a:solidFill>
                          <a:sysClr val="windowText" lastClr="000000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</m:t>
                    </m:r>
                    <m:r>
                      <m:rPr>
                        <m:nor/>
                      </m:rPr>
                      <a:rPr lang="en-IN" sz="1100">
                        <a:solidFill>
                          <a:sysClr val="windowText" lastClr="000000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Compact</m:t>
                    </m:r>
                    <m:r>
                      <m:rPr>
                        <m:nor/>
                      </m:rPr>
                      <a:rPr lang="en-IN" sz="1100">
                        <a:solidFill>
                          <a:sysClr val="windowText" lastClr="000000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n-IN" sz="1100">
                        <a:solidFill>
                          <a:sysClr val="windowText" lastClr="000000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Section</m:t>
                    </m:r>
                    <m:r>
                      <m:rPr>
                        <m:nor/>
                      </m:rPr>
                      <a:rPr lang="en-IN" sz="1100">
                        <a:solidFill>
                          <a:sysClr val="windowText" lastClr="000000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:</m:t>
                    </m:r>
                  </m:oMath>
                </m:oMathPara>
              </a14:m>
              <a:endParaRPr lang="en-IN">
                <a:solidFill>
                  <a:sysClr val="windowText" lastClr="000000"/>
                </a:solidFill>
                <a:effectLst/>
              </a:endParaRPr>
            </a:p>
            <a:p>
              <a:pPr algn="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lin"/>
                        <m:ctrlPr>
                          <a:rPr lang="el-GR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𝑍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l-GR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γ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𝑚𝑜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23" name="TextBox 22"/>
            <xdr:cNvSpPr txBox="1"/>
          </xdr:nvSpPr>
          <xdr:spPr>
            <a:xfrm>
              <a:off x="4101548" y="31688514"/>
              <a:ext cx="1731065" cy="3551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 marL="0" marR="0" lvl="0" indent="0" algn="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"Semi−</a:t>
              </a:r>
              <a:r>
                <a:rPr lang="en-IN" sz="110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Compact Section:</a:t>
              </a:r>
              <a:r>
                <a:rPr lang="en-IN" sz="1100" i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IN">
                <a:solidFill>
                  <a:sysClr val="windowText" lastClr="000000"/>
                </a:solidFill>
                <a:effectLst/>
              </a:endParaRPr>
            </a:p>
            <a:p>
              <a:pPr algn="r"/>
              <a:r>
                <a:rPr lang="el-GR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〖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 𝑍_𝑒  𝑓_𝑦</a:t>
              </a:r>
              <a:r>
                <a:rPr lang="el-GR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〗∕γ_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𝑚𝑜 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160682</xdr:colOff>
      <xdr:row>178</xdr:row>
      <xdr:rowOff>139147</xdr:rowOff>
    </xdr:from>
    <xdr:ext cx="1730217" cy="3549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/>
            <xdr:cNvSpPr txBox="1"/>
          </xdr:nvSpPr>
          <xdr:spPr>
            <a:xfrm>
              <a:off x="4237382" y="39324997"/>
              <a:ext cx="1730217" cy="3549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β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𝑏</m:t>
                            </m:r>
                          </m:sub>
                        </m:s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𝑍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𝑝</m:t>
                            </m:r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γ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𝑚𝑜</m:t>
                            </m:r>
                          </m:sub>
                        </m:sSub>
                      </m:den>
                    </m:f>
                    <m:r>
                      <a:rPr lang="en-IN" sz="110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≤</m:t>
                    </m:r>
                    <m:f>
                      <m:fPr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1.2∗</m:t>
                        </m:r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𝑍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110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γ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24" name="TextBox 23"/>
            <xdr:cNvSpPr txBox="1"/>
          </xdr:nvSpPr>
          <xdr:spPr>
            <a:xfrm>
              <a:off x="4237382" y="39324997"/>
              <a:ext cx="1730217" cy="3549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</a:t>
              </a:r>
              <a:r>
                <a:rPr lang="el-GR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β</a:t>
              </a:r>
              <a:r>
                <a:rPr lang="en-IN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𝑏∗𝑍_𝑝1∗𝑓_𝑦)/</a:t>
              </a:r>
              <a:r>
                <a:rPr lang="el-GR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γ</a:t>
              </a:r>
              <a:r>
                <a:rPr lang="en-IN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𝑚𝑜 </a:t>
              </a:r>
              <a:r>
                <a:rPr lang="en-IN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≤</a:t>
              </a:r>
              <a:r>
                <a:rPr lang="en-IN" sz="110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1.2∗𝑍_𝑒1∗𝑓_𝑦)/</a:t>
              </a:r>
              <a:r>
                <a:rPr lang="el-GR" sz="110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γ</a:t>
              </a:r>
              <a:r>
                <a:rPr lang="en-IN" sz="110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 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202509</xdr:colOff>
      <xdr:row>196</xdr:row>
      <xdr:rowOff>80342</xdr:rowOff>
    </xdr:from>
    <xdr:ext cx="1668470" cy="3806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/>
            <xdr:cNvSpPr txBox="1"/>
          </xdr:nvSpPr>
          <xdr:spPr>
            <a:xfrm>
              <a:off x="4279209" y="45400292"/>
              <a:ext cx="1668470" cy="3806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𝑀</m:t>
                        </m:r>
                      </m:e>
                      <m: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𝑑𝑦</m:t>
                        </m:r>
                      </m:sub>
                    </m:sSub>
                    <m:d>
                      <m:dPr>
                        <m:begChr m:val="["/>
                        <m:endChr m:val="]"/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1−</m:t>
                        </m:r>
                        <m:sSup>
                          <m:sSup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𝑛</m:t>
                                    </m:r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𝑎</m:t>
                                    </m:r>
                                  </m:num>
                                  <m:den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1−</m:t>
                                    </m:r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𝑎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d>
                    <m:r>
                      <a:rPr lang="en-IN" sz="1100" b="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≤</m:t>
                    </m:r>
                    <m:sSub>
                      <m:sSub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𝑀</m:t>
                        </m:r>
                      </m:e>
                      <m: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𝑑𝑦</m:t>
                        </m:r>
                      </m:sub>
                    </m:sSub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25" name="TextBox 24"/>
            <xdr:cNvSpPr txBox="1"/>
          </xdr:nvSpPr>
          <xdr:spPr>
            <a:xfrm>
              <a:off x="4279209" y="45400292"/>
              <a:ext cx="1668470" cy="3806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𝑀_𝑑𝑦 [1−((𝑛−𝑎)/(1−𝑎))^2 ]≤𝑀_𝑑𝑦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634861</xdr:colOff>
      <xdr:row>194</xdr:row>
      <xdr:rowOff>60464</xdr:rowOff>
    </xdr:from>
    <xdr:ext cx="1175771" cy="3570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/>
            <xdr:cNvSpPr txBox="1"/>
          </xdr:nvSpPr>
          <xdr:spPr>
            <a:xfrm>
              <a:off x="4711561" y="35264864"/>
              <a:ext cx="1175771" cy="3570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𝑑𝑧</m:t>
                            </m:r>
                          </m:sub>
                        </m:sSub>
                        <m:d>
                          <m:d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e>
                        </m:d>
                      </m:num>
                      <m:den>
                        <m:d>
                          <m:d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1−0.5</m:t>
                            </m:r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</m:d>
                      </m:den>
                    </m:f>
                    <m:r>
                      <a:rPr lang="en-IN" sz="1100" b="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≤</m:t>
                    </m:r>
                    <m:sSub>
                      <m:sSub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𝑀</m:t>
                        </m:r>
                      </m:e>
                      <m: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𝑑𝑧</m:t>
                        </m:r>
                      </m:sub>
                    </m:sSub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26" name="TextBox 25"/>
            <xdr:cNvSpPr txBox="1"/>
          </xdr:nvSpPr>
          <xdr:spPr>
            <a:xfrm>
              <a:off x="4711561" y="35264864"/>
              <a:ext cx="1175771" cy="3570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𝑀_𝑑𝑧 (1−𝑛))/((1−0.5𝑎) )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≤𝑀_𝑑𝑧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1144243</xdr:colOff>
      <xdr:row>198</xdr:row>
      <xdr:rowOff>155713</xdr:rowOff>
    </xdr:from>
    <xdr:ext cx="45544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/>
            <xdr:cNvSpPr txBox="1"/>
          </xdr:nvSpPr>
          <xdr:spPr>
            <a:xfrm>
              <a:off x="5220943" y="45475663"/>
              <a:ext cx="4554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5</m:t>
                    </m:r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𝑛</m:t>
                    </m:r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≥1</m:t>
                    </m:r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27" name="TextBox 26"/>
            <xdr:cNvSpPr txBox="1"/>
          </xdr:nvSpPr>
          <xdr:spPr>
            <a:xfrm>
              <a:off x="5220943" y="45475663"/>
              <a:ext cx="4554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5𝑛≥1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14287</xdr:colOff>
      <xdr:row>127</xdr:row>
      <xdr:rowOff>9525</xdr:rowOff>
    </xdr:from>
    <xdr:ext cx="1822807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/>
            <xdr:cNvSpPr txBox="1"/>
          </xdr:nvSpPr>
          <xdr:spPr>
            <a:xfrm>
              <a:off x="4090987" y="27984450"/>
              <a:ext cx="1822807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𝐶</m:t>
                    </m:r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1</m:t>
                    </m:r>
                    <m:rad>
                      <m:radPr>
                        <m:degHide m:val="on"/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d>
                          <m:d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IN" sz="110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IN" sz="110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IN" sz="110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𝜋</m:t>
                                    </m:r>
                                  </m:e>
                                  <m:sup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</m:t>
                                </m:r>
                                <m:sSub>
                                  <m:sSubPr>
                                    <m:ctrlP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𝐼</m:t>
                                    </m:r>
                                  </m:e>
                                  <m:sub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𝑦</m:t>
                                    </m:r>
                                  </m:sub>
                                </m:sSub>
                              </m:num>
                              <m:den>
                                <m:sSup>
                                  <m:sSupPr>
                                    <m:ctrlPr>
                                      <a:rPr lang="en-IN" sz="110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sSub>
                                      <m:sSubPr>
                                        <m:ctrlPr>
                                          <a:rPr lang="en-IN" sz="1100" i="1">
                                            <a:solidFill>
                                              <a:sysClr val="windowText" lastClr="000000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IN" sz="1100" b="0" i="1">
                                            <a:solidFill>
                                              <a:sysClr val="windowText" lastClr="000000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𝐿</m:t>
                                        </m:r>
                                      </m:e>
                                      <m:sub>
                                        <m:r>
                                          <a:rPr lang="en-IN" sz="1100" b="0" i="1">
                                            <a:solidFill>
                                              <a:sysClr val="windowText" lastClr="000000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𝐿𝑇</m:t>
                                        </m:r>
                                      </m:sub>
                                    </m:sSub>
                                  </m:e>
                                  <m:sup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den>
                            </m:f>
                          </m:e>
                        </m:d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  <m:d>
                          <m:dPr>
                            <m:begChr m:val="["/>
                            <m:endChr m:val="]"/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𝐺</m:t>
                            </m:r>
                            <m:sSub>
                              <m:sSub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𝐼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sub>
                            </m:s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f>
                              <m:f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IN" sz="110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IN" sz="110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𝜋</m:t>
                                    </m:r>
                                  </m:e>
                                  <m:sup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</m:t>
                                </m:r>
                                <m:sSub>
                                  <m:sSubPr>
                                    <m:ctrlP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𝐼</m:t>
                                    </m:r>
                                  </m:e>
                                  <m:sub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𝑤</m:t>
                                    </m:r>
                                  </m:sub>
                                </m:sSub>
                              </m:num>
                              <m:den>
                                <m:sSup>
                                  <m:sSupPr>
                                    <m:ctrlPr>
                                      <a:rPr lang="en-IN" sz="110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sSub>
                                      <m:sSubPr>
                                        <m:ctrlPr>
                                          <a:rPr lang="en-IN" sz="1100" i="1">
                                            <a:solidFill>
                                              <a:sysClr val="windowText" lastClr="000000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IN" sz="1100" b="0" i="1">
                                            <a:solidFill>
                                              <a:sysClr val="windowText" lastClr="000000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𝐿</m:t>
                                        </m:r>
                                      </m:e>
                                      <m:sub>
                                        <m:r>
                                          <a:rPr lang="en-IN" sz="1100" b="0" i="1">
                                            <a:solidFill>
                                              <a:sysClr val="windowText" lastClr="000000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𝐿𝑇</m:t>
                                        </m:r>
                                      </m:sub>
                                    </m:sSub>
                                  </m:e>
                                  <m:sup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den>
                            </m:f>
                          </m:e>
                        </m:d>
                      </m:e>
                    </m:rad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30" name="TextBox 29"/>
            <xdr:cNvSpPr txBox="1"/>
          </xdr:nvSpPr>
          <xdr:spPr>
            <a:xfrm>
              <a:off x="4090987" y="27984450"/>
              <a:ext cx="1822807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𝐶1</a:t>
              </a:r>
              <a:r>
                <a:rPr lang="en-IN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√((</a:t>
              </a:r>
              <a:r>
                <a:rPr lang="en-IN" sz="110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(𝜋^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𝐸𝐼_𝑦)/〖𝐿_𝐿𝑇〗^2 )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∗[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𝐺𝐼_𝑡+(</a:t>
              </a:r>
              <a:r>
                <a:rPr lang="en-IN" sz="110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𝜋^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𝐸𝐼_𝑤)/〖𝐿_𝐿𝑇〗^2 ] )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30207</xdr:colOff>
      <xdr:row>129</xdr:row>
      <xdr:rowOff>21926</xdr:rowOff>
    </xdr:from>
    <xdr:ext cx="1831142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/>
            <xdr:cNvSpPr txBox="1"/>
          </xdr:nvSpPr>
          <xdr:spPr>
            <a:xfrm>
              <a:off x="4106907" y="28939826"/>
              <a:ext cx="183114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l-GR" sz="110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β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𝑏</m:t>
                                </m:r>
                              </m:sub>
                            </m:s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sSub>
                              <m:sSub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</m:t>
                                </m:r>
                              </m:sub>
                            </m:s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sSub>
                              <m:sSub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𝑀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𝑐𝑟</m:t>
                                </m:r>
                              </m:sub>
                            </m:sSub>
                          </m:den>
                        </m:f>
                      </m:e>
                    </m:rad>
                    <m:r>
                      <a:rPr lang="en-IN" sz="110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≤</m:t>
                    </m:r>
                    <m:rad>
                      <m:radPr>
                        <m:degHide m:val="on"/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1.2∗</m:t>
                            </m:r>
                            <m:sSub>
                              <m:sSub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sub>
                            </m:s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sSub>
                              <m:sSub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𝑀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𝑐𝑟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33" name="TextBox 32"/>
            <xdr:cNvSpPr txBox="1"/>
          </xdr:nvSpPr>
          <xdr:spPr>
            <a:xfrm>
              <a:off x="4106907" y="28939826"/>
              <a:ext cx="183114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√(</a:t>
              </a:r>
              <a:r>
                <a:rPr lang="en-IN" sz="110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l-GR" sz="110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β</a:t>
              </a:r>
              <a:r>
                <a:rPr lang="en-IN" sz="110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𝑏∗𝑍_𝑝∗𝑓_𝑦)/𝑀_𝑐𝑟 )</a:t>
              </a:r>
              <a:r>
                <a:rPr lang="en-IN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≤√(</a:t>
              </a:r>
              <a:r>
                <a:rPr lang="en-IN" sz="110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1.2∗𝑍_𝑒∗𝑓_𝑦)/𝑀_𝑐𝑟 )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47656</xdr:colOff>
      <xdr:row>131</xdr:row>
      <xdr:rowOff>31282</xdr:rowOff>
    </xdr:from>
    <xdr:ext cx="1874936" cy="1976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/>
            <xdr:cNvSpPr txBox="1"/>
          </xdr:nvSpPr>
          <xdr:spPr>
            <a:xfrm>
              <a:off x="4122699" y="27297630"/>
              <a:ext cx="1874936" cy="1976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0.5</m:t>
                    </m:r>
                    <m:d>
                      <m:dPr>
                        <m:begChr m:val="["/>
                        <m:endChr m:val="]"/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1+</m:t>
                        </m:r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𝐿𝑇</m:t>
                            </m:r>
                          </m:sub>
                        </m:sSub>
                        <m:d>
                          <m:dPr>
                            <m:ctrlPr>
                              <a:rPr lang="el-GR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l-GR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l-GR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λ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𝐿𝑇</m:t>
                                </m:r>
                              </m:sub>
                            </m:s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−0.2</m:t>
                            </m:r>
                          </m:e>
                        </m:d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l-GR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λ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𝐿𝑇</m:t>
                                </m:r>
                              </m:sub>
                            </m:sSub>
                          </m:e>
                          <m:sup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d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34" name="TextBox 33"/>
            <xdr:cNvSpPr txBox="1"/>
          </xdr:nvSpPr>
          <xdr:spPr>
            <a:xfrm>
              <a:off x="4122699" y="27297630"/>
              <a:ext cx="1874936" cy="1976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0.5[1+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𝛼_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𝐿𝑇</a:t>
              </a:r>
              <a:r>
                <a:rPr lang="el-GR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 (λ_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𝐿𝑇−0.2)+〖</a:t>
              </a:r>
              <a:r>
                <a:rPr lang="el-GR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λ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_𝐿𝑇〗^2 ]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195916</xdr:colOff>
      <xdr:row>133</xdr:row>
      <xdr:rowOff>23222</xdr:rowOff>
    </xdr:from>
    <xdr:ext cx="1522981" cy="3423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/>
            <xdr:cNvSpPr txBox="1"/>
          </xdr:nvSpPr>
          <xdr:spPr>
            <a:xfrm>
              <a:off x="4270959" y="27753396"/>
              <a:ext cx="1522981" cy="3423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d>
                          <m:dPr>
                            <m:begChr m:val="["/>
                            <m:endChr m:val="]"/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el-GR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Φ</m:t>
                            </m:r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sSup>
                              <m:sSup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p>
                                      <m:sSupPr>
                                        <m:ctrlPr>
                                          <a:rPr lang="en-IN" sz="1100" b="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el-GR" sz="1100" b="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Φ</m:t>
                                        </m:r>
                                      </m:e>
                                      <m:sup>
                                        <m:r>
                                          <a:rPr lang="en-IN" sz="1100" b="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sSup>
                                      <m:sSupPr>
                                        <m:ctrlPr>
                                          <a:rPr lang="en-IN" sz="1100" b="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el-GR" sz="1100" b="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λ</m:t>
                                        </m:r>
                                      </m:e>
                                      <m:sup>
                                        <m:r>
                                          <a:rPr lang="en-IN" sz="1100" b="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  <m:sup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0.5</m:t>
                                </m:r>
                              </m:sup>
                            </m:sSup>
                          </m:e>
                        </m:d>
                      </m:den>
                    </m:f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≤1.0</m:t>
                    </m:r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35" name="TextBox 34"/>
            <xdr:cNvSpPr txBox="1"/>
          </xdr:nvSpPr>
          <xdr:spPr>
            <a:xfrm>
              <a:off x="4270959" y="27753396"/>
              <a:ext cx="1522981" cy="3423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1/[</a:t>
              </a:r>
              <a:r>
                <a:rPr lang="el-GR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Φ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+(</a:t>
              </a:r>
              <a:r>
                <a:rPr lang="el-GR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Φ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^2−</a:t>
              </a:r>
              <a:r>
                <a:rPr lang="el-GR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λ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^2 )^0.5 ] 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≤1.0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57978</xdr:colOff>
      <xdr:row>135</xdr:row>
      <xdr:rowOff>16565</xdr:rowOff>
    </xdr:from>
    <xdr:ext cx="1765787" cy="1850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xtBox 37"/>
            <xdr:cNvSpPr txBox="1"/>
          </xdr:nvSpPr>
          <xdr:spPr>
            <a:xfrm>
              <a:off x="4133021" y="28384500"/>
              <a:ext cx="1765787" cy="1850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110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χ</m:t>
                        </m:r>
                      </m:e>
                      <m: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𝐿𝑇</m:t>
                        </m:r>
                      </m:sub>
                    </m:sSub>
                    <m:f>
                      <m:fPr>
                        <m:type m:val="lin"/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110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γ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</m:t>
                            </m:r>
                          </m:sub>
                        </m:sSub>
                      </m:den>
                    </m:f>
                    <m:r>
                      <a:rPr lang="en-IN" sz="110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≤</m:t>
                    </m:r>
                    <m:f>
                      <m:fPr>
                        <m:type m:val="lin"/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γ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𝑚𝑜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38" name="TextBox 37"/>
            <xdr:cNvSpPr txBox="1"/>
          </xdr:nvSpPr>
          <xdr:spPr>
            <a:xfrm>
              <a:off x="4133021" y="28384500"/>
              <a:ext cx="1765787" cy="1850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l-GR" sz="110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χ</a:t>
              </a:r>
              <a:r>
                <a:rPr lang="en-IN" sz="110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𝐿𝑇 </a:t>
              </a:r>
              <a:r>
                <a:rPr lang="en-IN" sz="110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𝑓_𝑦∕</a:t>
              </a:r>
              <a:r>
                <a:rPr lang="el-GR" sz="110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γ</a:t>
              </a:r>
              <a:r>
                <a:rPr lang="en-IN" sz="110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 </a:t>
              </a:r>
              <a:r>
                <a:rPr lang="en-IN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≤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𝑓_𝑦∕</a:t>
              </a:r>
              <a:r>
                <a:rPr lang="el-GR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γ</a:t>
              </a:r>
              <a:r>
                <a:rPr lang="en-IN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𝑚𝑜 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143289</xdr:colOff>
      <xdr:row>137</xdr:row>
      <xdr:rowOff>101876</xdr:rowOff>
    </xdr:from>
    <xdr:ext cx="1737655" cy="3549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Box 39"/>
            <xdr:cNvSpPr txBox="1"/>
          </xdr:nvSpPr>
          <xdr:spPr>
            <a:xfrm>
              <a:off x="4218332" y="31227919"/>
              <a:ext cx="1737655" cy="3549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110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β</m:t>
                        </m:r>
                      </m:e>
                      <m: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sub>
                    </m:sSub>
                    <m:r>
                      <a:rPr lang="en-IN" sz="1100" b="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b>
                      <m:sSub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𝑍</m:t>
                        </m:r>
                      </m:e>
                      <m: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IN" sz="1100" b="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b>
                      <m:sSub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𝑏𝑑</m:t>
                        </m:r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sub>
                    </m:sSub>
                    <m:r>
                      <a:rPr lang="en-IN" sz="1100" b="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IN" sz="110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≤</m:t>
                    </m:r>
                    <m:f>
                      <m:fPr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1.2∗</m:t>
                        </m:r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𝑍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110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γ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40" name="TextBox 39"/>
            <xdr:cNvSpPr txBox="1"/>
          </xdr:nvSpPr>
          <xdr:spPr>
            <a:xfrm>
              <a:off x="4218332" y="31227919"/>
              <a:ext cx="1737655" cy="3549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10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β</a:t>
              </a:r>
              <a:r>
                <a:rPr lang="en-IN" sz="110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𝑏∗𝑍_𝑝∗𝑓_(𝑏𝑑 )  </a:t>
              </a:r>
              <a:r>
                <a:rPr lang="en-IN" sz="110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≤(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1.2∗𝑍_𝑒∗𝑓_𝑦)/</a:t>
              </a:r>
              <a:r>
                <a:rPr lang="el-GR" sz="110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γ</a:t>
              </a:r>
              <a:r>
                <a:rPr lang="en-IN" sz="110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 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3</xdr:col>
      <xdr:colOff>528637</xdr:colOff>
      <xdr:row>125</xdr:row>
      <xdr:rowOff>38100</xdr:rowOff>
    </xdr:from>
    <xdr:ext cx="185724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/>
            <xdr:cNvSpPr txBox="1"/>
          </xdr:nvSpPr>
          <xdr:spPr>
            <a:xfrm>
              <a:off x="4071937" y="27765375"/>
              <a:ext cx="185724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1.88 −1.40</m:t>
                    </m:r>
                    <m:r>
                      <m:rPr>
                        <m:sty m:val="p"/>
                      </m:rPr>
                      <a:rPr lang="el-GR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ψ</m:t>
                    </m:r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+0.52</m:t>
                    </m:r>
                    <m:sSup>
                      <m:sSup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l-GR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ψ</m:t>
                        </m:r>
                      </m:e>
                      <m:sup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≤2.7</m:t>
                    </m:r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28" name="TextBox 27"/>
            <xdr:cNvSpPr txBox="1"/>
          </xdr:nvSpPr>
          <xdr:spPr>
            <a:xfrm>
              <a:off x="4071937" y="27765375"/>
              <a:ext cx="185724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1.88 −1.40</a:t>
              </a:r>
              <a:r>
                <a:rPr lang="el-GR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ψ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+0.52</a:t>
              </a:r>
              <a:r>
                <a:rPr lang="el-GR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ψ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^2  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≤2.7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1376362</xdr:colOff>
      <xdr:row>46</xdr:row>
      <xdr:rowOff>76200</xdr:rowOff>
    </xdr:from>
    <xdr:ext cx="342273" cy="28764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5453062" y="9029700"/>
              <a:ext cx="342273" cy="2876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𝜋</m:t>
                        </m:r>
                      </m:num>
                      <m:den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sSup>
                      <m:sSupPr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  <m:sup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5453062" y="9029700"/>
              <a:ext cx="342273" cy="2876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𝜋/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4 </a:t>
              </a:r>
              <a:r>
                <a:rPr lang="en-IN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〖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𝐷_𝑖〗^2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1380393</xdr:colOff>
      <xdr:row>53</xdr:row>
      <xdr:rowOff>74735</xdr:rowOff>
    </xdr:from>
    <xdr:ext cx="419730" cy="36548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5457093" y="10761785"/>
              <a:ext cx="419730" cy="3654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0.09 </m:t>
                        </m:r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5457093" y="10761785"/>
              <a:ext cx="419730" cy="3654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0.09 𝐸)/𝐹_𝑦 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1380393</xdr:colOff>
      <xdr:row>55</xdr:row>
      <xdr:rowOff>36635</xdr:rowOff>
    </xdr:from>
    <xdr:ext cx="419730" cy="36548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5457093" y="11419010"/>
              <a:ext cx="419730" cy="3654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0.31 </m:t>
                        </m:r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5457093" y="11419010"/>
              <a:ext cx="419730" cy="3654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0.31 𝐸)/𝐹_𝑦 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1380393</xdr:colOff>
      <xdr:row>57</xdr:row>
      <xdr:rowOff>36635</xdr:rowOff>
    </xdr:from>
    <xdr:ext cx="419730" cy="36548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5457093" y="12066710"/>
              <a:ext cx="419730" cy="3654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0.31 </m:t>
                        </m:r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5457093" y="12066710"/>
              <a:ext cx="419730" cy="3654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0.31 𝐸)/𝐹_𝑦 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176212</xdr:colOff>
      <xdr:row>100</xdr:row>
      <xdr:rowOff>95250</xdr:rowOff>
    </xdr:from>
    <xdr:ext cx="1669688" cy="419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4252912" y="22145625"/>
              <a:ext cx="1669688" cy="419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𝑝</m:t>
                            </m:r>
                          </m:sub>
                        </m:s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</m:e>
                    </m:d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sSup>
                      <m:sSup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el-GR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λ</m:t>
                                </m:r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 − </m:t>
                                </m:r>
                                <m:sSub>
                                  <m:sSubPr>
                                    <m:ctrlP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l-GR" sz="11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λ</m:t>
                                    </m:r>
                                  </m:e>
                                  <m:sub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l-GR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λ</m:t>
                                    </m:r>
                                  </m:e>
                                  <m:sub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sub>
                                </m:s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− </m:t>
                                </m:r>
                                <m:sSub>
                                  <m:sSubPr>
                                    <m:ctrlP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l-GR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λ</m:t>
                                    </m:r>
                                  </m:e>
                                  <m:sub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𝑝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</m:e>
                      <m:sup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4252912" y="22145625"/>
              <a:ext cx="1669688" cy="419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𝑃_𝑝−(𝑃_𝑝−𝑃_𝑦 )  ((</a:t>
              </a:r>
              <a:r>
                <a:rPr lang="el-GR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λ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 − </a:t>
              </a:r>
              <a:r>
                <a:rPr lang="el-GR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λ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_𝑝)/(</a:t>
              </a:r>
              <a:r>
                <a:rPr lang="el-GR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λ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_𝑟  − </a:t>
              </a:r>
              <a:r>
                <a:rPr lang="el-GR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λ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_𝑝 ))^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2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102393</xdr:colOff>
      <xdr:row>102</xdr:row>
      <xdr:rowOff>54768</xdr:rowOff>
    </xdr:from>
    <xdr:ext cx="1753813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4179093" y="22819518"/>
              <a:ext cx="1753813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𝑐𝑟</m:t>
                        </m:r>
                      </m:sub>
                    </m:sSub>
                    <m:sSub>
                      <m:sSubPr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+0.7 </m:t>
                    </m:r>
                    <m:sSub>
                      <m:sSub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𝑐</m:t>
                        </m:r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′</m:t>
                        </m:r>
                      </m:sub>
                    </m:sSub>
                    <m:d>
                      <m:d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𝑠𝑟</m:t>
                            </m:r>
                          </m:sub>
                        </m:sSub>
                        <m:f>
                          <m:f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𝑠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𝑐</m:t>
                                </m:r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4179093" y="22819518"/>
              <a:ext cx="1753813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𝐹_𝑐𝑟 𝐴_𝑠+0.7 𝑓_𝑐′ (𝐴_𝑐+𝐴_𝑠𝑟  𝐸_𝑠/𝐸_𝑐 )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205886</xdr:colOff>
      <xdr:row>82</xdr:row>
      <xdr:rowOff>30040</xdr:rowOff>
    </xdr:from>
    <xdr:ext cx="1662250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4282586" y="16489240"/>
              <a:ext cx="1662250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  <m:sSub>
                      <m:sSubPr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𝑐</m:t>
                        </m:r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′</m:t>
                        </m:r>
                      </m:sub>
                    </m:sSub>
                    <m:d>
                      <m:d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𝑠𝑟</m:t>
                            </m:r>
                          </m:sub>
                        </m:sSub>
                        <m:f>
                          <m:f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</m:t>
                                </m:r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4282586" y="16489240"/>
              <a:ext cx="1662250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𝐹_𝑦 𝐴_𝑠+𝐶_2 𝑓_𝑐′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(𝐴_𝑐+𝐴_𝑠𝑟  𝐸_𝑠/𝐸_𝑐 )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186836</xdr:colOff>
      <xdr:row>84</xdr:row>
      <xdr:rowOff>49090</xdr:rowOff>
    </xdr:from>
    <xdr:ext cx="1680717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4263536" y="19327690"/>
              <a:ext cx="1680717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  <m:sSub>
                      <m:sSubPr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+0.7</m:t>
                    </m:r>
                    <m:sSub>
                      <m:sSub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𝑐</m:t>
                        </m:r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′</m:t>
                        </m:r>
                      </m:sub>
                    </m:sSub>
                    <m:d>
                      <m:d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𝑠𝑟</m:t>
                            </m:r>
                          </m:sub>
                        </m:sSub>
                        <m:f>
                          <m:f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</m:t>
                                </m:r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4263536" y="19327690"/>
              <a:ext cx="1680717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𝐹_𝑦 𝐴_𝑠+0.7𝑓_𝑐′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(𝐴_𝑐+𝐴_𝑠𝑟  𝐸_𝑠/𝐸_𝑐 )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1109662</xdr:colOff>
      <xdr:row>87</xdr:row>
      <xdr:rowOff>57150</xdr:rowOff>
    </xdr:from>
    <xdr:ext cx="684611" cy="5420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5186362" y="17992725"/>
              <a:ext cx="684611" cy="5420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0.72 </m:t>
                        </m:r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begChr m:val="["/>
                                <m:endChr m:val="]"/>
                                <m:ctrlPr>
                                  <a:rPr lang="en-IN" sz="110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d>
                                  <m:dPr>
                                    <m:ctrlPr>
                                      <a:rPr lang="en-IN" sz="110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en-IN" sz="1100" i="1">
                                            <a:solidFill>
                                              <a:sysClr val="windowText" lastClr="000000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IN" sz="1100" b="0" i="1">
                                            <a:solidFill>
                                              <a:sysClr val="windowText" lastClr="000000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𝐷</m:t>
                                        </m:r>
                                      </m:num>
                                      <m:den>
                                        <m:r>
                                          <a:rPr lang="en-IN" sz="1100" b="0" i="1">
                                            <a:solidFill>
                                              <a:sysClr val="windowText" lastClr="000000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den>
                                    </m:f>
                                  </m:e>
                                </m:d>
                                <m:f>
                                  <m:fPr>
                                    <m:ctrlPr>
                                      <a:rPr lang="en-IN" sz="110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sSub>
                                      <m:sSubPr>
                                        <m:ctrlPr>
                                          <a:rPr lang="en-IN" sz="1100" i="1">
                                            <a:solidFill>
                                              <a:sysClr val="windowText" lastClr="000000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IN" sz="1100" b="0" i="1">
                                            <a:solidFill>
                                              <a:sysClr val="windowText" lastClr="000000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𝐹</m:t>
                                        </m:r>
                                      </m:e>
                                      <m:sub>
                                        <m:r>
                                          <a:rPr lang="en-IN" sz="1100" b="0" i="1">
                                            <a:solidFill>
                                              <a:sysClr val="windowText" lastClr="000000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𝑦</m:t>
                                        </m:r>
                                      </m:sub>
                                    </m:sSub>
                                  </m:num>
                                  <m:den>
                                    <m:sSub>
                                      <m:sSubPr>
                                        <m:ctrlPr>
                                          <a:rPr lang="en-IN" sz="1100" i="1">
                                            <a:solidFill>
                                              <a:sysClr val="windowText" lastClr="000000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IN" sz="1100" b="0" i="1">
                                            <a:solidFill>
                                              <a:sysClr val="windowText" lastClr="000000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𝐸</m:t>
                                        </m:r>
                                      </m:e>
                                      <m:sub>
                                        <m:r>
                                          <a:rPr lang="en-IN" sz="1100" b="0" i="1">
                                            <a:solidFill>
                                              <a:sysClr val="windowText" lastClr="000000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𝑠</m:t>
                                        </m:r>
                                      </m:sub>
                                    </m:sSub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0.2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5186362" y="17992725"/>
              <a:ext cx="684611" cy="5420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0.72 𝐹_𝑦)/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[(𝐷/𝑡)  𝐹_𝑦/𝐸_𝑠 ]^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0.2 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618444</xdr:colOff>
      <xdr:row>93</xdr:row>
      <xdr:rowOff>126546</xdr:rowOff>
    </xdr:from>
    <xdr:ext cx="126541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4695144" y="19995696"/>
              <a:ext cx="12654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1100" i="1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1100" b="0" i="1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</a:rPr>
                        <m:t>𝐸</m:t>
                      </m:r>
                    </m:e>
                    <m:sub>
                      <m:r>
                        <a:rPr lang="en-IN" sz="1100" b="0" i="1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  <m:sSub>
                    <m:sSubPr>
                      <m:ctrlPr>
                        <a:rPr lang="en-IN" sz="1100" i="1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1100" b="0" i="1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</a:rPr>
                        <m:t>𝐼</m:t>
                      </m:r>
                    </m:e>
                    <m:sub>
                      <m:r>
                        <a:rPr lang="en-IN" sz="1100" b="0" i="1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  <m:r>
                    <a:rPr lang="en-IN" sz="1100" b="0" i="1">
                      <a:solidFill>
                        <a:sysClr val="windowText" lastClr="000000"/>
                      </a:solidFill>
                      <a:latin typeface="Cambria Math" panose="02040503050406030204" pitchFamily="18" charset="0"/>
                    </a:rPr>
                    <m:t>+ </m:t>
                  </m:r>
                  <m:sSub>
                    <m:sSubPr>
                      <m:ctrlPr>
                        <a:rPr lang="en-IN" sz="110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IN" sz="11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𝐸</m:t>
                      </m:r>
                    </m:e>
                    <m:sub>
                      <m:r>
                        <a:rPr lang="en-IN" sz="11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</m:t>
                      </m:r>
                    </m:sub>
                  </m:sSub>
                  <m:sSub>
                    <m:sSubPr>
                      <m:ctrlPr>
                        <a:rPr lang="en-IN" sz="110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IN" sz="11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IN" sz="11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𝑠𝑟</m:t>
                      </m:r>
                    </m:sub>
                  </m:sSub>
                </m:oMath>
              </a14:m>
              <a:r>
                <a:rPr lang="en-IN" sz="1100">
                  <a:solidFill>
                    <a:sysClr val="windowText" lastClr="000000"/>
                  </a:solidFill>
                </a:rPr>
                <a:t>+ </a:t>
              </a:r>
              <a14:m>
                <m:oMath xmlns:m="http://schemas.openxmlformats.org/officeDocument/2006/math">
                  <m:sSub>
                    <m:sSubPr>
                      <m:ctrlPr>
                        <a:rPr lang="en-IN" sz="110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IN" sz="11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</m:t>
                      </m:r>
                    </m:e>
                    <m:sub>
                      <m:r>
                        <a:rPr lang="en-IN" sz="11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b>
                  </m:sSub>
                  <m:sSub>
                    <m:sSubPr>
                      <m:ctrlPr>
                        <a:rPr lang="en-IN" sz="110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IN" sz="11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𝐸</m:t>
                      </m:r>
                    </m:e>
                    <m:sub>
                      <m:r>
                        <a:rPr lang="en-IN" sz="11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𝑐</m:t>
                      </m:r>
                    </m:sub>
                  </m:sSub>
                  <m:sSub>
                    <m:sSubPr>
                      <m:ctrlPr>
                        <a:rPr lang="en-IN" sz="110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IN" sz="11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IN" sz="11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𝑐</m:t>
                      </m:r>
                    </m:sub>
                  </m:sSub>
                </m:oMath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4695144" y="19995696"/>
              <a:ext cx="12654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𝐸_𝑠 𝐼_𝑠+ 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𝐸_𝑠 𝐼_𝑠𝑟</a:t>
              </a:r>
              <a:r>
                <a:rPr lang="en-IN" sz="1100">
                  <a:solidFill>
                    <a:sysClr val="windowText" lastClr="000000"/>
                  </a:solidFill>
                </a:rPr>
                <a:t>+ 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𝐶_3 𝐸_𝑐 𝐼_𝑐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389060</xdr:colOff>
      <xdr:row>91</xdr:row>
      <xdr:rowOff>66674</xdr:rowOff>
    </xdr:from>
    <xdr:ext cx="1460785" cy="3767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4465760" y="19259549"/>
              <a:ext cx="1460785" cy="37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0.6+2</m:t>
                    </m:r>
                    <m:d>
                      <m:dPr>
                        <m:begChr m:val="["/>
                        <m:endChr m:val="]"/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𝑠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𝑠</m:t>
                                </m:r>
                              </m:sub>
                            </m:s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𝑐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≤0.9</m:t>
                    </m:r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4465760" y="19259549"/>
              <a:ext cx="1460785" cy="37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0.6+2[𝐴_𝑠/(𝐴_𝑠+𝐴_𝑐 )]  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≤0.9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784713</xdr:colOff>
      <xdr:row>75</xdr:row>
      <xdr:rowOff>732</xdr:rowOff>
    </xdr:from>
    <xdr:ext cx="952890" cy="2049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/>
            <xdr:cNvSpPr txBox="1"/>
          </xdr:nvSpPr>
          <xdr:spPr>
            <a:xfrm>
              <a:off x="4861413" y="14621607"/>
              <a:ext cx="952890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0.043</m:t>
                    </m:r>
                    <m:sSup>
                      <m:sSup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</m:e>
                      <m:sup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1.5</m:t>
                        </m:r>
                      </m:sup>
                    </m:sSup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ad>
                      <m:radPr>
                        <m:degHide m:val="on"/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𝑐</m:t>
                            </m:r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′</m:t>
                            </m:r>
                          </m:sub>
                        </m:sSub>
                      </m:e>
                    </m:rad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4861413" y="14621607"/>
              <a:ext cx="952890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0.043〖𝑤_𝑐〗^1.5  √(𝑓_𝑐′ )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833437</xdr:colOff>
      <xdr:row>95</xdr:row>
      <xdr:rowOff>76200</xdr:rowOff>
    </xdr:from>
    <xdr:ext cx="955069" cy="3280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/>
            <xdr:cNvSpPr txBox="1"/>
          </xdr:nvSpPr>
          <xdr:spPr>
            <a:xfrm>
              <a:off x="4910137" y="20535900"/>
              <a:ext cx="955069" cy="3280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skw"/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𝐸𝐼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𝑒𝑓𝑓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𝐾𝐿</m:t>
                                </m:r>
                              </m:e>
                            </m:d>
                          </m:e>
                          <m:sup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4910137" y="20535900"/>
              <a:ext cx="955069" cy="3280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10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𝜋^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2  〖𝐸𝐼〗_𝑒𝑓𝑓)⁄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(𝐾𝐿)^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2 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866775</xdr:colOff>
      <xdr:row>65</xdr:row>
      <xdr:rowOff>152400</xdr:rowOff>
    </xdr:from>
    <xdr:ext cx="941475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/>
            <xdr:cNvSpPr txBox="1"/>
          </xdr:nvSpPr>
          <xdr:spPr>
            <a:xfrm>
              <a:off x="4943475" y="26450925"/>
              <a:ext cx="941475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  <m:sSub>
                      <m:sSubPr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𝑦𝑠𝑟</m:t>
                        </m:r>
                      </m:sub>
                    </m:sSub>
                    <m:sSub>
                      <m:sSubPr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e>
                      <m: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𝑠𝑟</m:t>
                        </m:r>
                      </m:sub>
                    </m:sSub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5" name="TextBox 14"/>
            <xdr:cNvSpPr txBox="1"/>
          </xdr:nvSpPr>
          <xdr:spPr>
            <a:xfrm>
              <a:off x="4943475" y="26450925"/>
              <a:ext cx="941475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𝐹_𝑦 𝐴_𝑠+ 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𝐹_𝑦𝑠𝑟 𝐴_𝑠𝑟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114300</xdr:colOff>
      <xdr:row>139</xdr:row>
      <xdr:rowOff>47625</xdr:rowOff>
    </xdr:from>
    <xdr:ext cx="1767279" cy="3834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/>
            <xdr:cNvSpPr txBox="1"/>
          </xdr:nvSpPr>
          <xdr:spPr>
            <a:xfrm>
              <a:off x="4191000" y="35918775"/>
              <a:ext cx="1767279" cy="383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𝑝</m:t>
                            </m:r>
                          </m:sub>
                        </m:s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</m:e>
                    </m:d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m:rPr>
                                <m:sty m:val="p"/>
                              </m:rPr>
                              <a:rPr lang="el-GR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λ</m:t>
                            </m:r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− </m:t>
                            </m:r>
                            <m:sSub>
                              <m:sSub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l-GR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λ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l-GR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λ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sub>
                            </m:s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− </m:t>
                            </m:r>
                            <m:sSub>
                              <m:sSub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l-GR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λ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</m:t>
                                </m:r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4191000" y="35918775"/>
              <a:ext cx="1767279" cy="383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𝑀_𝑝−(𝑀_𝑝−𝑀_𝑦 )  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</a:t>
              </a:r>
              <a:r>
                <a:rPr lang="el-GR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λ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− </a:t>
              </a:r>
              <a:r>
                <a:rPr lang="el-GR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λ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_𝑝)/(</a:t>
              </a:r>
              <a:r>
                <a:rPr lang="el-GR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λ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_𝑟  − </a:t>
              </a:r>
              <a:r>
                <a:rPr lang="el-GR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λ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_𝑝 ))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366712</xdr:colOff>
      <xdr:row>132</xdr:row>
      <xdr:rowOff>47625</xdr:rowOff>
    </xdr:from>
    <xdr:ext cx="1475532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/>
            <xdr:cNvSpPr txBox="1"/>
          </xdr:nvSpPr>
          <xdr:spPr>
            <a:xfrm>
              <a:off x="4443412" y="34299525"/>
              <a:ext cx="1475532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  <m:sSub>
                      <m:sSubPr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𝑍</m:t>
                        </m:r>
                      </m:e>
                      <m: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𝑠𝐵</m:t>
                        </m:r>
                      </m:sub>
                    </m:sSub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+ </m:t>
                    </m:r>
                    <m:f>
                      <m:f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d>
                      <m:d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0.95 </m:t>
                        </m:r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𝑐</m:t>
                            </m:r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′</m:t>
                            </m:r>
                          </m:sub>
                        </m:s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𝑍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𝑐𝐵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4443412" y="34299525"/>
              <a:ext cx="1475532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𝐹_𝑦 𝑍_𝑠𝐵+  1/2 (0.95 𝑓_𝑐′  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𝑍_𝑐𝐵 )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376237</xdr:colOff>
      <xdr:row>130</xdr:row>
      <xdr:rowOff>85725</xdr:rowOff>
    </xdr:from>
    <xdr:ext cx="1521891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/>
            <xdr:cNvSpPr txBox="1"/>
          </xdr:nvSpPr>
          <xdr:spPr>
            <a:xfrm>
              <a:off x="4452937" y="33642300"/>
              <a:ext cx="1521891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  <m:sSub>
                      <m:sSubPr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𝑍</m:t>
                        </m:r>
                      </m:e>
                      <m: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𝑝𝑠</m:t>
                        </m:r>
                      </m:sub>
                    </m:sSub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+ </m:t>
                    </m:r>
                    <m:f>
                      <m:f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d>
                      <m:d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0.95 </m:t>
                        </m:r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𝑐</m:t>
                            </m:r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′</m:t>
                            </m:r>
                          </m:sub>
                        </m:s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𝑍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𝑝𝑐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8" name="TextBox 17"/>
            <xdr:cNvSpPr txBox="1"/>
          </xdr:nvSpPr>
          <xdr:spPr>
            <a:xfrm>
              <a:off x="4452937" y="33642300"/>
              <a:ext cx="1521891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𝐹_𝑦 𝑍_𝑝𝑠+  1/2 (0.95 𝑓_𝑐′  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𝑍_𝑝𝑐 )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1023937</xdr:colOff>
      <xdr:row>116</xdr:row>
      <xdr:rowOff>38100</xdr:rowOff>
    </xdr:from>
    <xdr:ext cx="769634" cy="3204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/>
            <xdr:cNvSpPr txBox="1"/>
          </xdr:nvSpPr>
          <xdr:spPr>
            <a:xfrm>
              <a:off x="5100637" y="28508325"/>
              <a:ext cx="769634" cy="3204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  <m:d>
                      <m:dPr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𝐷</m:t>
                            </m:r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𝑡</m:t>
                            </m:r>
                          </m:num>
                          <m:den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e>
                    </m:d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𝑡</m:t>
                    </m:r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9" name="TextBox 18"/>
            <xdr:cNvSpPr txBox="1"/>
          </xdr:nvSpPr>
          <xdr:spPr>
            <a:xfrm>
              <a:off x="5100637" y="28508325"/>
              <a:ext cx="769634" cy="3204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𝐹_𝑦 </a:t>
              </a:r>
              <a:r>
                <a:rPr lang="en-IN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((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𝐷−𝑡)/2)  𝑡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1300162</xdr:colOff>
      <xdr:row>118</xdr:row>
      <xdr:rowOff>76200</xdr:rowOff>
    </xdr:from>
    <xdr:ext cx="376642" cy="2571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/>
            <xdr:cNvSpPr txBox="1"/>
          </xdr:nvSpPr>
          <xdr:spPr>
            <a:xfrm>
              <a:off x="5376862" y="29156025"/>
              <a:ext cx="376642" cy="2571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𝑐</m:t>
                        </m:r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′</m:t>
                        </m:r>
                      </m:sub>
                    </m:sSub>
                    <m:sSup>
                      <m:sSupPr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  <m:sup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20" name="TextBox 19"/>
            <xdr:cNvSpPr txBox="1"/>
          </xdr:nvSpPr>
          <xdr:spPr>
            <a:xfrm>
              <a:off x="5376862" y="29156025"/>
              <a:ext cx="376642" cy="2571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𝑓_𝑐′ </a:t>
              </a:r>
              <a:r>
                <a:rPr lang="en-IN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〖〖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 𝐷〗_𝑖〗^2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3</xdr:col>
      <xdr:colOff>338138</xdr:colOff>
      <xdr:row>120</xdr:row>
      <xdr:rowOff>152399</xdr:rowOff>
    </xdr:from>
    <xdr:ext cx="2147887" cy="9525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/>
            <xdr:cNvSpPr txBox="1"/>
          </xdr:nvSpPr>
          <xdr:spPr>
            <a:xfrm>
              <a:off x="3881438" y="29717999"/>
              <a:ext cx="2147887" cy="952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 algn="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0.026 </m:t>
                            </m:r>
                            <m:sSub>
                              <m:sSub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𝐾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𝑐</m:t>
                                </m:r>
                              </m:sub>
                            </m:s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−2 </m:t>
                            </m:r>
                            <m:sSub>
                              <m:sSub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𝐾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𝑠</m:t>
                                </m:r>
                              </m:sub>
                            </m:sSub>
                          </m:num>
                          <m:den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0.0848 </m:t>
                            </m:r>
                            <m:sSub>
                              <m:sSub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𝐾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𝑐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+</m:t>
                    </m:r>
                  </m:oMath>
                </m:oMathPara>
              </a14:m>
              <a:endParaRPr lang="en-IN" sz="1100" b="0" i="1">
                <a:solidFill>
                  <a:sysClr val="windowText" lastClr="000000"/>
                </a:solidFill>
                <a:latin typeface="Cambria Math" panose="02040503050406030204" pitchFamily="18" charset="0"/>
              </a:endParaRPr>
            </a:p>
            <a:p>
              <a:pPr algn="r"/>
              <a:endParaRPr lang="en-IN" sz="1100" b="0" i="1">
                <a:solidFill>
                  <a:sysClr val="windowText" lastClr="000000"/>
                </a:solidFill>
                <a:latin typeface="Cambria Math" panose="02040503050406030204" pitchFamily="18" charset="0"/>
              </a:endParaRPr>
            </a:p>
            <a:p>
              <a:pPr algn="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ad>
                          <m:radPr>
                            <m:degHide m:val="on"/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p>
                              <m:sSup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0.026 </m:t>
                                    </m:r>
                                    <m:sSub>
                                      <m:sSubPr>
                                        <m:ctrlPr>
                                          <a:rPr lang="en-IN" sz="1100" b="0" i="1">
                                            <a:solidFill>
                                              <a:sysClr val="windowText" lastClr="000000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IN" sz="1100" b="0" i="1">
                                            <a:solidFill>
                                              <a:sysClr val="windowText" lastClr="000000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𝐾</m:t>
                                        </m:r>
                                      </m:e>
                                      <m:sub>
                                        <m:r>
                                          <a:rPr lang="en-IN" sz="1100" b="0" i="1">
                                            <a:solidFill>
                                              <a:sysClr val="windowText" lastClr="000000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𝑐</m:t>
                                        </m:r>
                                      </m:sub>
                                    </m:sSub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+2</m:t>
                                    </m:r>
                                    <m:sSub>
                                      <m:sSubPr>
                                        <m:ctrlPr>
                                          <a:rPr lang="en-IN" sz="1100" b="0" i="1">
                                            <a:solidFill>
                                              <a:sysClr val="windowText" lastClr="000000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IN" sz="1100" b="0" i="1">
                                            <a:solidFill>
                                              <a:sysClr val="windowText" lastClr="000000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 </m:t>
                                        </m:r>
                                        <m:r>
                                          <a:rPr lang="en-IN" sz="1100" b="0" i="1">
                                            <a:solidFill>
                                              <a:sysClr val="windowText" lastClr="000000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𝐾</m:t>
                                        </m:r>
                                      </m:e>
                                      <m:sub>
                                        <m:r>
                                          <a:rPr lang="en-IN" sz="1100" b="0" i="1">
                                            <a:solidFill>
                                              <a:sysClr val="windowText" lastClr="000000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𝑠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  <m:sup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−0.857</m:t>
                            </m:r>
                            <m:sSub>
                              <m:sSub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𝐾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𝐾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</m:sub>
                            </m:sSub>
                          </m:e>
                        </m:rad>
                      </m:num>
                      <m:den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0.0848</m:t>
                        </m:r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21" name="TextBox 20"/>
            <xdr:cNvSpPr txBox="1"/>
          </xdr:nvSpPr>
          <xdr:spPr>
            <a:xfrm>
              <a:off x="3881438" y="29717999"/>
              <a:ext cx="2147887" cy="952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 algn="r"/>
              <a:r>
                <a:rPr lang="en-IN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((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0.026 𝐾_𝑐−2 𝐾_𝑠)/(0.0848 𝐾_𝑐 ))  +</a:t>
              </a:r>
              <a:endParaRPr lang="en-IN" sz="1100" b="0" i="1">
                <a:solidFill>
                  <a:sysClr val="windowText" lastClr="000000"/>
                </a:solidFill>
                <a:latin typeface="Cambria Math" panose="02040503050406030204" pitchFamily="18" charset="0"/>
              </a:endParaRPr>
            </a:p>
            <a:p>
              <a:pPr algn="r"/>
              <a:endParaRPr lang="en-IN" sz="1100" b="0" i="1">
                <a:solidFill>
                  <a:sysClr val="windowText" lastClr="000000"/>
                </a:solidFill>
                <a:latin typeface="Cambria Math" panose="02040503050406030204" pitchFamily="18" charset="0"/>
              </a:endParaRPr>
            </a:p>
            <a:p>
              <a:pPr algn="r"/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√((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0.026 𝐾_𝑐+2〖 𝐾〗_𝑠 )^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2−0.857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𝐾_𝑐 𝐾_𝑠 )/(0.0848𝐾_𝑐 )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471487</xdr:colOff>
      <xdr:row>122</xdr:row>
      <xdr:rowOff>57150</xdr:rowOff>
    </xdr:from>
    <xdr:ext cx="1304331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/>
            <xdr:cNvSpPr txBox="1"/>
          </xdr:nvSpPr>
          <xdr:spPr>
            <a:xfrm>
              <a:off x="4548187" y="31061025"/>
              <a:ext cx="1304331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num>
                      <m:den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func>
                      <m:funcPr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IN" sz="110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d>
                          <m:d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IN" sz="110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𝜋</m:t>
                                </m:r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𝜃</m:t>
                                </m:r>
                              </m:num>
                              <m:den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e>
                        </m:d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≤ </m:t>
                        </m:r>
                        <m:f>
                          <m:f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num>
                          <m:den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</m:e>
                    </m:func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22" name="TextBox 21"/>
            <xdr:cNvSpPr txBox="1"/>
          </xdr:nvSpPr>
          <xdr:spPr>
            <a:xfrm>
              <a:off x="4548187" y="31061025"/>
              <a:ext cx="1304331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𝐷_𝑖/2 </a:t>
              </a:r>
              <a:r>
                <a:rPr lang="en-IN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 sin⁡〖(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en-IN" sz="110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−𝜃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)/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2) 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 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≤ 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𝐷_𝑖/2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 〗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311633</xdr:colOff>
      <xdr:row>125</xdr:row>
      <xdr:rowOff>52180</xdr:rowOff>
    </xdr:from>
    <xdr:ext cx="1558696" cy="3987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/>
            <xdr:cNvSpPr txBox="1"/>
          </xdr:nvSpPr>
          <xdr:spPr>
            <a:xfrm>
              <a:off x="4388333" y="31884730"/>
              <a:ext cx="1558696" cy="3987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IN" sz="110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𝐷</m:t>
                                    </m:r>
                                  </m:e>
                                  <m:sub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p>
                            </m:sSup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 </m:t>
                            </m:r>
                            <m:sSup>
                              <m:sSupPr>
                                <m:ctrlPr>
                                  <a:rPr lang="en-IN" sz="110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𝐷</m:t>
                                    </m:r>
                                  </m:e>
                                  <m:sub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p>
                            </m:sSup>
                          </m:num>
                          <m:den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6</m:t>
                            </m:r>
                          </m:den>
                        </m:f>
                      </m:e>
                    </m:d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func>
                      <m:func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IN" sz="1100" b="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d>
                          <m:d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IN" sz="110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𝜋</m:t>
                                </m:r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𝜃</m:t>
                                </m:r>
                              </m:num>
                              <m:den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e>
                        </m:d>
                      </m:e>
                    </m:func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23" name="TextBox 22"/>
            <xdr:cNvSpPr txBox="1"/>
          </xdr:nvSpPr>
          <xdr:spPr>
            <a:xfrm>
              <a:off x="4388333" y="31884730"/>
              <a:ext cx="1558696" cy="3987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10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(〖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𝐷_𝑜〗^3− 〖𝐷_𝑖〗^3)/6) 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  sin⁡((</a:t>
              </a:r>
              <a:r>
                <a:rPr lang="en-IN" sz="110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𝜃)/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2)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311633</xdr:colOff>
      <xdr:row>127</xdr:row>
      <xdr:rowOff>77027</xdr:rowOff>
    </xdr:from>
    <xdr:ext cx="1148071" cy="3987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/>
            <xdr:cNvSpPr txBox="1"/>
          </xdr:nvSpPr>
          <xdr:spPr>
            <a:xfrm>
              <a:off x="4388333" y="32643002"/>
              <a:ext cx="1148071" cy="3987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IN" sz="110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𝐷</m:t>
                                    </m:r>
                                  </m:e>
                                  <m:sub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p>
                            </m:sSup>
                          </m:num>
                          <m:den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6</m:t>
                            </m:r>
                          </m:den>
                        </m:f>
                      </m:e>
                    </m:d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func>
                      <m:func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IN" sz="1100" b="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d>
                          <m:d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IN" sz="110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𝜋</m:t>
                                </m:r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𝜃</m:t>
                                </m:r>
                              </m:num>
                              <m:den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e>
                        </m:d>
                      </m:e>
                    </m:func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24" name="TextBox 23"/>
            <xdr:cNvSpPr txBox="1"/>
          </xdr:nvSpPr>
          <xdr:spPr>
            <a:xfrm>
              <a:off x="4388333" y="32643002"/>
              <a:ext cx="1148071" cy="3987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10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𝐷_𝑖〗^3/6) 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  sin⁡((</a:t>
              </a:r>
              <a:r>
                <a:rPr lang="en-IN" sz="110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𝜃)/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2)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745227</xdr:colOff>
      <xdr:row>152</xdr:row>
      <xdr:rowOff>131695</xdr:rowOff>
    </xdr:from>
    <xdr:ext cx="1010790" cy="4977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/>
            <xdr:cNvSpPr txBox="1"/>
          </xdr:nvSpPr>
          <xdr:spPr>
            <a:xfrm>
              <a:off x="4821927" y="39155620"/>
              <a:ext cx="1010790" cy="4977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0.78 </m:t>
                        </m:r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sSup>
                          <m:sSup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IN" sz="110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𝐷</m:t>
                                    </m:r>
                                  </m:num>
                                  <m:den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3/2</m:t>
                            </m:r>
                          </m:sup>
                        </m:sSup>
                      </m:den>
                    </m:f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≤0.6 </m:t>
                    </m:r>
                    <m:sSub>
                      <m:sSub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</m:t>
                        </m:r>
                      </m:sub>
                    </m:sSub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25" name="TextBox 24"/>
            <xdr:cNvSpPr txBox="1"/>
          </xdr:nvSpPr>
          <xdr:spPr>
            <a:xfrm>
              <a:off x="4821927" y="39155620"/>
              <a:ext cx="1010790" cy="4977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0.78 𝐸)/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(𝐷/𝑡)^(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3/2)   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≤0.6 𝐹_𝑦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1178615</xdr:colOff>
      <xdr:row>154</xdr:row>
      <xdr:rowOff>43899</xdr:rowOff>
    </xdr:from>
    <xdr:ext cx="583429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/>
            <xdr:cNvSpPr txBox="1"/>
          </xdr:nvSpPr>
          <xdr:spPr>
            <a:xfrm>
              <a:off x="5255315" y="39944124"/>
              <a:ext cx="583429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𝑐𝑟</m:t>
                        </m:r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∗ </m:t>
                    </m:r>
                    <m:f>
                      <m:fPr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26" name="TextBox 25"/>
            <xdr:cNvSpPr txBox="1"/>
          </xdr:nvSpPr>
          <xdr:spPr>
            <a:xfrm>
              <a:off x="5255315" y="39944124"/>
              <a:ext cx="583429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𝐹_𝑐𝑟2∗ </a:t>
              </a:r>
              <a:r>
                <a:rPr lang="en-IN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 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𝐴_𝑠/2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1062659</xdr:colOff>
      <xdr:row>165</xdr:row>
      <xdr:rowOff>68746</xdr:rowOff>
    </xdr:from>
    <xdr:ext cx="739690" cy="3386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/>
            <xdr:cNvSpPr txBox="1"/>
          </xdr:nvSpPr>
          <xdr:spPr>
            <a:xfrm>
              <a:off x="5139359" y="42674071"/>
              <a:ext cx="739690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𝜋</m:t>
                        </m:r>
                        <m:sSup>
                          <m:sSup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𝐷</m:t>
                                    </m:r>
                                  </m:e>
                                  <m:sub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sub>
                                </m:s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</m:d>
                          </m:e>
                          <m:sup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num>
                      <m:den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27" name="TextBox 26"/>
            <xdr:cNvSpPr txBox="1"/>
          </xdr:nvSpPr>
          <xdr:spPr>
            <a:xfrm>
              <a:off x="5139359" y="42674071"/>
              <a:ext cx="739690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10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𝜋</a:t>
              </a:r>
              <a:r>
                <a:rPr lang="en-IN" sz="110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𝐷_𝑜−𝑡)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^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2 𝑡)/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2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438771</xdr:colOff>
      <xdr:row>167</xdr:row>
      <xdr:rowOff>98564</xdr:rowOff>
    </xdr:from>
    <xdr:ext cx="1298304" cy="5688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/>
            <xdr:cNvSpPr txBox="1"/>
          </xdr:nvSpPr>
          <xdr:spPr>
            <a:xfrm>
              <a:off x="4515471" y="43323014"/>
              <a:ext cx="1298304" cy="5688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1.23 </m:t>
                        </m:r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sSup>
                          <m:sSup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ad>
                              <m:radPr>
                                <m:degHide m:val="on"/>
                                <m:ctrlPr>
                                  <a:rPr lang="en-IN" sz="110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radPr>
                              <m:deg/>
                              <m:e>
                                <m:f>
                                  <m:fPr>
                                    <m:ctrlPr>
                                      <a:rPr lang="en-IN" sz="110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𝐿</m:t>
                                    </m:r>
                                  </m:num>
                                  <m:den>
                                    <m:sSub>
                                      <m:sSubPr>
                                        <m:ctrlPr>
                                          <a:rPr lang="en-IN" sz="110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IN" sz="1100" b="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𝐷</m:t>
                                        </m:r>
                                      </m:e>
                                      <m:sub>
                                        <m:r>
                                          <a:rPr lang="en-IN" sz="1100" b="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𝑜</m:t>
                                        </m:r>
                                      </m:sub>
                                    </m:sSub>
                                  </m:den>
                                </m:f>
                              </m:e>
                            </m:rad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IN" sz="110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𝐷</m:t>
                                    </m:r>
                                  </m:num>
                                  <m:den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5/4</m:t>
                            </m:r>
                          </m:sup>
                        </m:sSup>
                      </m:den>
                    </m:f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≤0.6 </m:t>
                    </m:r>
                    <m:sSub>
                      <m:sSub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</m:t>
                        </m:r>
                      </m:sub>
                    </m:sSub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28" name="TextBox 27"/>
            <xdr:cNvSpPr txBox="1"/>
          </xdr:nvSpPr>
          <xdr:spPr>
            <a:xfrm>
              <a:off x="4515471" y="43323014"/>
              <a:ext cx="1298304" cy="5688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1.23 𝐸)/〖√(𝐿/𝐷_𝑜 )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(𝐷/𝑡)〗^(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5/4)   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≤0.6 𝐹_𝑦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844619</xdr:colOff>
      <xdr:row>169</xdr:row>
      <xdr:rowOff>81998</xdr:rowOff>
    </xdr:from>
    <xdr:ext cx="1010790" cy="4977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/>
            <xdr:cNvSpPr txBox="1"/>
          </xdr:nvSpPr>
          <xdr:spPr>
            <a:xfrm>
              <a:off x="4921319" y="44182748"/>
              <a:ext cx="1010790" cy="4977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0.6 </m:t>
                        </m:r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sSup>
                          <m:sSup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IN" sz="110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𝐷</m:t>
                                    </m:r>
                                  </m:num>
                                  <m:den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3/2</m:t>
                            </m:r>
                          </m:sup>
                        </m:sSup>
                      </m:den>
                    </m:f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≤0.6 </m:t>
                    </m:r>
                    <m:sSub>
                      <m:sSub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</m:t>
                        </m:r>
                      </m:sub>
                    </m:sSub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29" name="TextBox 28"/>
            <xdr:cNvSpPr txBox="1"/>
          </xdr:nvSpPr>
          <xdr:spPr>
            <a:xfrm>
              <a:off x="4921319" y="44182748"/>
              <a:ext cx="1010790" cy="4977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0.6 𝐸)/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(𝐷/𝑡)^(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3/2)   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≤0.6 𝐹_𝑦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1220028</xdr:colOff>
      <xdr:row>174</xdr:row>
      <xdr:rowOff>19051</xdr:rowOff>
    </xdr:from>
    <xdr:ext cx="54803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/>
            <xdr:cNvSpPr txBox="1"/>
          </xdr:nvSpPr>
          <xdr:spPr>
            <a:xfrm>
              <a:off x="5296728" y="45739051"/>
              <a:ext cx="5480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𝑐</m:t>
                        </m:r>
                        <m:sSup>
                          <m:sSup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p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∗</m:t>
                    </m:r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𝐶</m:t>
                    </m:r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30" name="TextBox 29"/>
            <xdr:cNvSpPr txBox="1"/>
          </xdr:nvSpPr>
          <xdr:spPr>
            <a:xfrm>
              <a:off x="5296728" y="45739051"/>
              <a:ext cx="5480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𝐹_(𝑐𝑟^′ 𝑡)∗𝐶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117963</xdr:colOff>
      <xdr:row>189</xdr:row>
      <xdr:rowOff>94073</xdr:rowOff>
    </xdr:from>
    <xdr:ext cx="1713768" cy="12865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/>
            <xdr:cNvSpPr txBox="1"/>
          </xdr:nvSpPr>
          <xdr:spPr>
            <a:xfrm>
              <a:off x="4194663" y="49109723"/>
              <a:ext cx="1713768" cy="12865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 algn="l"/>
              <a14:m>
                <m:oMath xmlns:m="http://schemas.openxmlformats.org/officeDocument/2006/math">
                  <m:r>
                    <a:rPr lang="en-IN" sz="1100" b="0" i="1">
                      <a:solidFill>
                        <a:sysClr val="windowText" lastClr="000000"/>
                      </a:solidFill>
                      <a:latin typeface="Cambria Math" panose="02040503050406030204" pitchFamily="18" charset="0"/>
                    </a:rPr>
                    <m:t>𝐹𝑜𝑟</m:t>
                  </m:r>
                  <m:r>
                    <a:rPr lang="en-IN" sz="1100" b="0" i="1">
                      <a:solidFill>
                        <a:sysClr val="windowText" lastClr="000000"/>
                      </a:solidFill>
                      <a:latin typeface="Cambria Math" panose="02040503050406030204" pitchFamily="18" charset="0"/>
                    </a:rPr>
                    <m:t> </m:t>
                  </m:r>
                  <m:f>
                    <m:fPr>
                      <m:ctrlPr>
                        <a:rPr lang="en-IN" sz="1100" b="0" i="1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IN" sz="1100" b="0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IN" sz="1100" b="0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  <m:t>𝑃</m:t>
                          </m:r>
                        </m:e>
                        <m:sub>
                          <m:r>
                            <a:rPr lang="en-IN" sz="1100" b="0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  <m:t>𝑟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en-IN" sz="1100" b="0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IN" sz="1100" b="0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  <m:t>𝑃</m:t>
                          </m:r>
                        </m:e>
                        <m:sub>
                          <m:r>
                            <a:rPr lang="en-IN" sz="1100" b="0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  <m:t>𝑐</m:t>
                          </m:r>
                        </m:sub>
                      </m:sSub>
                    </m:den>
                  </m:f>
                  <m:r>
                    <a:rPr lang="en-IN" sz="1100" b="0" i="1">
                      <a:solidFill>
                        <a:sysClr val="windowText" lastClr="000000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≥0.2  </m:t>
                  </m:r>
                </m:oMath>
              </a14:m>
              <a:r>
                <a:rPr lang="en-IN" sz="1100" b="0" i="1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:</a:t>
              </a:r>
            </a:p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 </m:t>
                    </m:r>
                    <m:f>
                      <m:f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</m:den>
                    </m:f>
                    <m:r>
                      <a:rPr lang="en-IN" sz="1100" b="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</m:t>
                        </m:r>
                      </m:num>
                      <m:den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9</m:t>
                        </m:r>
                      </m:den>
                    </m:f>
                    <m:d>
                      <m:d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𝑀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𝑟𝑧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𝑀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𝑐𝑧</m:t>
                                </m:r>
                              </m:sub>
                            </m:sSub>
                          </m:den>
                        </m:f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𝑀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𝑟𝑦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𝑀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𝑐𝑦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en-IN" sz="1100" b="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≤1.0</m:t>
                    </m:r>
                    <m:r>
                      <a:rPr lang="en-IN" sz="1100" b="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</m:t>
                    </m:r>
                  </m:oMath>
                </m:oMathPara>
              </a14:m>
              <a:endParaRPr lang="en-IN" sz="1100" b="0" i="1">
                <a:solidFill>
                  <a:sysClr val="windowText" lastClr="000000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r>
                    <a:rPr lang="en-IN" sz="1100" b="0" i="1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𝐹𝑜𝑟</m:t>
                  </m:r>
                  <m:r>
                    <a:rPr lang="en-IN" sz="1100" b="0" i="1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f>
                    <m:fPr>
                      <m:ctrlPr>
                        <a:rPr lang="en-IN" sz="11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n-IN" sz="1100" b="0" i="1">
                              <a:solidFill>
                                <a:sysClr val="windowText" lastClr="0000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IN" sz="1100" b="0" i="1">
                              <a:solidFill>
                                <a:sysClr val="windowText" lastClr="0000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𝑃</m:t>
                          </m:r>
                        </m:e>
                        <m:sub>
                          <m:r>
                            <a:rPr lang="en-IN" sz="1100" b="0" i="1">
                              <a:solidFill>
                                <a:sysClr val="windowText" lastClr="0000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𝑟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en-IN" sz="1100" b="0" i="1">
                              <a:solidFill>
                                <a:sysClr val="windowText" lastClr="0000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IN" sz="1100" b="0" i="1">
                              <a:solidFill>
                                <a:sysClr val="windowText" lastClr="0000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𝑃</m:t>
                          </m:r>
                        </m:e>
                        <m:sub>
                          <m:r>
                            <a:rPr lang="en-IN" sz="1100" b="0" i="1">
                              <a:solidFill>
                                <a:sysClr val="windowText" lastClr="0000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𝑐</m:t>
                          </m:r>
                        </m:sub>
                      </m:sSub>
                    </m:den>
                  </m:f>
                  <m:r>
                    <a:rPr lang="en-IN" sz="1100" b="0" i="1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&lt;</m:t>
                  </m:r>
                  <m:r>
                    <a:rPr lang="en-IN" sz="1100" b="0" i="1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0.2  </m:t>
                  </m:r>
                </m:oMath>
              </a14:m>
              <a:r>
                <a:rPr lang="en-IN">
                  <a:solidFill>
                    <a:sysClr val="windowText" lastClr="000000"/>
                  </a:solidFill>
                  <a:effectLst/>
                </a:rPr>
                <a:t>: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</m:t>
                    </m:r>
                    <m:f>
                      <m:f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</m:den>
                    </m:f>
                    <m:r>
                      <a:rPr lang="en-IN" sz="1100" b="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d>
                      <m:d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𝑀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𝑟𝑧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𝑀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𝑐𝑧</m:t>
                                </m:r>
                              </m:sub>
                            </m:sSub>
                          </m:den>
                        </m:f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𝑀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𝑟𝑦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𝑀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𝑐𝑦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en-IN" sz="1100" b="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≤1.0  </m:t>
                    </m:r>
                  </m:oMath>
                </m:oMathPara>
              </a14:m>
              <a:endParaRPr lang="en-IN" sz="1100" b="0">
                <a:solidFill>
                  <a:sysClr val="windowText" lastClr="000000"/>
                </a:solidFill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31" name="TextBox 30"/>
            <xdr:cNvSpPr txBox="1"/>
          </xdr:nvSpPr>
          <xdr:spPr>
            <a:xfrm>
              <a:off x="4194663" y="49109723"/>
              <a:ext cx="1713768" cy="12865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 algn="l"/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𝐹𝑜𝑟  𝑃_𝑟/𝑃_𝑐 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≥0.2  </a:t>
              </a:r>
              <a:r>
                <a:rPr lang="en-IN" sz="1100" b="0" i="1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:</a:t>
              </a:r>
            </a:p>
            <a:p>
              <a:pPr algn="l"/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  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𝑃_𝑟/𝑃_𝑐 +8/9 (𝑀_𝑟𝑧/𝑀_𝑐𝑧 +𝑀_𝑟𝑦/𝑀_𝑐𝑦 )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≤1.0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endParaRPr lang="en-IN" sz="1100" b="0" i="1">
                <a:solidFill>
                  <a:sysClr val="windowText" lastClr="000000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𝐹𝑜𝑟  𝑃_𝑟/𝑃_𝑐 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&lt;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0.2  </a:t>
              </a:r>
              <a:r>
                <a:rPr lang="en-IN">
                  <a:solidFill>
                    <a:sysClr val="windowText" lastClr="000000"/>
                  </a:solidFill>
                  <a:effectLst/>
                </a:rPr>
                <a:t>:</a:t>
              </a:r>
            </a:p>
            <a:p>
              <a:pPr/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𝑃_𝑟/〖2𝑃〗_𝑐 +(𝑀_𝑟𝑧/𝑀_𝑐𝑧 +𝑀_𝑟𝑦/𝑀_𝑐𝑦 )≤1.0  </a:t>
              </a:r>
              <a:endParaRPr lang="en-IN" sz="1100" b="0">
                <a:solidFill>
                  <a:sysClr val="windowText" lastClr="000000"/>
                </a:solidFill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4</xdr:col>
      <xdr:colOff>70338</xdr:colOff>
      <xdr:row>202</xdr:row>
      <xdr:rowOff>45260</xdr:rowOff>
    </xdr:from>
    <xdr:ext cx="1713768" cy="10793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/>
            <xdr:cNvSpPr txBox="1"/>
          </xdr:nvSpPr>
          <xdr:spPr>
            <a:xfrm>
              <a:off x="4147038" y="53366210"/>
              <a:ext cx="1713768" cy="1079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 algn="l"/>
              <a14:m>
                <m:oMath xmlns:m="http://schemas.openxmlformats.org/officeDocument/2006/math">
                  <m:r>
                    <a:rPr lang="en-IN" sz="1100" b="0" i="1">
                      <a:solidFill>
                        <a:sysClr val="windowText" lastClr="000000"/>
                      </a:solidFill>
                      <a:latin typeface="Cambria Math" panose="02040503050406030204" pitchFamily="18" charset="0"/>
                    </a:rPr>
                    <m:t>𝐹𝑜𝑟</m:t>
                  </m:r>
                  <m:r>
                    <a:rPr lang="en-IN" sz="1100" b="0" i="1">
                      <a:solidFill>
                        <a:sysClr val="windowText" lastClr="000000"/>
                      </a:solidFill>
                      <a:latin typeface="Cambria Math" panose="02040503050406030204" pitchFamily="18" charset="0"/>
                    </a:rPr>
                    <m:t> </m:t>
                  </m:r>
                  <m:f>
                    <m:fPr>
                      <m:ctrlPr>
                        <a:rPr lang="en-IN" sz="1100" b="0" i="1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IN" sz="1100" b="0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IN" sz="1100" b="0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  <m:t>𝑇</m:t>
                          </m:r>
                        </m:e>
                        <m:sub>
                          <m:r>
                            <a:rPr lang="en-IN" sz="1100" b="0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  <m:t>𝑟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en-IN" sz="1100" b="0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IN" sz="1100" b="0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  <m:t>𝑇</m:t>
                          </m:r>
                        </m:e>
                        <m:sub>
                          <m:r>
                            <a:rPr lang="en-IN" sz="1100" b="0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  <m:t>𝑐</m:t>
                          </m:r>
                        </m:sub>
                      </m:sSub>
                    </m:den>
                  </m:f>
                  <m:r>
                    <a:rPr lang="en-IN" sz="1100" b="0" i="1">
                      <a:solidFill>
                        <a:sysClr val="windowText" lastClr="000000"/>
                      </a:solidFill>
                      <a:latin typeface="Cambria Math" panose="02040503050406030204" pitchFamily="18" charset="0"/>
                    </a:rPr>
                    <m:t>&gt;</m:t>
                  </m:r>
                  <m:r>
                    <a:rPr lang="en-IN" sz="1100" b="0" i="1">
                      <a:solidFill>
                        <a:sysClr val="windowText" lastClr="000000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0.2  </m:t>
                  </m:r>
                </m:oMath>
              </a14:m>
              <a:r>
                <a:rPr lang="en-IN" sz="1100" b="0" i="1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: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</m:t>
                    </m:r>
                    <m:f>
                      <m:f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</m:den>
                    </m:f>
                    <m:r>
                      <a:rPr lang="en-IN" sz="1100" b="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d>
                      <m:d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𝑀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𝑟𝑧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𝑀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𝑐𝑧</m:t>
                                </m:r>
                              </m:sub>
                            </m:sSub>
                          </m:den>
                        </m:f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𝑀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𝑟𝑦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𝑀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𝑐𝑦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en-IN" sz="1100" b="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 </m:t>
                    </m:r>
                    <m:sSup>
                      <m:sSup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𝑉</m:t>
                                    </m:r>
                                  </m:e>
                                  <m:sub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𝑟𝑦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𝑉</m:t>
                                    </m:r>
                                  </m:e>
                                  <m:sub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𝑐𝑦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f>
                              <m:f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𝑉</m:t>
                                    </m:r>
                                  </m:e>
                                  <m:sub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𝑟𝑧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𝑉</m:t>
                                    </m:r>
                                  </m:e>
                                  <m:sub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𝑐𝑧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f>
                              <m:f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𝑇</m:t>
                                    </m:r>
                                  </m:e>
                                  <m:sub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𝑇</m:t>
                                    </m:r>
                                  </m:e>
                                  <m:sub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𝑐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</m:e>
                      <m:sup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IN" sz="1100" b="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≤1.0  </m:t>
                    </m:r>
                  </m:oMath>
                </m:oMathPara>
              </a14:m>
              <a:endParaRPr lang="en-IN" sz="1100" b="0">
                <a:solidFill>
                  <a:sysClr val="windowText" lastClr="000000"/>
                </a:solidFill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32" name="TextBox 31"/>
            <xdr:cNvSpPr txBox="1"/>
          </xdr:nvSpPr>
          <xdr:spPr>
            <a:xfrm>
              <a:off x="4147038" y="53366210"/>
              <a:ext cx="1713768" cy="1079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 algn="l"/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𝐹𝑜𝑟  𝑇_𝑟/𝑇_𝑐 &gt;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0.2  </a:t>
              </a:r>
              <a:r>
                <a:rPr lang="en-IN" sz="1100" b="0" i="1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:</a:t>
              </a:r>
            </a:p>
            <a:p>
              <a:pPr/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𝑃_𝑟/𝑃_𝑐 +(𝑀_𝑟𝑧/𝑀_𝑐𝑧 +𝑀_𝑟𝑦/𝑀_𝑐𝑦 )+ (𝑉_𝑟𝑦/𝑉_𝑐𝑦 +𝑉_𝑟𝑧/𝑉_𝑐𝑧 +𝑇_𝑟/𝑇_𝑐 )^2  ≤1.0  </a:t>
              </a:r>
              <a:endParaRPr lang="en-IN" sz="1100" b="0">
                <a:solidFill>
                  <a:sysClr val="windowText" lastClr="000000"/>
                </a:solidFill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4</xdr:col>
      <xdr:colOff>676275</xdr:colOff>
      <xdr:row>106</xdr:row>
      <xdr:rowOff>114300</xdr:rowOff>
    </xdr:from>
    <xdr:ext cx="1180479" cy="8944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/>
            <xdr:cNvSpPr txBox="1"/>
          </xdr:nvSpPr>
          <xdr:spPr>
            <a:xfrm>
              <a:off x="4752975" y="23907750"/>
              <a:ext cx="1180479" cy="8944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en-IN" sz="1100" b="0" i="1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IN" sz="1100" b="0" i="1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𝑖𝑓</m:t>
                  </m:r>
                  <m:f>
                    <m:fPr>
                      <m:ctrlPr>
                        <a:rPr lang="en-IN" sz="11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n-IN" sz="1100" b="0" i="1">
                              <a:solidFill>
                                <a:sysClr val="windowText" lastClr="0000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IN" sz="1100" b="0" i="1">
                              <a:solidFill>
                                <a:sysClr val="windowText" lastClr="0000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𝑃</m:t>
                          </m:r>
                        </m:e>
                        <m:sub>
                          <m:r>
                            <a:rPr lang="en-IN" sz="1100" b="0" i="1">
                              <a:solidFill>
                                <a:sysClr val="windowText" lastClr="0000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𝑛𝑜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en-IN" sz="1100" b="0" i="1">
                              <a:solidFill>
                                <a:sysClr val="windowText" lastClr="0000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IN" sz="1100" b="0" i="1">
                              <a:solidFill>
                                <a:sysClr val="windowText" lastClr="0000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𝑃</m:t>
                          </m:r>
                        </m:e>
                        <m:sub>
                          <m:r>
                            <a:rPr lang="en-IN" sz="1100" b="0" i="1">
                              <a:solidFill>
                                <a:sysClr val="windowText" lastClr="0000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𝑒</m:t>
                          </m:r>
                        </m:sub>
                      </m:sSub>
                    </m:den>
                  </m:f>
                  <m:r>
                    <a:rPr lang="en-IN" sz="1100" b="0" i="1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≤2.25</m:t>
                  </m:r>
                  <m:r>
                    <a:rPr lang="en-IN" sz="1100" b="0" i="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n-IN" sz="1100" i="1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: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d>
                      <m:dPr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0.658</m:t>
                            </m:r>
                          </m:e>
                          <m:sup>
                            <m:f>
                              <m:fPr>
                                <m:type m:val="lin"/>
                                <m:ctrlPr>
                                  <a:rPr lang="en-IN" sz="110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</m:t>
                                    </m:r>
                                  </m:e>
                                  <m:sub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𝑛𝑜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</m:t>
                                    </m:r>
                                  </m:e>
                                  <m:sub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</m:t>
                                    </m:r>
                                  </m:sub>
                                </m:sSub>
                              </m:den>
                            </m:f>
                          </m:sup>
                        </m:sSup>
                      </m:e>
                    </m:d>
                    <m:sSub>
                      <m:sSub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𝑛𝑜</m:t>
                        </m:r>
                      </m:sub>
                    </m:sSub>
                  </m:oMath>
                </m:oMathPara>
              </a14:m>
              <a:endParaRPr lang="en-IN" sz="1100" b="0" i="1">
                <a:solidFill>
                  <a:sysClr val="windowText" lastClr="000000"/>
                </a:solidFill>
                <a:latin typeface="Cambria Math" panose="02040503050406030204" pitchFamily="18" charset="0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en-IN" sz="1100" b="0" i="1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𝑖𝑓</m:t>
                  </m:r>
                  <m:f>
                    <m:fPr>
                      <m:ctrlPr>
                        <a:rPr lang="en-IN" sz="11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n-IN" sz="1100" b="0" i="1">
                              <a:solidFill>
                                <a:sysClr val="windowText" lastClr="0000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IN" sz="1100" b="0" i="1">
                              <a:solidFill>
                                <a:sysClr val="windowText" lastClr="0000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𝑃</m:t>
                          </m:r>
                        </m:e>
                        <m:sub>
                          <m:r>
                            <a:rPr lang="en-IN" sz="1100" b="0" i="1">
                              <a:solidFill>
                                <a:sysClr val="windowText" lastClr="0000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𝑛𝑜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en-IN" sz="1100" b="0" i="1">
                              <a:solidFill>
                                <a:sysClr val="windowText" lastClr="0000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IN" sz="1100" b="0" i="1">
                              <a:solidFill>
                                <a:sysClr val="windowText" lastClr="0000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𝑃</m:t>
                          </m:r>
                        </m:e>
                        <m:sub>
                          <m:r>
                            <a:rPr lang="en-IN" sz="1100" b="0" i="1">
                              <a:solidFill>
                                <a:sysClr val="windowText" lastClr="0000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𝑒</m:t>
                          </m:r>
                        </m:sub>
                      </m:sSub>
                    </m:den>
                  </m:f>
                  <m:r>
                    <a:rPr lang="en-IN" sz="1100" b="0" i="1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&gt;2.25 </m:t>
                  </m:r>
                </m:oMath>
              </a14:m>
              <a:r>
                <a:rPr lang="en-IN" sz="1100" b="0" i="1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: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0.877 </m:t>
                        </m:r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e>
                      <m: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sub>
                    </m:sSub>
                    <m:r>
                      <a:rPr lang="en-IN" sz="1100" b="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</m:t>
                    </m:r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33" name="TextBox 32"/>
            <xdr:cNvSpPr txBox="1"/>
          </xdr:nvSpPr>
          <xdr:spPr>
            <a:xfrm>
              <a:off x="4752975" y="23907750"/>
              <a:ext cx="1180479" cy="8944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𝑖𝑓 𝑃_𝑛𝑜/𝑃_𝑒 ≤2.25 </a:t>
              </a:r>
              <a:r>
                <a:rPr lang="en-IN" sz="1100" i="1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: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IN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10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0.658〗^(𝑃_𝑛𝑜∕𝑃_𝑒 ) ) 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𝑃_𝑛𝑜</a:t>
              </a:r>
              <a:endParaRPr lang="en-IN" sz="1100" b="0" i="1">
                <a:solidFill>
                  <a:sysClr val="windowText" lastClr="000000"/>
                </a:solidFill>
                <a:latin typeface="Cambria Math" panose="02040503050406030204" pitchFamily="18" charset="0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𝑖𝑓 𝑃_𝑛𝑜/𝑃_𝑒 &gt;2.25 </a:t>
              </a:r>
              <a:r>
                <a:rPr lang="en-IN" sz="1100" b="0" i="1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: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〖0.877 𝑃〗_𝑒   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 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twoCellAnchor editAs="oneCell">
    <xdr:from>
      <xdr:col>8</xdr:col>
      <xdr:colOff>552450</xdr:colOff>
      <xdr:row>0</xdr:row>
      <xdr:rowOff>352425</xdr:rowOff>
    </xdr:from>
    <xdr:to>
      <xdr:col>12</xdr:col>
      <xdr:colOff>323851</xdr:colOff>
      <xdr:row>13</xdr:row>
      <xdr:rowOff>66675</xdr:rowOff>
    </xdr:to>
    <xdr:pic>
      <xdr:nvPicPr>
        <xdr:cNvPr id="34" name="Picture 33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</a:extLst>
        </a:blip>
        <a:srcRect l="16140" t="10914" r="17979" b="6404"/>
        <a:stretch/>
      </xdr:blipFill>
      <xdr:spPr>
        <a:xfrm>
          <a:off x="9048750" y="352425"/>
          <a:ext cx="2371726" cy="23812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1165046</xdr:colOff>
      <xdr:row>61</xdr:row>
      <xdr:rowOff>191</xdr:rowOff>
    </xdr:from>
    <xdr:ext cx="535083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5241746" y="12001691"/>
              <a:ext cx="53508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2.26</m:t>
                    </m:r>
                    <m:rad>
                      <m:radPr>
                        <m:degHide m:val="on"/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num>
                          <m:den>
                            <m:sSub>
                              <m:sSub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5241746" y="12001691"/>
              <a:ext cx="53508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2.26</a:t>
              </a:r>
              <a:r>
                <a:rPr lang="en-IN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√(</a:t>
              </a:r>
              <a:r>
                <a:rPr lang="en-IN" sz="110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𝐸)/𝐹_𝑦 )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434630</xdr:colOff>
      <xdr:row>125</xdr:row>
      <xdr:rowOff>135420</xdr:rowOff>
    </xdr:from>
    <xdr:ext cx="1180479" cy="8944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4511330" y="29119995"/>
              <a:ext cx="1180479" cy="8944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en-IN" sz="1100" b="0" i="1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IN" sz="1100" b="0" i="1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𝑖𝑓</m:t>
                  </m:r>
                  <m:f>
                    <m:fPr>
                      <m:ctrlPr>
                        <a:rPr lang="en-IN" sz="11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n-IN" sz="1100" b="0" i="1">
                              <a:solidFill>
                                <a:sysClr val="windowText" lastClr="0000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IN" sz="1100" b="0" i="1">
                              <a:solidFill>
                                <a:sysClr val="windowText" lastClr="0000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𝑃</m:t>
                          </m:r>
                        </m:e>
                        <m:sub>
                          <m:r>
                            <a:rPr lang="en-IN" sz="1100" b="0" i="1">
                              <a:solidFill>
                                <a:sysClr val="windowText" lastClr="0000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𝑛𝑜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en-IN" sz="1100" b="0" i="1">
                              <a:solidFill>
                                <a:sysClr val="windowText" lastClr="0000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IN" sz="1100" b="0" i="1">
                              <a:solidFill>
                                <a:sysClr val="windowText" lastClr="0000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𝑃</m:t>
                          </m:r>
                        </m:e>
                        <m:sub>
                          <m:r>
                            <a:rPr lang="en-IN" sz="1100" b="0" i="1">
                              <a:solidFill>
                                <a:sysClr val="windowText" lastClr="0000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𝑒</m:t>
                          </m:r>
                        </m:sub>
                      </m:sSub>
                    </m:den>
                  </m:f>
                  <m:r>
                    <a:rPr lang="en-IN" sz="1100" b="0" i="1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≤2.25</m:t>
                  </m:r>
                  <m:r>
                    <a:rPr lang="en-IN" sz="1100" b="0" i="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n-IN" sz="1100" i="1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: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d>
                      <m:dPr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0.658</m:t>
                            </m:r>
                          </m:e>
                          <m:sup>
                            <m:f>
                              <m:fPr>
                                <m:type m:val="lin"/>
                                <m:ctrlPr>
                                  <a:rPr lang="en-IN" sz="110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</m:t>
                                    </m:r>
                                  </m:e>
                                  <m:sub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𝑛𝑜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</m:t>
                                    </m:r>
                                  </m:e>
                                  <m:sub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</m:t>
                                    </m:r>
                                  </m:sub>
                                </m:sSub>
                              </m:den>
                            </m:f>
                          </m:sup>
                        </m:sSup>
                      </m:e>
                    </m:d>
                    <m:sSub>
                      <m:sSub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𝑛𝑜</m:t>
                        </m:r>
                      </m:sub>
                    </m:sSub>
                  </m:oMath>
                </m:oMathPara>
              </a14:m>
              <a:endParaRPr lang="en-IN" sz="1100" b="0" i="1">
                <a:solidFill>
                  <a:sysClr val="windowText" lastClr="000000"/>
                </a:solidFill>
                <a:latin typeface="Cambria Math" panose="02040503050406030204" pitchFamily="18" charset="0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en-IN" sz="1100" b="0" i="1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𝑖𝑓</m:t>
                  </m:r>
                  <m:f>
                    <m:fPr>
                      <m:ctrlPr>
                        <a:rPr lang="en-IN" sz="11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n-IN" sz="1100" b="0" i="1">
                              <a:solidFill>
                                <a:sysClr val="windowText" lastClr="0000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IN" sz="1100" b="0" i="1">
                              <a:solidFill>
                                <a:sysClr val="windowText" lastClr="0000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𝑃</m:t>
                          </m:r>
                        </m:e>
                        <m:sub>
                          <m:r>
                            <a:rPr lang="en-IN" sz="1100" b="0" i="1">
                              <a:solidFill>
                                <a:sysClr val="windowText" lastClr="0000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𝑛𝑜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en-IN" sz="1100" b="0" i="1">
                              <a:solidFill>
                                <a:sysClr val="windowText" lastClr="0000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IN" sz="1100" b="0" i="1">
                              <a:solidFill>
                                <a:sysClr val="windowText" lastClr="0000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𝑃</m:t>
                          </m:r>
                        </m:e>
                        <m:sub>
                          <m:r>
                            <a:rPr lang="en-IN" sz="1100" b="0" i="1">
                              <a:solidFill>
                                <a:sysClr val="windowText" lastClr="0000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𝑒</m:t>
                          </m:r>
                        </m:sub>
                      </m:sSub>
                    </m:den>
                  </m:f>
                  <m:r>
                    <a:rPr lang="en-IN" sz="1100" b="0" i="1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&gt;2.25 </m:t>
                  </m:r>
                </m:oMath>
              </a14:m>
              <a:r>
                <a:rPr lang="en-IN" sz="1100" b="0" i="1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: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0.877 </m:t>
                        </m:r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e>
                      <m: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sub>
                    </m:sSub>
                    <m:r>
                      <a:rPr lang="en-IN" sz="1100" b="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</m:t>
                    </m:r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4511330" y="29119995"/>
              <a:ext cx="1180479" cy="8944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𝑖𝑓 𝑃_𝑛𝑜/𝑃_𝑒 ≤2.25 </a:t>
              </a:r>
              <a:r>
                <a:rPr lang="en-IN" sz="1100" i="1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: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IN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10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0.658〗^(𝑃_𝑛𝑜∕𝑃_𝑒 ) ) 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𝑃_𝑛𝑜</a:t>
              </a:r>
              <a:endParaRPr lang="en-IN" sz="1100" b="0" i="1">
                <a:solidFill>
                  <a:sysClr val="windowText" lastClr="000000"/>
                </a:solidFill>
                <a:latin typeface="Cambria Math" panose="02040503050406030204" pitchFamily="18" charset="0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𝑖𝑓 𝑃_𝑛𝑜/𝑃_𝑒 &gt;2.25 </a:t>
              </a:r>
              <a:r>
                <a:rPr lang="en-IN" sz="1100" b="0" i="1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: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〖0.877 𝑃〗_𝑒   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 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176212</xdr:colOff>
      <xdr:row>119</xdr:row>
      <xdr:rowOff>95250</xdr:rowOff>
    </xdr:from>
    <xdr:ext cx="1669688" cy="419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4252912" y="27336750"/>
              <a:ext cx="1669688" cy="419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𝑝</m:t>
                            </m:r>
                          </m:sub>
                        </m:s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</m:e>
                    </m:d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sSup>
                      <m:sSup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el-GR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λ</m:t>
                                </m:r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 − </m:t>
                                </m:r>
                                <m:sSub>
                                  <m:sSubPr>
                                    <m:ctrlP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l-GR" sz="11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λ</m:t>
                                    </m:r>
                                  </m:e>
                                  <m:sub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l-GR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λ</m:t>
                                    </m:r>
                                  </m:e>
                                  <m:sub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sub>
                                </m:s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− </m:t>
                                </m:r>
                                <m:sSub>
                                  <m:sSubPr>
                                    <m:ctrlP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l-GR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λ</m:t>
                                    </m:r>
                                  </m:e>
                                  <m:sub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𝑝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</m:e>
                      <m:sup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4252912" y="27336750"/>
              <a:ext cx="1669688" cy="419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𝑃_𝑝−(𝑃_𝑝−𝑃_𝑦 )  ((</a:t>
              </a:r>
              <a:r>
                <a:rPr lang="el-GR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λ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 − </a:t>
              </a:r>
              <a:r>
                <a:rPr lang="el-GR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λ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_𝑝)/(</a:t>
              </a:r>
              <a:r>
                <a:rPr lang="el-GR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λ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_𝑟  − </a:t>
              </a:r>
              <a:r>
                <a:rPr lang="el-GR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λ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_𝑝 ))^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2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102393</xdr:colOff>
      <xdr:row>121</xdr:row>
      <xdr:rowOff>54768</xdr:rowOff>
    </xdr:from>
    <xdr:ext cx="1753813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4179093" y="28010643"/>
              <a:ext cx="1753813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𝑐𝑟</m:t>
                        </m:r>
                      </m:sub>
                    </m:sSub>
                    <m:sSub>
                      <m:sSubPr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+0.7 </m:t>
                    </m:r>
                    <m:sSub>
                      <m:sSub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𝑐</m:t>
                        </m:r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′</m:t>
                        </m:r>
                      </m:sub>
                    </m:sSub>
                    <m:d>
                      <m:d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𝑠𝑟</m:t>
                            </m:r>
                          </m:sub>
                        </m:sSub>
                        <m:f>
                          <m:f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𝑠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𝑐</m:t>
                                </m:r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4179093" y="28010643"/>
              <a:ext cx="1753813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𝐹_𝑐𝑟 𝐴_𝑠+0.7 𝑓_𝑐′ (𝐴_𝑐+𝐴_𝑠𝑟  𝐸_𝑠/𝐸_𝑐 )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205886</xdr:colOff>
      <xdr:row>93</xdr:row>
      <xdr:rowOff>30040</xdr:rowOff>
    </xdr:from>
    <xdr:ext cx="1662250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4282586" y="19280065"/>
              <a:ext cx="1662250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  <m:sSub>
                      <m:sSubPr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𝑐</m:t>
                        </m:r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′</m:t>
                        </m:r>
                      </m:sub>
                    </m:sSub>
                    <m:d>
                      <m:d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𝑠𝑟</m:t>
                            </m:r>
                          </m:sub>
                        </m:sSub>
                        <m:f>
                          <m:f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</m:t>
                                </m:r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4282586" y="19280065"/>
              <a:ext cx="1662250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𝐹_𝑦 𝐴_𝑠+𝐶_2 𝑓_𝑐′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(𝐴_𝑐+𝐴_𝑠𝑟  𝐸_𝑠/𝐸_𝑐 )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186836</xdr:colOff>
      <xdr:row>95</xdr:row>
      <xdr:rowOff>49090</xdr:rowOff>
    </xdr:from>
    <xdr:ext cx="1680717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4263536" y="21547015"/>
              <a:ext cx="1680717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  <m:sSub>
                      <m:sSubPr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+0.7</m:t>
                    </m:r>
                    <m:sSub>
                      <m:sSub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𝑐</m:t>
                        </m:r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′</m:t>
                        </m:r>
                      </m:sub>
                    </m:sSub>
                    <m:d>
                      <m:d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𝑠𝑟</m:t>
                            </m:r>
                          </m:sub>
                        </m:sSub>
                        <m:f>
                          <m:f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</m:t>
                                </m:r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4263536" y="21547015"/>
              <a:ext cx="1680717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𝐹_𝑦 𝐴_𝑠+0.7𝑓_𝑐′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(𝐴_𝑐+𝐴_𝑠𝑟  𝐸_𝑠/𝐸_𝑐 )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1349858</xdr:colOff>
      <xdr:row>98</xdr:row>
      <xdr:rowOff>81999</xdr:rowOff>
    </xdr:from>
    <xdr:ext cx="496674" cy="41248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5426558" y="20808399"/>
              <a:ext cx="496674" cy="4124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9 </m:t>
                        </m:r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𝐸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type m:val="lin"/>
                                    <m:ctrlP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𝑏</m:t>
                                    </m:r>
                                  </m:num>
                                  <m:den>
                                    <m:sSub>
                                      <m:sSubPr>
                                        <m:ctrlPr>
                                          <a:rPr lang="en-IN" sz="1100" b="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IN" sz="1100" b="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𝑡</m:t>
                                        </m:r>
                                      </m:e>
                                      <m:sub>
                                        <m:r>
                                          <a:rPr lang="en-IN" sz="1100" b="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𝑓</m:t>
                                        </m:r>
                                      </m:sub>
                                    </m:sSub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5426558" y="20808399"/>
              <a:ext cx="496674" cy="4124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9 𝐸_𝑠)/(𝑏∕𝑡_𝑓 )^2 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618444</xdr:colOff>
      <xdr:row>109</xdr:row>
      <xdr:rowOff>126546</xdr:rowOff>
    </xdr:from>
    <xdr:ext cx="126541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4695144" y="24596271"/>
              <a:ext cx="12654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1100" i="1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1100" b="0" i="1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</a:rPr>
                        <m:t>𝐸</m:t>
                      </m:r>
                    </m:e>
                    <m:sub>
                      <m:r>
                        <a:rPr lang="en-IN" sz="1100" b="0" i="1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  <m:sSub>
                    <m:sSubPr>
                      <m:ctrlPr>
                        <a:rPr lang="en-IN" sz="1100" i="1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1100" b="0" i="1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</a:rPr>
                        <m:t>𝐼</m:t>
                      </m:r>
                    </m:e>
                    <m:sub>
                      <m:r>
                        <a:rPr lang="en-IN" sz="1100" b="0" i="1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  <m:r>
                    <a:rPr lang="en-IN" sz="1100" b="0" i="1">
                      <a:solidFill>
                        <a:sysClr val="windowText" lastClr="000000"/>
                      </a:solidFill>
                      <a:latin typeface="Cambria Math" panose="02040503050406030204" pitchFamily="18" charset="0"/>
                    </a:rPr>
                    <m:t>+ </m:t>
                  </m:r>
                  <m:sSub>
                    <m:sSubPr>
                      <m:ctrlPr>
                        <a:rPr lang="en-IN" sz="110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IN" sz="11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𝐸</m:t>
                      </m:r>
                    </m:e>
                    <m:sub>
                      <m:r>
                        <a:rPr lang="en-IN" sz="11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</m:t>
                      </m:r>
                    </m:sub>
                  </m:sSub>
                  <m:sSub>
                    <m:sSubPr>
                      <m:ctrlPr>
                        <a:rPr lang="en-IN" sz="110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IN" sz="11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IN" sz="11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𝑠𝑟</m:t>
                      </m:r>
                    </m:sub>
                  </m:sSub>
                </m:oMath>
              </a14:m>
              <a:r>
                <a:rPr lang="en-IN" sz="1100">
                  <a:solidFill>
                    <a:sysClr val="windowText" lastClr="000000"/>
                  </a:solidFill>
                </a:rPr>
                <a:t>+ </a:t>
              </a:r>
              <a14:m>
                <m:oMath xmlns:m="http://schemas.openxmlformats.org/officeDocument/2006/math">
                  <m:sSub>
                    <m:sSubPr>
                      <m:ctrlPr>
                        <a:rPr lang="en-IN" sz="110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IN" sz="11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</m:t>
                      </m:r>
                    </m:e>
                    <m:sub>
                      <m:r>
                        <a:rPr lang="en-IN" sz="11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b>
                  </m:sSub>
                  <m:sSub>
                    <m:sSubPr>
                      <m:ctrlPr>
                        <a:rPr lang="en-IN" sz="110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IN" sz="11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𝐸</m:t>
                      </m:r>
                    </m:e>
                    <m:sub>
                      <m:r>
                        <a:rPr lang="en-IN" sz="11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𝑐</m:t>
                      </m:r>
                    </m:sub>
                  </m:sSub>
                  <m:sSub>
                    <m:sSubPr>
                      <m:ctrlPr>
                        <a:rPr lang="en-IN" sz="110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IN" sz="11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IN" sz="11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𝑐</m:t>
                      </m:r>
                    </m:sub>
                  </m:sSub>
                </m:oMath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4695144" y="24596271"/>
              <a:ext cx="12654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𝐸_𝑠 𝐼_𝑠+ 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𝐸_𝑠 𝐼_𝑠𝑟</a:t>
              </a:r>
              <a:r>
                <a:rPr lang="en-IN" sz="1100">
                  <a:solidFill>
                    <a:sysClr val="windowText" lastClr="000000"/>
                  </a:solidFill>
                </a:rPr>
                <a:t>+ 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𝐶_3 𝐸_𝑐 𝐼_𝑐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389060</xdr:colOff>
      <xdr:row>107</xdr:row>
      <xdr:rowOff>66674</xdr:rowOff>
    </xdr:from>
    <xdr:ext cx="1460785" cy="3767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4465760" y="23860124"/>
              <a:ext cx="1460785" cy="37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0.6+2</m:t>
                    </m:r>
                    <m:d>
                      <m:dPr>
                        <m:begChr m:val="["/>
                        <m:endChr m:val="]"/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𝑠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𝑠</m:t>
                                </m:r>
                              </m:sub>
                            </m:s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𝑐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≤0.9</m:t>
                    </m:r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4465760" y="23860124"/>
              <a:ext cx="1460785" cy="37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0.6+2[𝐴_𝑠/(𝐴_𝑠+𝐴_𝑐 )]  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≤0.9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784713</xdr:colOff>
      <xdr:row>84</xdr:row>
      <xdr:rowOff>732</xdr:rowOff>
    </xdr:from>
    <xdr:ext cx="952890" cy="2049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4861413" y="16459932"/>
              <a:ext cx="952890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0.043</m:t>
                    </m:r>
                    <m:sSup>
                      <m:sSup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</m:e>
                      <m:sup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1.5</m:t>
                        </m:r>
                      </m:sup>
                    </m:sSup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ad>
                      <m:radPr>
                        <m:degHide m:val="on"/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𝑐</m:t>
                            </m:r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′</m:t>
                            </m:r>
                          </m:sub>
                        </m:sSub>
                      </m:e>
                    </m:rad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4861413" y="16459932"/>
              <a:ext cx="952890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0.043〖𝑤_𝑐〗^1.5  √(𝑓_𝑐′ )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833437</xdr:colOff>
      <xdr:row>112</xdr:row>
      <xdr:rowOff>76200</xdr:rowOff>
    </xdr:from>
    <xdr:ext cx="955069" cy="3280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4910137" y="25346025"/>
              <a:ext cx="955069" cy="3280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skw"/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𝐸𝐼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𝑒𝑓𝑓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𝐾𝐿</m:t>
                                </m:r>
                              </m:e>
                            </m:d>
                          </m:e>
                          <m:sup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4910137" y="25346025"/>
              <a:ext cx="955069" cy="3280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10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𝜋^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2  〖𝐸𝐼〗_𝑒𝑓𝑓)⁄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(𝐾𝐿)^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2 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866775</xdr:colOff>
      <xdr:row>75</xdr:row>
      <xdr:rowOff>152400</xdr:rowOff>
    </xdr:from>
    <xdr:ext cx="941475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/>
            <xdr:cNvSpPr txBox="1"/>
          </xdr:nvSpPr>
          <xdr:spPr>
            <a:xfrm>
              <a:off x="4943475" y="31642050"/>
              <a:ext cx="941475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  <m:sSub>
                      <m:sSubPr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𝑦𝑠𝑟</m:t>
                        </m:r>
                      </m:sub>
                    </m:sSub>
                    <m:sSub>
                      <m:sSubPr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e>
                      <m: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𝑠𝑟</m:t>
                        </m:r>
                      </m:sub>
                    </m:sSub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4943475" y="31642050"/>
              <a:ext cx="941475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𝐹_𝑦 𝐴_𝑠+ 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𝐹_𝑦𝑠𝑟 𝐴_𝑠𝑟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1220028</xdr:colOff>
      <xdr:row>267</xdr:row>
      <xdr:rowOff>19051</xdr:rowOff>
    </xdr:from>
    <xdr:ext cx="54803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/>
            <xdr:cNvSpPr txBox="1"/>
          </xdr:nvSpPr>
          <xdr:spPr>
            <a:xfrm>
              <a:off x="5296728" y="66246376"/>
              <a:ext cx="5480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𝑐</m:t>
                        </m:r>
                        <m:sSup>
                          <m:sSup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p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∗</m:t>
                    </m:r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𝐶</m:t>
                    </m:r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5296728" y="66246376"/>
              <a:ext cx="5480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𝐹_(𝑐𝑟^′ 𝑡)∗𝐶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117963</xdr:colOff>
      <xdr:row>282</xdr:row>
      <xdr:rowOff>94073</xdr:rowOff>
    </xdr:from>
    <xdr:ext cx="1713768" cy="12865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/>
            <xdr:cNvSpPr txBox="1"/>
          </xdr:nvSpPr>
          <xdr:spPr>
            <a:xfrm>
              <a:off x="4194663" y="69617048"/>
              <a:ext cx="1713768" cy="12865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 algn="l"/>
              <a14:m>
                <m:oMath xmlns:m="http://schemas.openxmlformats.org/officeDocument/2006/math">
                  <m:r>
                    <a:rPr lang="en-IN" sz="1100" b="0" i="1">
                      <a:solidFill>
                        <a:sysClr val="windowText" lastClr="000000"/>
                      </a:solidFill>
                      <a:latin typeface="Cambria Math" panose="02040503050406030204" pitchFamily="18" charset="0"/>
                    </a:rPr>
                    <m:t>𝐹𝑜𝑟</m:t>
                  </m:r>
                  <m:r>
                    <a:rPr lang="en-IN" sz="1100" b="0" i="1">
                      <a:solidFill>
                        <a:sysClr val="windowText" lastClr="000000"/>
                      </a:solidFill>
                      <a:latin typeface="Cambria Math" panose="02040503050406030204" pitchFamily="18" charset="0"/>
                    </a:rPr>
                    <m:t> </m:t>
                  </m:r>
                  <m:f>
                    <m:fPr>
                      <m:ctrlPr>
                        <a:rPr lang="en-IN" sz="1100" b="0" i="1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IN" sz="1100" b="0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IN" sz="1100" b="0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  <m:t>𝑃</m:t>
                          </m:r>
                        </m:e>
                        <m:sub>
                          <m:r>
                            <a:rPr lang="en-IN" sz="1100" b="0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  <m:t>𝑟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en-IN" sz="1100" b="0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IN" sz="1100" b="0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  <m:t>𝑃</m:t>
                          </m:r>
                        </m:e>
                        <m:sub>
                          <m:r>
                            <a:rPr lang="en-IN" sz="1100" b="0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  <m:t>𝑐</m:t>
                          </m:r>
                        </m:sub>
                      </m:sSub>
                    </m:den>
                  </m:f>
                  <m:r>
                    <a:rPr lang="en-IN" sz="1100" b="0" i="1">
                      <a:solidFill>
                        <a:sysClr val="windowText" lastClr="000000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≥0.2  </m:t>
                  </m:r>
                </m:oMath>
              </a14:m>
              <a:r>
                <a:rPr lang="en-IN" sz="1100" b="0" i="1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:</a:t>
              </a:r>
            </a:p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 </m:t>
                    </m:r>
                    <m:f>
                      <m:f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</m:den>
                    </m:f>
                    <m:r>
                      <a:rPr lang="en-IN" sz="1100" b="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</m:t>
                        </m:r>
                      </m:num>
                      <m:den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9</m:t>
                        </m:r>
                      </m:den>
                    </m:f>
                    <m:d>
                      <m:d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𝑀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𝑟𝑧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𝑀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𝑐𝑧</m:t>
                                </m:r>
                              </m:sub>
                            </m:sSub>
                          </m:den>
                        </m:f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𝑀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𝑟𝑦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𝑀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𝑐𝑦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en-IN" sz="1100" b="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≤1.0</m:t>
                    </m:r>
                    <m:r>
                      <a:rPr lang="en-IN" sz="1100" b="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</m:t>
                    </m:r>
                  </m:oMath>
                </m:oMathPara>
              </a14:m>
              <a:endParaRPr lang="en-IN" sz="1100" b="0" i="1">
                <a:solidFill>
                  <a:sysClr val="windowText" lastClr="000000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r>
                    <a:rPr lang="en-IN" sz="1100" b="0" i="1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𝐹𝑜𝑟</m:t>
                  </m:r>
                  <m:r>
                    <a:rPr lang="en-IN" sz="1100" b="0" i="1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f>
                    <m:fPr>
                      <m:ctrlPr>
                        <a:rPr lang="en-IN" sz="11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n-IN" sz="1100" b="0" i="1">
                              <a:solidFill>
                                <a:sysClr val="windowText" lastClr="0000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IN" sz="1100" b="0" i="1">
                              <a:solidFill>
                                <a:sysClr val="windowText" lastClr="0000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𝑃</m:t>
                          </m:r>
                        </m:e>
                        <m:sub>
                          <m:r>
                            <a:rPr lang="en-IN" sz="1100" b="0" i="1">
                              <a:solidFill>
                                <a:sysClr val="windowText" lastClr="0000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𝑟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en-IN" sz="1100" b="0" i="1">
                              <a:solidFill>
                                <a:sysClr val="windowText" lastClr="0000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IN" sz="1100" b="0" i="1">
                              <a:solidFill>
                                <a:sysClr val="windowText" lastClr="0000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𝑃</m:t>
                          </m:r>
                        </m:e>
                        <m:sub>
                          <m:r>
                            <a:rPr lang="en-IN" sz="1100" b="0" i="1">
                              <a:solidFill>
                                <a:sysClr val="windowText" lastClr="0000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𝑐</m:t>
                          </m:r>
                        </m:sub>
                      </m:sSub>
                    </m:den>
                  </m:f>
                  <m:r>
                    <a:rPr lang="en-IN" sz="1100" b="0" i="1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&lt;</m:t>
                  </m:r>
                  <m:r>
                    <a:rPr lang="en-IN" sz="1100" b="0" i="1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0.2  </m:t>
                  </m:r>
                </m:oMath>
              </a14:m>
              <a:r>
                <a:rPr lang="en-IN">
                  <a:solidFill>
                    <a:sysClr val="windowText" lastClr="000000"/>
                  </a:solidFill>
                  <a:effectLst/>
                </a:rPr>
                <a:t>: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</m:t>
                    </m:r>
                    <m:f>
                      <m:f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</m:den>
                    </m:f>
                    <m:r>
                      <a:rPr lang="en-IN" sz="1100" b="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d>
                      <m:d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𝑀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𝑟𝑧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𝑀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𝑐𝑧</m:t>
                                </m:r>
                              </m:sub>
                            </m:sSub>
                          </m:den>
                        </m:f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𝑀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𝑟𝑦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𝑀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𝑐𝑦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en-IN" sz="1100" b="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≤1.0  </m:t>
                    </m:r>
                  </m:oMath>
                </m:oMathPara>
              </a14:m>
              <a:endParaRPr lang="en-IN" sz="1100" b="0">
                <a:solidFill>
                  <a:sysClr val="windowText" lastClr="000000"/>
                </a:solidFill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5" name="TextBox 14"/>
            <xdr:cNvSpPr txBox="1"/>
          </xdr:nvSpPr>
          <xdr:spPr>
            <a:xfrm>
              <a:off x="4194663" y="69617048"/>
              <a:ext cx="1713768" cy="12865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 algn="l"/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𝐹𝑜𝑟  𝑃_𝑟/𝑃_𝑐 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≥0.2  </a:t>
              </a:r>
              <a:r>
                <a:rPr lang="en-IN" sz="1100" b="0" i="1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:</a:t>
              </a:r>
            </a:p>
            <a:p>
              <a:pPr algn="l"/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  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𝑃_𝑟/𝑃_𝑐 +8/9 (𝑀_𝑟𝑧/𝑀_𝑐𝑧 +𝑀_𝑟𝑦/𝑀_𝑐𝑦 )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≤1.0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endParaRPr lang="en-IN" sz="1100" b="0" i="1">
                <a:solidFill>
                  <a:sysClr val="windowText" lastClr="000000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𝐹𝑜𝑟  𝑃_𝑟/𝑃_𝑐 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&lt;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0.2  </a:t>
              </a:r>
              <a:r>
                <a:rPr lang="en-IN">
                  <a:solidFill>
                    <a:sysClr val="windowText" lastClr="000000"/>
                  </a:solidFill>
                  <a:effectLst/>
                </a:rPr>
                <a:t>:</a:t>
              </a:r>
            </a:p>
            <a:p>
              <a:pPr/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𝑃_𝑟/〖2𝑃〗_𝑐 +(𝑀_𝑟𝑧/𝑀_𝑐𝑧 +𝑀_𝑟𝑦/𝑀_𝑐𝑦 )≤1.0  </a:t>
              </a:r>
              <a:endParaRPr lang="en-IN" sz="1100" b="0">
                <a:solidFill>
                  <a:sysClr val="windowText" lastClr="000000"/>
                </a:solidFill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4</xdr:col>
      <xdr:colOff>70338</xdr:colOff>
      <xdr:row>295</xdr:row>
      <xdr:rowOff>45260</xdr:rowOff>
    </xdr:from>
    <xdr:ext cx="1713768" cy="10793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/>
            <xdr:cNvSpPr txBox="1"/>
          </xdr:nvSpPr>
          <xdr:spPr>
            <a:xfrm>
              <a:off x="4147038" y="73873535"/>
              <a:ext cx="1713768" cy="1079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 algn="l"/>
              <a14:m>
                <m:oMath xmlns:m="http://schemas.openxmlformats.org/officeDocument/2006/math">
                  <m:r>
                    <a:rPr lang="en-IN" sz="1100" b="0" i="1">
                      <a:solidFill>
                        <a:sysClr val="windowText" lastClr="000000"/>
                      </a:solidFill>
                      <a:latin typeface="Cambria Math" panose="02040503050406030204" pitchFamily="18" charset="0"/>
                    </a:rPr>
                    <m:t>𝐹𝑜𝑟</m:t>
                  </m:r>
                  <m:r>
                    <a:rPr lang="en-IN" sz="1100" b="0" i="1">
                      <a:solidFill>
                        <a:sysClr val="windowText" lastClr="000000"/>
                      </a:solidFill>
                      <a:latin typeface="Cambria Math" panose="02040503050406030204" pitchFamily="18" charset="0"/>
                    </a:rPr>
                    <m:t> </m:t>
                  </m:r>
                  <m:f>
                    <m:fPr>
                      <m:ctrlPr>
                        <a:rPr lang="en-IN" sz="1100" b="0" i="1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IN" sz="1100" b="0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IN" sz="1100" b="0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  <m:t>𝑇</m:t>
                          </m:r>
                        </m:e>
                        <m:sub>
                          <m:r>
                            <a:rPr lang="en-IN" sz="1100" b="0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  <m:t>𝑟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en-IN" sz="1100" b="0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IN" sz="1100" b="0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  <m:t>𝑇</m:t>
                          </m:r>
                        </m:e>
                        <m:sub>
                          <m:r>
                            <a:rPr lang="en-IN" sz="1100" b="0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  <m:t>𝑐</m:t>
                          </m:r>
                        </m:sub>
                      </m:sSub>
                    </m:den>
                  </m:f>
                  <m:r>
                    <a:rPr lang="en-IN" sz="1100" b="0" i="1">
                      <a:solidFill>
                        <a:sysClr val="windowText" lastClr="000000"/>
                      </a:solidFill>
                      <a:latin typeface="Cambria Math" panose="02040503050406030204" pitchFamily="18" charset="0"/>
                    </a:rPr>
                    <m:t>&gt;</m:t>
                  </m:r>
                  <m:r>
                    <a:rPr lang="en-IN" sz="1100" b="0" i="1">
                      <a:solidFill>
                        <a:sysClr val="windowText" lastClr="000000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0.2  </m:t>
                  </m:r>
                </m:oMath>
              </a14:m>
              <a:r>
                <a:rPr lang="en-IN" sz="1100" b="0" i="1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: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</m:t>
                    </m:r>
                    <m:f>
                      <m:f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</m:den>
                    </m:f>
                    <m:r>
                      <a:rPr lang="en-IN" sz="1100" b="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d>
                      <m:d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𝑀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𝑟𝑧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𝑀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𝑐𝑧</m:t>
                                </m:r>
                              </m:sub>
                            </m:sSub>
                          </m:den>
                        </m:f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𝑀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𝑟𝑦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𝑀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𝑐𝑦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en-IN" sz="1100" b="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 </m:t>
                    </m:r>
                    <m:sSup>
                      <m:sSup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𝑉</m:t>
                                    </m:r>
                                  </m:e>
                                  <m:sub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𝑟𝑦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𝑉</m:t>
                                    </m:r>
                                  </m:e>
                                  <m:sub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𝑐𝑦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f>
                              <m:f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𝑉</m:t>
                                    </m:r>
                                  </m:e>
                                  <m:sub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𝑟𝑧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𝑉</m:t>
                                    </m:r>
                                  </m:e>
                                  <m:sub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𝑐𝑧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f>
                              <m:f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𝑇</m:t>
                                    </m:r>
                                  </m:e>
                                  <m:sub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𝑇</m:t>
                                    </m:r>
                                  </m:e>
                                  <m:sub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𝑐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</m:e>
                      <m:sup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IN" sz="1100" b="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≤1.0  </m:t>
                    </m:r>
                  </m:oMath>
                </m:oMathPara>
              </a14:m>
              <a:endParaRPr lang="en-IN" sz="1100" b="0">
                <a:solidFill>
                  <a:sysClr val="windowText" lastClr="000000"/>
                </a:solidFill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4147038" y="73873535"/>
              <a:ext cx="1713768" cy="1079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 algn="l"/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𝐹𝑜𝑟  𝑇_𝑟/𝑇_𝑐 &gt;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0.2  </a:t>
              </a:r>
              <a:r>
                <a:rPr lang="en-IN" sz="1100" b="0" i="1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:</a:t>
              </a:r>
            </a:p>
            <a:p>
              <a:pPr/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𝑃_𝑟/𝑃_𝑐 +(𝑀_𝑟𝑧/𝑀_𝑐𝑧 +𝑀_𝑟𝑦/𝑀_𝑐𝑦 )+ (𝑉_𝑟𝑦/𝑉_𝑐𝑦 +𝑉_𝑟𝑧/𝑉_𝑐𝑧 +𝑇_𝑟/𝑇_𝑐 )^2  ≤1.0  </a:t>
              </a:r>
              <a:endParaRPr lang="en-IN" sz="1100" b="0">
                <a:solidFill>
                  <a:sysClr val="windowText" lastClr="000000"/>
                </a:solidFill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4</xdr:col>
      <xdr:colOff>1309008</xdr:colOff>
      <xdr:row>54</xdr:row>
      <xdr:rowOff>17748</xdr:rowOff>
    </xdr:from>
    <xdr:ext cx="45448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/>
            <xdr:cNvSpPr txBox="1"/>
          </xdr:nvSpPr>
          <xdr:spPr>
            <a:xfrm>
              <a:off x="5385708" y="10495248"/>
              <a:ext cx="45448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r>
                      <a:rPr lang="en-IN" sz="1100" b="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b>
                      <m:sSub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</m:e>
                      <m: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5385708" y="10495248"/>
              <a:ext cx="45448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𝐷_𝑐∗𝐵_𝑐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1165046</xdr:colOff>
      <xdr:row>63</xdr:row>
      <xdr:rowOff>41604</xdr:rowOff>
    </xdr:from>
    <xdr:ext cx="535083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/>
            <xdr:cNvSpPr txBox="1"/>
          </xdr:nvSpPr>
          <xdr:spPr>
            <a:xfrm>
              <a:off x="5241746" y="12805104"/>
              <a:ext cx="53508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3.00</m:t>
                    </m:r>
                    <m:rad>
                      <m:radPr>
                        <m:degHide m:val="on"/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num>
                          <m:den>
                            <m:sSub>
                              <m:sSub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8" name="TextBox 17"/>
            <xdr:cNvSpPr txBox="1"/>
          </xdr:nvSpPr>
          <xdr:spPr>
            <a:xfrm>
              <a:off x="5241746" y="12805104"/>
              <a:ext cx="53508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3.00</a:t>
              </a:r>
              <a:r>
                <a:rPr lang="en-IN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√(</a:t>
              </a:r>
              <a:r>
                <a:rPr lang="en-IN" sz="110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𝐸)/𝐹_𝑦 )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1165046</xdr:colOff>
      <xdr:row>65</xdr:row>
      <xdr:rowOff>41604</xdr:rowOff>
    </xdr:from>
    <xdr:ext cx="535083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/>
            <xdr:cNvSpPr txBox="1"/>
          </xdr:nvSpPr>
          <xdr:spPr>
            <a:xfrm>
              <a:off x="5241746" y="13595679"/>
              <a:ext cx="53508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5.00</m:t>
                    </m:r>
                    <m:rad>
                      <m:radPr>
                        <m:degHide m:val="on"/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num>
                          <m:den>
                            <m:sSub>
                              <m:sSub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9" name="TextBox 18"/>
            <xdr:cNvSpPr txBox="1"/>
          </xdr:nvSpPr>
          <xdr:spPr>
            <a:xfrm>
              <a:off x="5241746" y="13595679"/>
              <a:ext cx="53508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5.00</a:t>
              </a:r>
              <a:r>
                <a:rPr lang="en-IN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√(</a:t>
              </a:r>
              <a:r>
                <a:rPr lang="en-IN" sz="110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𝐸)/𝐹_𝑦 )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507724</xdr:colOff>
      <xdr:row>139</xdr:row>
      <xdr:rowOff>51766</xdr:rowOff>
    </xdr:from>
    <xdr:ext cx="1340495" cy="3761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/>
            <xdr:cNvSpPr txBox="1"/>
          </xdr:nvSpPr>
          <xdr:spPr>
            <a:xfrm>
              <a:off x="4584424" y="35379991"/>
              <a:ext cx="1340495" cy="3761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+0.85</m:t>
                        </m:r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𝑐</m:t>
                            </m:r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′</m:t>
                            </m:r>
                          </m:sub>
                        </m:sSub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𝑓</m:t>
                            </m:r>
                          </m:sub>
                        </m:sSub>
                      </m:num>
                      <m:den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4</m:t>
                        </m:r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sSub>
                              <m:sSub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𝑤</m:t>
                                </m:r>
                              </m:sub>
                            </m:s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sub>
                        </m:s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+0.85</m:t>
                        </m:r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′</m:t>
                            </m:r>
                          </m:sub>
                        </m:sSub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20" name="TextBox 19"/>
            <xdr:cNvSpPr txBox="1"/>
          </xdr:nvSpPr>
          <xdr:spPr>
            <a:xfrm>
              <a:off x="4584424" y="35379991"/>
              <a:ext cx="1340495" cy="3761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2𝑓_𝑦 𝐷𝑇_𝑤+0.85𝑓_𝑐′ 𝐵_𝑐 𝑇_𝑓)/(4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〖𝑇_𝑤 𝑓〗_𝑦+0.85𝑓_𝑐′ 𝐵_𝑐 )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524290</xdr:colOff>
      <xdr:row>141</xdr:row>
      <xdr:rowOff>85312</xdr:rowOff>
    </xdr:from>
    <xdr:ext cx="1340495" cy="3761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/>
            <xdr:cNvSpPr txBox="1"/>
          </xdr:nvSpPr>
          <xdr:spPr>
            <a:xfrm>
              <a:off x="4600990" y="36108862"/>
              <a:ext cx="1340495" cy="3761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+0.35</m:t>
                        </m:r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𝑐</m:t>
                            </m:r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′</m:t>
                            </m:r>
                          </m:sub>
                        </m:sSub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𝑓</m:t>
                            </m:r>
                          </m:sub>
                        </m:sSub>
                      </m:num>
                      <m:den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4</m:t>
                        </m:r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sSub>
                              <m:sSub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𝑤</m:t>
                                </m:r>
                              </m:sub>
                            </m:s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sub>
                        </m:s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+0.35</m:t>
                        </m:r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′</m:t>
                            </m:r>
                          </m:sub>
                        </m:sSub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21" name="TextBox 20"/>
            <xdr:cNvSpPr txBox="1"/>
          </xdr:nvSpPr>
          <xdr:spPr>
            <a:xfrm>
              <a:off x="4600990" y="36108862"/>
              <a:ext cx="1340495" cy="3761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2𝑓_𝑦 𝐷𝑇_𝑤+0.35𝑓_𝑐′ 𝐵_𝑐 𝑇_𝑓)/(4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〖𝑇_𝑤 𝑓〗_𝑦+0.35𝑓_𝑐′ 𝐵_𝑐 )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67090</xdr:colOff>
      <xdr:row>143</xdr:row>
      <xdr:rowOff>56737</xdr:rowOff>
    </xdr:from>
    <xdr:ext cx="2101024" cy="4139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/>
            <xdr:cNvSpPr txBox="1"/>
          </xdr:nvSpPr>
          <xdr:spPr>
            <a:xfrm>
              <a:off x="4143790" y="36775612"/>
              <a:ext cx="2101024" cy="4139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+</m:t>
                        </m:r>
                        <m:d>
                          <m:d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0.35</m:t>
                            </m:r>
                            <m:sSub>
                              <m:sSub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</m:t>
                                </m:r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′</m:t>
                                </m:r>
                              </m:sub>
                            </m:s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sub>
                            </m:s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𝑐𝑟</m:t>
                                </m:r>
                              </m:sub>
                            </m:sSub>
                          </m:e>
                        </m:d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𝑓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d>
                          <m:d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𝑐𝑟</m:t>
                                </m:r>
                              </m:sub>
                            </m:s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sub>
                            </m:sSub>
                          </m:e>
                        </m:d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+0.35</m:t>
                        </m:r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′</m:t>
                            </m:r>
                          </m:sub>
                        </m:sSub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22" name="TextBox 21"/>
            <xdr:cNvSpPr txBox="1"/>
          </xdr:nvSpPr>
          <xdr:spPr>
            <a:xfrm>
              <a:off x="4143790" y="36775612"/>
              <a:ext cx="2101024" cy="4139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𝑓_𝑦 𝐷𝑇_𝑤+(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0.35𝑓_𝑐′+𝑓_𝑦−𝐹_𝑐𝑟 ) 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𝐵_𝑐 𝑇_𝑓)/(𝑇_𝑤 (𝐹_𝑐𝑟+𝑓_𝑦 )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+0.35𝑓_𝑐′ 𝐵_𝑐 )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698224</xdr:colOff>
      <xdr:row>147</xdr:row>
      <xdr:rowOff>51766</xdr:rowOff>
    </xdr:from>
    <xdr:ext cx="1344279" cy="3761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/>
            <xdr:cNvSpPr txBox="1"/>
          </xdr:nvSpPr>
          <xdr:spPr>
            <a:xfrm>
              <a:off x="4774924" y="38180341"/>
              <a:ext cx="1344279" cy="3761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𝑓</m:t>
                            </m:r>
                          </m:sub>
                        </m:s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+0.85</m:t>
                        </m:r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𝑐</m:t>
                            </m:r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′</m:t>
                            </m:r>
                          </m:sub>
                        </m:sSub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</m:num>
                      <m:den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4</m:t>
                        </m:r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sSub>
                              <m:sSub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𝑓</m:t>
                                </m:r>
                              </m:sub>
                            </m:s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sub>
                        </m:s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+0.85</m:t>
                        </m:r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′</m:t>
                            </m:r>
                          </m:sub>
                        </m:sSub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23" name="TextBox 22"/>
            <xdr:cNvSpPr txBox="1"/>
          </xdr:nvSpPr>
          <xdr:spPr>
            <a:xfrm>
              <a:off x="4774924" y="38180341"/>
              <a:ext cx="1344279" cy="3761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2𝑓_𝑦 𝐵𝑇_𝑓+0.85𝑓_𝑐′ 𝐷_𝑐 𝑇_𝑤)/(4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〖𝑇_𝑓 𝑓〗_𝑦+0.85𝑓_𝑐′ 𝐷_𝑐 )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698224</xdr:colOff>
      <xdr:row>149</xdr:row>
      <xdr:rowOff>99391</xdr:rowOff>
    </xdr:from>
    <xdr:ext cx="1344279" cy="3761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/>
            <xdr:cNvSpPr txBox="1"/>
          </xdr:nvSpPr>
          <xdr:spPr>
            <a:xfrm>
              <a:off x="4774924" y="38923291"/>
              <a:ext cx="1344279" cy="3761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𝑓</m:t>
                            </m:r>
                          </m:sub>
                        </m:s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+0.35</m:t>
                        </m:r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𝑐</m:t>
                            </m:r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′</m:t>
                            </m:r>
                          </m:sub>
                        </m:sSub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</m:num>
                      <m:den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4</m:t>
                        </m:r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sSub>
                              <m:sSub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𝑓</m:t>
                                </m:r>
                              </m:sub>
                            </m:s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sub>
                        </m:s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+0.35</m:t>
                        </m:r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′</m:t>
                            </m:r>
                          </m:sub>
                        </m:sSub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24" name="TextBox 23"/>
            <xdr:cNvSpPr txBox="1"/>
          </xdr:nvSpPr>
          <xdr:spPr>
            <a:xfrm>
              <a:off x="4774924" y="38923291"/>
              <a:ext cx="1344279" cy="3761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2𝑓_𝑦 𝐵𝑇_𝑓+0.35𝑓_𝑐′ 𝐷_𝑐 𝑇_𝑤)/(4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〖𝑇_𝑓 𝑓〗_𝑦+0.35𝑓_𝑐′ 𝐷_𝑐 )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67090</xdr:colOff>
      <xdr:row>151</xdr:row>
      <xdr:rowOff>56737</xdr:rowOff>
    </xdr:from>
    <xdr:ext cx="2055691" cy="4139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/>
            <xdr:cNvSpPr txBox="1"/>
          </xdr:nvSpPr>
          <xdr:spPr>
            <a:xfrm>
              <a:off x="4143790" y="39575962"/>
              <a:ext cx="2055691" cy="4139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𝑓</m:t>
                            </m:r>
                          </m:sub>
                        </m:s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+</m:t>
                        </m:r>
                        <m:d>
                          <m:d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0.35</m:t>
                            </m:r>
                            <m:sSub>
                              <m:sSub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</m:t>
                                </m:r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′</m:t>
                                </m:r>
                              </m:sub>
                            </m:s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sub>
                            </m:s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𝑐𝑟</m:t>
                                </m:r>
                              </m:sub>
                            </m:sSub>
                          </m:e>
                        </m:d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𝑑</m:t>
                            </m:r>
                          </m:sub>
                        </m:sSub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𝑓</m:t>
                            </m:r>
                          </m:sub>
                        </m:sSub>
                        <m:d>
                          <m:d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𝑐𝑟</m:t>
                                </m:r>
                              </m:sub>
                            </m:s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sub>
                            </m:sSub>
                          </m:e>
                        </m:d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+0.35</m:t>
                        </m:r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′</m:t>
                            </m:r>
                          </m:sub>
                        </m:sSub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25" name="TextBox 24"/>
            <xdr:cNvSpPr txBox="1"/>
          </xdr:nvSpPr>
          <xdr:spPr>
            <a:xfrm>
              <a:off x="4143790" y="39575962"/>
              <a:ext cx="2055691" cy="4139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𝑓_𝑦 𝐵𝑇_𝑓+(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0.35𝑓_𝑐′+𝑓_𝑦−𝐹_𝑐𝑟 ) 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𝐵_𝑑 𝑇_𝑤)/(𝑇_𝑓 (𝐹_𝑐𝑟+𝑓_𝑦 )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+0.35𝑓_𝑐′ 𝐷_𝑐 )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1349858</xdr:colOff>
      <xdr:row>100</xdr:row>
      <xdr:rowOff>81999</xdr:rowOff>
    </xdr:from>
    <xdr:ext cx="550343" cy="3456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/>
            <xdr:cNvSpPr txBox="1"/>
          </xdr:nvSpPr>
          <xdr:spPr>
            <a:xfrm>
              <a:off x="5426558" y="21646599"/>
              <a:ext cx="550343" cy="345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9 </m:t>
                        </m:r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𝐸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type m:val="lin"/>
                                    <m:ctrlP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𝐷</m:t>
                                    </m:r>
                                  </m:num>
                                  <m:den>
                                    <m:sSub>
                                      <m:sSubPr>
                                        <m:ctrlPr>
                                          <a:rPr lang="en-IN" sz="1100" b="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IN" sz="1100" b="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𝑡</m:t>
                                        </m:r>
                                      </m:e>
                                      <m:sub>
                                        <m:r>
                                          <a:rPr lang="en-IN" sz="1100" b="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𝑤</m:t>
                                        </m:r>
                                      </m:sub>
                                    </m:sSub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26" name="TextBox 25"/>
            <xdr:cNvSpPr txBox="1"/>
          </xdr:nvSpPr>
          <xdr:spPr>
            <a:xfrm>
              <a:off x="5426558" y="21646599"/>
              <a:ext cx="550343" cy="345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9 𝐸_𝑠)/(𝐷∕𝑡_𝑤 )^2 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1452562</xdr:colOff>
      <xdr:row>192</xdr:row>
      <xdr:rowOff>76200</xdr:rowOff>
    </xdr:from>
    <xdr:ext cx="451790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/>
            <xdr:cNvSpPr txBox="1"/>
          </xdr:nvSpPr>
          <xdr:spPr>
            <a:xfrm>
              <a:off x="5529262" y="48844200"/>
              <a:ext cx="451790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𝑘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𝑣</m:t>
                                </m:r>
                              </m:sub>
                            </m:s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𝑠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27" name="TextBox 26"/>
            <xdr:cNvSpPr txBox="1"/>
          </xdr:nvSpPr>
          <xdr:spPr>
            <a:xfrm>
              <a:off x="5529262" y="48844200"/>
              <a:ext cx="451790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√((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𝑘_𝑣  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𝐸_𝑠)/𝑓_𝑦 )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3</xdr:col>
      <xdr:colOff>376237</xdr:colOff>
      <xdr:row>198</xdr:row>
      <xdr:rowOff>9526</xdr:rowOff>
    </xdr:from>
    <xdr:ext cx="2309222" cy="25622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/>
            <xdr:cNvSpPr txBox="1"/>
          </xdr:nvSpPr>
          <xdr:spPr>
            <a:xfrm>
              <a:off x="3919537" y="50415826"/>
              <a:ext cx="2309222" cy="25622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𝑖𝑓</m:t>
                    </m:r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f>
                      <m:f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h</m:t>
                        </m:r>
                      </m:num>
                      <m:den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</m:den>
                    </m:f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≤1.10 </m:t>
                    </m:r>
                    <m:rad>
                      <m:radPr>
                        <m:degHide m:val="on"/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𝑘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𝑣</m:t>
                                </m:r>
                              </m:sub>
                            </m:s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sub>
                            </m:sSub>
                          </m:den>
                        </m:f>
                      </m:e>
                    </m:rad>
                    <m:r>
                      <a:rPr lang="en-IN" sz="1100" b="0" i="0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IN" sz="1100" b="0" i="0">
                <a:solidFill>
                  <a:sysClr val="windowText" lastClr="000000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𝑣</m:t>
                        </m:r>
                      </m:sub>
                    </m:sSub>
                    <m:r>
                      <a:rPr lang="en-IN" sz="1100" b="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=1.0 </m:t>
                    </m:r>
                  </m:oMath>
                </m:oMathPara>
              </a14:m>
              <a:endParaRPr lang="en-IN" sz="1100" b="0" i="1">
                <a:solidFill>
                  <a:sysClr val="windowText" lastClr="000000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algn="l" eaLnBrk="1" fontAlgn="auto" latinLnBrk="0" hangingPunct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𝑖𝑓</m:t>
                    </m:r>
                    <m:r>
                      <a:rPr lang="en-IN" sz="1100" b="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1.10 </m:t>
                    </m:r>
                    <m:rad>
                      <m:radPr>
                        <m:degHide m:val="on"/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𝑘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𝑣</m:t>
                                </m:r>
                              </m:sub>
                            </m:s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sub>
                            </m:sSub>
                          </m:den>
                        </m:f>
                      </m:e>
                    </m:rad>
                    <m:r>
                      <a:rPr lang="en-IN" sz="1100" b="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IN" sz="1100" b="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&lt; </m:t>
                    </m:r>
                    <m:f>
                      <m:f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num>
                      <m:den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sub>
                        </m:sSub>
                      </m:den>
                    </m:f>
                    <m:r>
                      <a:rPr lang="en-IN" sz="1100" b="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≤1.37 </m:t>
                    </m:r>
                    <m:rad>
                      <m:radPr>
                        <m:degHide m:val="on"/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𝑘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𝑣</m:t>
                                </m:r>
                              </m:sub>
                            </m:s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sub>
                            </m:sSub>
                          </m:den>
                        </m:f>
                      </m:e>
                    </m:rad>
                    <m:r>
                      <a:rPr lang="en-IN" sz="1100" b="0" i="0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IN">
                <a:solidFill>
                  <a:sysClr val="windowText" lastClr="000000"/>
                </a:solidFill>
                <a:effectLst/>
              </a:endParaRPr>
            </a:p>
            <a:p>
              <a:pPr algn="l" eaLnBrk="1" fontAlgn="auto" latinLnBrk="0" hangingPunct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𝑣</m:t>
                        </m:r>
                      </m:sub>
                    </m:sSub>
                    <m:r>
                      <a:rPr lang="en-IN" sz="1100" b="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1.10 </m:t>
                        </m:r>
                        <m:rad>
                          <m:radPr>
                            <m:degHide m:val="on"/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type m:val="lin"/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𝑘</m:t>
                                    </m:r>
                                  </m:e>
                                  <m:sub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𝑣</m:t>
                                    </m:r>
                                  </m:sub>
                                </m:s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e>
                                  <m:sub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𝑠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𝑓</m:t>
                                    </m:r>
                                  </m:e>
                                  <m:sub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𝑦</m:t>
                                    </m:r>
                                  </m:sub>
                                </m:sSub>
                              </m:den>
                            </m:f>
                          </m:e>
                        </m:rad>
                      </m:num>
                      <m:den>
                        <m:f>
                          <m:fPr>
                            <m:type m:val="lin"/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num>
                          <m:den>
                            <m:sSub>
                              <m:sSub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𝑤</m:t>
                                </m:r>
                              </m:sub>
                            </m:sSub>
                          </m:den>
                        </m:f>
                      </m:den>
                    </m:f>
                    <m:r>
                      <a:rPr lang="en-IN" sz="1100" b="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</m:t>
                    </m:r>
                  </m:oMath>
                </m:oMathPara>
              </a14:m>
              <a:endParaRPr lang="en-IN" sz="1100" b="0" i="1">
                <a:solidFill>
                  <a:sysClr val="windowText" lastClr="000000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algn="l" eaLnBrk="1" fontAlgn="auto" latinLnBrk="0" hangingPunct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𝑖𝑓</m:t>
                    </m:r>
                    <m:r>
                      <a:rPr lang="en-IN" sz="1100" b="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f>
                      <m:f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num>
                      <m:den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sub>
                        </m:sSub>
                      </m:den>
                    </m:f>
                    <m:r>
                      <a:rPr lang="en-IN" sz="1100" b="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&gt;</m:t>
                    </m:r>
                    <m:r>
                      <a:rPr lang="en-IN" sz="1100" b="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1.37 </m:t>
                    </m:r>
                    <m:rad>
                      <m:radPr>
                        <m:degHide m:val="on"/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𝑘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𝑣</m:t>
                                </m:r>
                              </m:sub>
                            </m:s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sub>
                            </m:sSub>
                          </m:den>
                        </m:f>
                      </m:e>
                    </m:rad>
                    <m:r>
                      <a:rPr lang="en-IN" sz="1100" b="0" i="0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IN">
                <a:solidFill>
                  <a:sysClr val="windowText" lastClr="000000"/>
                </a:solidFill>
                <a:effectLst/>
              </a:endParaRPr>
            </a:p>
            <a:p>
              <a:pPr algn="l" eaLnBrk="1" fontAlgn="auto" latinLnBrk="0" hangingPunct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𝑣</m:t>
                        </m:r>
                      </m:sub>
                    </m:sSub>
                    <m:r>
                      <a:rPr lang="en-IN" sz="1100" b="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1.51 </m:t>
                        </m:r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𝑣</m:t>
                            </m:r>
                          </m:sub>
                        </m:s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num>
                      <m:den>
                        <m:sSup>
                          <m:sSup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type m:val="lin"/>
                                    <m:ctrlP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h</m:t>
                                    </m:r>
                                  </m:num>
                                  <m:den>
                                    <m:sSub>
                                      <m:sSubPr>
                                        <m:ctrlPr>
                                          <a:rPr lang="en-IN" sz="1100" b="0" i="1">
                                            <a:solidFill>
                                              <a:sysClr val="windowText" lastClr="000000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IN" sz="1100" b="0" i="1">
                                            <a:solidFill>
                                              <a:sysClr val="windowText" lastClr="000000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𝑇</m:t>
                                        </m:r>
                                      </m:e>
                                      <m:sub>
                                        <m:r>
                                          <a:rPr lang="en-IN" sz="1100" b="0" i="1">
                                            <a:solidFill>
                                              <a:sysClr val="windowText" lastClr="000000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𝑤</m:t>
                                        </m:r>
                                      </m:sub>
                                    </m:sSub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>
                <a:solidFill>
                  <a:sysClr val="windowText" lastClr="000000"/>
                </a:solidFill>
                <a:effectLst/>
              </a:endParaRPr>
            </a:p>
            <a:p>
              <a:pPr algn="l" eaLnBrk="1" fontAlgn="auto" latinLnBrk="0" hangingPunct="1"/>
              <a:endParaRPr lang="en-IN">
                <a:solidFill>
                  <a:sysClr val="windowText" lastClr="000000"/>
                </a:solidFill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IN">
                <a:solidFill>
                  <a:sysClr val="windowText" lastClr="000000"/>
                </a:solidFill>
                <a:effectLst/>
              </a:endParaRPr>
            </a:p>
            <a:p>
              <a:pPr algn="l"/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28" name="TextBox 27"/>
            <xdr:cNvSpPr txBox="1"/>
          </xdr:nvSpPr>
          <xdr:spPr>
            <a:xfrm>
              <a:off x="3919537" y="50415826"/>
              <a:ext cx="2309222" cy="25622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𝑖𝑓  ℎ/𝑇_𝑤   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≤1.10 </a:t>
              </a:r>
              <a:r>
                <a:rPr lang="en-IN" sz="110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√((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𝑘_𝑣  𝐸_𝑠)/𝑓_𝑦 )  </a:t>
              </a: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𝐶_𝑣=1.0 </a:t>
              </a:r>
              <a:endParaRPr lang="en-IN" sz="1100" b="0" i="1">
                <a:solidFill>
                  <a:sysClr val="windowText" lastClr="000000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algn="l" eaLnBrk="1" fontAlgn="auto" latinLnBrk="0" hangingPunct="1"/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𝑖𝑓 1.10 </a:t>
              </a:r>
              <a:r>
                <a:rPr lang="en-IN" sz="110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√((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𝑘_𝑣  𝐸_𝑠)/𝑓_𝑦 )  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&lt; 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ℎ/𝑇_𝑤   ≤1.37 </a:t>
              </a:r>
              <a:r>
                <a:rPr lang="en-IN" sz="110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√((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𝑘_𝑣  𝐸_𝑠)/𝑓_𝑦 )  </a:t>
              </a:r>
              <a:endParaRPr lang="en-IN">
                <a:solidFill>
                  <a:sysClr val="windowText" lastClr="000000"/>
                </a:solidFill>
                <a:effectLst/>
              </a:endParaRPr>
            </a:p>
            <a:p>
              <a:pPr algn="l" eaLnBrk="1" fontAlgn="auto" latinLnBrk="0" hangingPunct="1"/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𝐶_𝑣=(1.10 √(〖𝑘_𝑣  𝐸_𝑠〗∕𝑓_𝑦 ))/(ℎ∕𝑇_𝑤 )   </a:t>
              </a:r>
              <a:endParaRPr lang="en-IN" sz="1100" b="0" i="1">
                <a:solidFill>
                  <a:sysClr val="windowText" lastClr="000000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algn="l" eaLnBrk="1" fontAlgn="auto" latinLnBrk="0" hangingPunct="1"/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𝑖𝑓  ℎ/𝑇_𝑤 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&gt;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1.37 </a:t>
              </a:r>
              <a:r>
                <a:rPr lang="en-IN" sz="110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√((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𝑘_𝑣  𝐸_𝑠)/𝑓_𝑦 )  </a:t>
              </a:r>
              <a:endParaRPr lang="en-IN">
                <a:solidFill>
                  <a:sysClr val="windowText" lastClr="000000"/>
                </a:solidFill>
                <a:effectLst/>
              </a:endParaRPr>
            </a:p>
            <a:p>
              <a:pPr algn="l" eaLnBrk="1" fontAlgn="auto" latinLnBrk="0" hangingPunct="1"/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𝐶_𝑣=(1.51 𝐸_𝑠  𝑘_𝑣  )/((ℎ∕𝑇_𝑤 )^2  𝑓_𝑦 )</a:t>
              </a:r>
              <a:endParaRPr lang="en-IN">
                <a:solidFill>
                  <a:sysClr val="windowText" lastClr="000000"/>
                </a:solidFill>
                <a:effectLst/>
              </a:endParaRPr>
            </a:p>
            <a:p>
              <a:pPr algn="l" eaLnBrk="1" fontAlgn="auto" latinLnBrk="0" hangingPunct="1"/>
              <a:endParaRPr lang="en-IN">
                <a:solidFill>
                  <a:sysClr val="windowText" lastClr="000000"/>
                </a:solidFill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IN">
                <a:solidFill>
                  <a:sysClr val="windowText" lastClr="000000"/>
                </a:solidFill>
                <a:effectLst/>
              </a:endParaRPr>
            </a:p>
            <a:p>
              <a:pPr algn="l"/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771525</xdr:colOff>
      <xdr:row>233</xdr:row>
      <xdr:rowOff>9526</xdr:rowOff>
    </xdr:from>
    <xdr:ext cx="1255688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/>
            <xdr:cNvSpPr txBox="1"/>
          </xdr:nvSpPr>
          <xdr:spPr>
            <a:xfrm>
              <a:off x="4848225" y="57311926"/>
              <a:ext cx="1255688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0.6 </m:t>
                    </m:r>
                    <m:sSub>
                      <m:sSub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29" name="TextBox 28"/>
            <xdr:cNvSpPr txBox="1"/>
          </xdr:nvSpPr>
          <xdr:spPr>
            <a:xfrm>
              <a:off x="4848225" y="57311926"/>
              <a:ext cx="1255688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0.6 𝑓_𝑦  𝐴_𝑤  𝐶_𝑣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3</xdr:col>
      <xdr:colOff>385762</xdr:colOff>
      <xdr:row>212</xdr:row>
      <xdr:rowOff>152401</xdr:rowOff>
    </xdr:from>
    <xdr:ext cx="2309222" cy="25622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/>
            <xdr:cNvSpPr txBox="1"/>
          </xdr:nvSpPr>
          <xdr:spPr>
            <a:xfrm>
              <a:off x="3929062" y="53340001"/>
              <a:ext cx="2309222" cy="25622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𝑖𝑓</m:t>
                    </m:r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f>
                      <m:f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𝑏</m:t>
                        </m:r>
                      </m:num>
                      <m:den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𝑓</m:t>
                            </m:r>
                          </m:sub>
                        </m:sSub>
                      </m:den>
                    </m:f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≤1.10 </m:t>
                    </m:r>
                    <m:rad>
                      <m:radPr>
                        <m:degHide m:val="on"/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𝑘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𝑣</m:t>
                                </m:r>
                              </m:sub>
                            </m:s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sub>
                            </m:sSub>
                          </m:den>
                        </m:f>
                      </m:e>
                    </m:rad>
                    <m:r>
                      <a:rPr lang="en-IN" sz="1100" b="0" i="0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IN" sz="1100" b="0" i="0">
                <a:solidFill>
                  <a:sysClr val="windowText" lastClr="000000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𝑣</m:t>
                        </m:r>
                      </m:sub>
                    </m:sSub>
                    <m:r>
                      <a:rPr lang="en-IN" sz="1100" b="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=1.0 </m:t>
                    </m:r>
                  </m:oMath>
                </m:oMathPara>
              </a14:m>
              <a:endParaRPr lang="en-IN" sz="1100" b="0" i="1">
                <a:solidFill>
                  <a:sysClr val="windowText" lastClr="000000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algn="l" eaLnBrk="1" fontAlgn="auto" latinLnBrk="0" hangingPunct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𝑖𝑓</m:t>
                    </m:r>
                    <m:r>
                      <a:rPr lang="en-IN" sz="1100" b="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1.10 </m:t>
                    </m:r>
                    <m:rad>
                      <m:radPr>
                        <m:degHide m:val="on"/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𝑘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𝑣</m:t>
                                </m:r>
                              </m:sub>
                            </m:s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sub>
                            </m:sSub>
                          </m:den>
                        </m:f>
                      </m:e>
                    </m:rad>
                    <m:r>
                      <a:rPr lang="en-IN" sz="1100" b="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IN" sz="1100" b="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&lt; </m:t>
                    </m:r>
                    <m:f>
                      <m:f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num>
                      <m:den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sub>
                        </m:sSub>
                      </m:den>
                    </m:f>
                    <m:r>
                      <a:rPr lang="en-IN" sz="1100" b="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≤1.37 </m:t>
                    </m:r>
                    <m:rad>
                      <m:radPr>
                        <m:degHide m:val="on"/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𝑘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𝑣</m:t>
                                </m:r>
                              </m:sub>
                            </m:s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sub>
                            </m:sSub>
                          </m:den>
                        </m:f>
                      </m:e>
                    </m:rad>
                    <m:r>
                      <a:rPr lang="en-IN" sz="1100" b="0" i="0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IN">
                <a:solidFill>
                  <a:sysClr val="windowText" lastClr="000000"/>
                </a:solidFill>
                <a:effectLst/>
              </a:endParaRPr>
            </a:p>
            <a:p>
              <a:pPr algn="l" eaLnBrk="1" fontAlgn="auto" latinLnBrk="0" hangingPunct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𝑣</m:t>
                        </m:r>
                      </m:sub>
                    </m:sSub>
                    <m:r>
                      <a:rPr lang="en-IN" sz="1100" b="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1.10 </m:t>
                        </m:r>
                        <m:rad>
                          <m:radPr>
                            <m:degHide m:val="on"/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type m:val="lin"/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𝑘</m:t>
                                    </m:r>
                                  </m:e>
                                  <m:sub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𝑣</m:t>
                                    </m:r>
                                  </m:sub>
                                </m:s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e>
                                  <m:sub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𝑠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𝑓</m:t>
                                    </m:r>
                                  </m:e>
                                  <m:sub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𝑦</m:t>
                                    </m:r>
                                  </m:sub>
                                </m:sSub>
                              </m:den>
                            </m:f>
                          </m:e>
                        </m:rad>
                      </m:num>
                      <m:den>
                        <m:f>
                          <m:fPr>
                            <m:type m:val="lin"/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num>
                          <m:den>
                            <m:sSub>
                              <m:sSub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𝑓</m:t>
                                </m:r>
                              </m:sub>
                            </m:sSub>
                          </m:den>
                        </m:f>
                      </m:den>
                    </m:f>
                    <m:r>
                      <a:rPr lang="en-IN" sz="1100" b="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</m:t>
                    </m:r>
                  </m:oMath>
                </m:oMathPara>
              </a14:m>
              <a:endParaRPr lang="en-IN" sz="1100" b="0" i="1">
                <a:solidFill>
                  <a:sysClr val="windowText" lastClr="000000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algn="l" eaLnBrk="1" fontAlgn="auto" latinLnBrk="0" hangingPunct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𝑖𝑓</m:t>
                    </m:r>
                    <m:r>
                      <a:rPr lang="en-IN" sz="1100" b="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f>
                      <m:f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num>
                      <m:den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sub>
                        </m:sSub>
                      </m:den>
                    </m:f>
                    <m:r>
                      <a:rPr lang="en-IN" sz="1100" b="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&gt;</m:t>
                    </m:r>
                    <m:r>
                      <a:rPr lang="en-IN" sz="1100" b="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1.37 </m:t>
                    </m:r>
                    <m:rad>
                      <m:radPr>
                        <m:degHide m:val="on"/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𝑘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𝑣</m:t>
                                </m:r>
                              </m:sub>
                            </m:s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sub>
                            </m:sSub>
                          </m:den>
                        </m:f>
                      </m:e>
                    </m:rad>
                    <m:r>
                      <a:rPr lang="en-IN" sz="1100" b="0" i="0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IN">
                <a:solidFill>
                  <a:sysClr val="windowText" lastClr="000000"/>
                </a:solidFill>
                <a:effectLst/>
              </a:endParaRPr>
            </a:p>
            <a:p>
              <a:pPr algn="l" eaLnBrk="1" fontAlgn="auto" latinLnBrk="0" hangingPunct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𝑣</m:t>
                        </m:r>
                      </m:sub>
                    </m:sSub>
                    <m:r>
                      <a:rPr lang="en-IN" sz="1100" b="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1.51 </m:t>
                        </m:r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𝑣</m:t>
                            </m:r>
                          </m:sub>
                        </m:s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num>
                      <m:den>
                        <m:sSup>
                          <m:sSup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type m:val="lin"/>
                                    <m:ctrlP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𝑏</m:t>
                                    </m:r>
                                  </m:num>
                                  <m:den>
                                    <m:sSub>
                                      <m:sSubPr>
                                        <m:ctrlPr>
                                          <a:rPr lang="en-IN" sz="1100" b="0" i="1">
                                            <a:solidFill>
                                              <a:sysClr val="windowText" lastClr="000000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IN" sz="1100" b="0" i="1">
                                            <a:solidFill>
                                              <a:sysClr val="windowText" lastClr="000000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𝑇</m:t>
                                        </m:r>
                                      </m:e>
                                      <m:sub>
                                        <m:r>
                                          <a:rPr lang="en-IN" sz="1100" b="0" i="1">
                                            <a:solidFill>
                                              <a:sysClr val="windowText" lastClr="000000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𝑓</m:t>
                                        </m:r>
                                      </m:sub>
                                    </m:sSub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>
                <a:solidFill>
                  <a:sysClr val="windowText" lastClr="000000"/>
                </a:solidFill>
                <a:effectLst/>
              </a:endParaRPr>
            </a:p>
            <a:p>
              <a:pPr algn="l" eaLnBrk="1" fontAlgn="auto" latinLnBrk="0" hangingPunct="1"/>
              <a:endParaRPr lang="en-IN">
                <a:solidFill>
                  <a:sysClr val="windowText" lastClr="000000"/>
                </a:solidFill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IN">
                <a:solidFill>
                  <a:sysClr val="windowText" lastClr="000000"/>
                </a:solidFill>
                <a:effectLst/>
              </a:endParaRPr>
            </a:p>
            <a:p>
              <a:pPr algn="l"/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30" name="TextBox 29"/>
            <xdr:cNvSpPr txBox="1"/>
          </xdr:nvSpPr>
          <xdr:spPr>
            <a:xfrm>
              <a:off x="3929062" y="53340001"/>
              <a:ext cx="2309222" cy="25622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𝑖𝑓  𝑏/𝑇_𝑓   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≤1.10 </a:t>
              </a:r>
              <a:r>
                <a:rPr lang="en-IN" sz="110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√((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𝑘_𝑣  𝐸_𝑠)/𝑓_𝑦 )  </a:t>
              </a: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𝐶_𝑣=1.0 </a:t>
              </a:r>
              <a:endParaRPr lang="en-IN" sz="1100" b="0" i="1">
                <a:solidFill>
                  <a:sysClr val="windowText" lastClr="000000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algn="l" eaLnBrk="1" fontAlgn="auto" latinLnBrk="0" hangingPunct="1"/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𝑖𝑓 1.10 </a:t>
              </a:r>
              <a:r>
                <a:rPr lang="en-IN" sz="110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√((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𝑘_𝑣  𝐸_𝑠)/𝑓_𝑦 )  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&lt; 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𝑏/𝑇_𝑓   ≤1.37 </a:t>
              </a:r>
              <a:r>
                <a:rPr lang="en-IN" sz="110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√((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𝑘_𝑣  𝐸_𝑠)/𝑓_𝑦 )  </a:t>
              </a:r>
              <a:endParaRPr lang="en-IN">
                <a:solidFill>
                  <a:sysClr val="windowText" lastClr="000000"/>
                </a:solidFill>
                <a:effectLst/>
              </a:endParaRPr>
            </a:p>
            <a:p>
              <a:pPr algn="l" eaLnBrk="1" fontAlgn="auto" latinLnBrk="0" hangingPunct="1"/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𝐶_𝑣=(1.10 √(〖𝑘_𝑣  𝐸_𝑠〗∕𝑓_𝑦 ))/(𝑏∕𝑇_𝑓 )   </a:t>
              </a:r>
              <a:endParaRPr lang="en-IN" sz="1100" b="0" i="1">
                <a:solidFill>
                  <a:sysClr val="windowText" lastClr="000000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algn="l" eaLnBrk="1" fontAlgn="auto" latinLnBrk="0" hangingPunct="1"/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𝑖𝑓  𝑏/𝑇_𝑓 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&gt;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1.37 </a:t>
              </a:r>
              <a:r>
                <a:rPr lang="en-IN" sz="110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√((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𝑘_𝑣  𝐸_𝑠)/𝑓_𝑦 )  </a:t>
              </a:r>
              <a:endParaRPr lang="en-IN">
                <a:solidFill>
                  <a:sysClr val="windowText" lastClr="000000"/>
                </a:solidFill>
                <a:effectLst/>
              </a:endParaRPr>
            </a:p>
            <a:p>
              <a:pPr algn="l" eaLnBrk="1" fontAlgn="auto" latinLnBrk="0" hangingPunct="1"/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𝐶_𝑣=(1.51 𝐸_𝑠  𝑘_𝑣  )/((𝑏∕𝑇_𝑓 )^2  𝑓_𝑦 )</a:t>
              </a:r>
              <a:endParaRPr lang="en-IN">
                <a:solidFill>
                  <a:sysClr val="windowText" lastClr="000000"/>
                </a:solidFill>
                <a:effectLst/>
              </a:endParaRPr>
            </a:p>
            <a:p>
              <a:pPr algn="l" eaLnBrk="1" fontAlgn="auto" latinLnBrk="0" hangingPunct="1"/>
              <a:endParaRPr lang="en-IN">
                <a:solidFill>
                  <a:sysClr val="windowText" lastClr="000000"/>
                </a:solidFill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IN">
                <a:solidFill>
                  <a:sysClr val="windowText" lastClr="000000"/>
                </a:solidFill>
                <a:effectLst/>
              </a:endParaRPr>
            </a:p>
            <a:p>
              <a:pPr algn="l"/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771525</xdr:colOff>
      <xdr:row>234</xdr:row>
      <xdr:rowOff>161926</xdr:rowOff>
    </xdr:from>
    <xdr:ext cx="1255688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/>
            <xdr:cNvSpPr txBox="1"/>
          </xdr:nvSpPr>
          <xdr:spPr>
            <a:xfrm>
              <a:off x="4848225" y="57654826"/>
              <a:ext cx="1255688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0.6 </m:t>
                    </m:r>
                    <m:sSub>
                      <m:sSub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31" name="TextBox 30"/>
            <xdr:cNvSpPr txBox="1"/>
          </xdr:nvSpPr>
          <xdr:spPr>
            <a:xfrm>
              <a:off x="4848225" y="57654826"/>
              <a:ext cx="1255688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0.6 𝑓_𝑦  𝐴_𝑤  𝐶_(𝑣,𝑦)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771525</xdr:colOff>
      <xdr:row>236</xdr:row>
      <xdr:rowOff>123826</xdr:rowOff>
    </xdr:from>
    <xdr:ext cx="1255688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/>
            <xdr:cNvSpPr txBox="1"/>
          </xdr:nvSpPr>
          <xdr:spPr>
            <a:xfrm>
              <a:off x="4848225" y="58378726"/>
              <a:ext cx="1255688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0.6 </m:t>
                    </m:r>
                    <m:sSub>
                      <m:sSub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𝑓</m:t>
                        </m:r>
                      </m:sub>
                    </m:sSub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𝑧</m:t>
                        </m:r>
                      </m:sub>
                    </m:sSub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32" name="TextBox 31"/>
            <xdr:cNvSpPr txBox="1"/>
          </xdr:nvSpPr>
          <xdr:spPr>
            <a:xfrm>
              <a:off x="4848225" y="58378726"/>
              <a:ext cx="1255688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0.6 𝑓_𝑦  𝐴_𝑓  𝐶_(𝑣,𝑧)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97631</xdr:colOff>
      <xdr:row>247</xdr:row>
      <xdr:rowOff>60722</xdr:rowOff>
    </xdr:from>
    <xdr:ext cx="1855188" cy="6648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/>
            <xdr:cNvSpPr txBox="1"/>
          </xdr:nvSpPr>
          <xdr:spPr>
            <a:xfrm>
              <a:off x="4174331" y="61363622"/>
              <a:ext cx="1855188" cy="6648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2 </m:t>
                    </m:r>
                    <m:d>
                      <m:d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 − </m:t>
                        </m:r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𝑓</m:t>
                            </m:r>
                          </m:sub>
                        </m:sSub>
                      </m:e>
                    </m:d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− </m:t>
                        </m:r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sub>
                        </m:sSub>
                      </m:e>
                    </m:d>
                    <m:r>
                      <a:rPr lang="en-IN" sz="1100" b="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</m:oMath>
                </m:oMathPara>
              </a14:m>
              <a:endParaRPr lang="en-IN" sz="1100" b="0" i="1">
                <a:solidFill>
                  <a:sysClr val="windowText" lastClr="000000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r>
                    <m:rPr>
                      <m:sty m:val="p"/>
                    </m:rPr>
                    <a:rPr lang="en-IN" sz="1100" b="0" i="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min</m:t>
                  </m:r>
                  <m:r>
                    <a:rPr lang="en-IN" sz="1100" b="0" i="1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⁡(</m:t>
                  </m:r>
                  <m:sSub>
                    <m:sSubPr>
                      <m:ctrlPr>
                        <a:rPr lang="en-IN" sz="11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IN" sz="11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𝑇</m:t>
                      </m:r>
                    </m:e>
                    <m:sub>
                      <m:r>
                        <a:rPr lang="en-IN" sz="11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𝑓</m:t>
                      </m:r>
                    </m:sub>
                  </m:sSub>
                </m:oMath>
              </a14:m>
              <a:r>
                <a:rPr lang="en-IN" sz="1100">
                  <a:solidFill>
                    <a:sysClr val="windowText" lastClr="000000"/>
                  </a:solidFill>
                </a:rPr>
                <a:t>,</a:t>
              </a:r>
              <a14:m>
                <m:oMath xmlns:m="http://schemas.openxmlformats.org/officeDocument/2006/math">
                  <m:sSub>
                    <m:sSubPr>
                      <m:ctrlPr>
                        <a:rPr lang="en-IN" sz="11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IN" sz="11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𝑇</m:t>
                      </m:r>
                    </m:e>
                    <m:sub>
                      <m:r>
                        <a:rPr lang="en-IN" sz="11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𝑤</m:t>
                      </m:r>
                    </m:sub>
                  </m:sSub>
                  <m:r>
                    <a:rPr lang="en-IN" sz="1100" b="0" i="1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 −4.5</m:t>
                  </m:r>
                  <m:d>
                    <m:dPr>
                      <m:ctrlPr>
                        <a:rPr lang="en-IN" sz="11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IN" sz="11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4−</m:t>
                      </m:r>
                      <m:r>
                        <a:rPr lang="en-IN" sz="11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𝜋</m:t>
                      </m:r>
                    </m:e>
                  </m:d>
                  <m:r>
                    <a:rPr lang="en-IN" sz="1100" b="0" i="1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∗</m:t>
                  </m:r>
                </m:oMath>
              </a14:m>
              <a:endParaRPr lang="en-IN" sz="1100" b="0" i="1">
                <a:solidFill>
                  <a:sysClr val="windowText" lastClr="000000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𝑚𝑖𝑛</m:t>
                            </m:r>
                            <m:d>
                              <m:d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𝑇</m:t>
                                    </m:r>
                                  </m:e>
                                  <m:sub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𝑓</m:t>
                                    </m:r>
                                  </m:sub>
                                </m:sSub>
                                <m:r>
                                  <m:rPr>
                                    <m:nor/>
                                  </m:rPr>
                                  <a:rPr lang="en-IN" sz="1100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sSub>
                                  <m:sSubPr>
                                    <m:ctrlP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𝑇</m:t>
                                    </m:r>
                                  </m:e>
                                  <m:sub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𝑤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</m:e>
                      <m:sup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33" name="TextBox 32"/>
            <xdr:cNvSpPr txBox="1"/>
          </xdr:nvSpPr>
          <xdr:spPr>
            <a:xfrm>
              <a:off x="4174331" y="61363622"/>
              <a:ext cx="1855188" cy="6648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2 (𝐵 − 𝑇_𝑓 )∗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(𝐷 − 𝑇_𝑤 )∗</a:t>
              </a:r>
              <a:endParaRPr lang="en-IN" sz="1100" b="0" i="1">
                <a:solidFill>
                  <a:sysClr val="windowText" lastClr="000000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min⁡(𝑇_𝑓</a:t>
              </a:r>
              <a:r>
                <a:rPr lang="en-IN" sz="1100">
                  <a:solidFill>
                    <a:sysClr val="windowText" lastClr="000000"/>
                  </a:solidFill>
                </a:rPr>
                <a:t>,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𝑇_𝑤) −4.5(4−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𝜋)∗</a:t>
              </a:r>
              <a:endParaRPr lang="en-IN" sz="1100" b="0" i="1">
                <a:solidFill>
                  <a:sysClr val="windowText" lastClr="000000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/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(𝑚𝑖𝑛(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𝑇_𝑓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IN" sz="1100" i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,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𝑇_𝑤 ))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^3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19050</xdr:colOff>
      <xdr:row>251</xdr:row>
      <xdr:rowOff>28575</xdr:rowOff>
    </xdr:from>
    <xdr:ext cx="2309222" cy="278951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/>
            <xdr:cNvSpPr txBox="1"/>
          </xdr:nvSpPr>
          <xdr:spPr>
            <a:xfrm>
              <a:off x="4095750" y="62998350"/>
              <a:ext cx="2309222" cy="27895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𝑖𝑓</m:t>
                    </m:r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f>
                      <m:f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h</m:t>
                        </m:r>
                      </m:num>
                      <m:den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</m:den>
                    </m:f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n-IN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≤2.45 </m:t>
                    </m:r>
                    <m:rad>
                      <m:radPr>
                        <m:degHide m:val="on"/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sub>
                            </m:sSub>
                          </m:den>
                        </m:f>
                      </m:e>
                    </m:rad>
                    <m:r>
                      <a:rPr lang="en-IN" sz="1100" b="0" i="0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IN" sz="1100" b="0" i="0">
                <a:solidFill>
                  <a:sysClr val="windowText" lastClr="000000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𝑐𝑟</m:t>
                        </m:r>
                      </m:sub>
                    </m:sSub>
                    <m:r>
                      <a:rPr lang="en-IN" sz="1100" b="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=0.6 </m:t>
                    </m:r>
                    <m:sSub>
                      <m:sSub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sub>
                    </m:sSub>
                    <m:r>
                      <a:rPr lang="en-IN" sz="1100" b="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IN" sz="1100" b="0" i="1">
                <a:solidFill>
                  <a:sysClr val="windowText" lastClr="000000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algn="l" eaLnBrk="1" fontAlgn="auto" latinLnBrk="0" hangingPunct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𝑖𝑓</m:t>
                    </m:r>
                    <m:r>
                      <a:rPr lang="en-IN" sz="1100" b="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2.45 </m:t>
                    </m:r>
                    <m:rad>
                      <m:radPr>
                        <m:degHide m:val="on"/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sub>
                            </m:sSub>
                          </m:den>
                        </m:f>
                      </m:e>
                    </m:rad>
                    <m:r>
                      <a:rPr lang="en-IN" sz="1100" b="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IN" sz="1100" b="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&lt; </m:t>
                    </m:r>
                    <m:f>
                      <m:f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num>
                      <m:den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sub>
                        </m:sSub>
                      </m:den>
                    </m:f>
                    <m:r>
                      <a:rPr lang="en-IN" sz="1100" b="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≤3.07 </m:t>
                    </m:r>
                    <m:rad>
                      <m:radPr>
                        <m:degHide m:val="on"/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sub>
                            </m:sSub>
                          </m:den>
                        </m:f>
                      </m:e>
                    </m:rad>
                    <m:r>
                      <a:rPr lang="en-IN" sz="1100" b="0" i="0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IN">
                <a:solidFill>
                  <a:sysClr val="windowText" lastClr="000000"/>
                </a:solidFill>
                <a:effectLst/>
              </a:endParaRPr>
            </a:p>
            <a:p>
              <a:pPr algn="l" eaLnBrk="1" fontAlgn="auto" latinLnBrk="0" hangingPunct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𝑐𝑟</m:t>
                        </m:r>
                      </m:sub>
                    </m:sSub>
                    <m:r>
                      <a:rPr lang="en-IN" sz="1100" b="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0.6 </m:t>
                        </m:r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sub>
                        </m:sSub>
                        <m:d>
                          <m:d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2.45</m:t>
                            </m:r>
                            <m:rad>
                              <m:radPr>
                                <m:degHide m:val="on"/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radPr>
                              <m:deg/>
                              <m:e>
                                <m:f>
                                  <m:fPr>
                                    <m:type m:val="lin"/>
                                    <m:ctrlP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sSub>
                                      <m:sSubPr>
                                        <m:ctrlPr>
                                          <a:rPr lang="en-IN" sz="1100" i="1">
                                            <a:solidFill>
                                              <a:sysClr val="windowText" lastClr="000000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IN" sz="1100" b="0" i="1">
                                            <a:solidFill>
                                              <a:sysClr val="windowText" lastClr="000000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𝐸</m:t>
                                        </m:r>
                                      </m:e>
                                      <m:sub>
                                        <m:r>
                                          <a:rPr lang="en-IN" sz="1100" b="0" i="1">
                                            <a:solidFill>
                                              <a:sysClr val="windowText" lastClr="000000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𝑠</m:t>
                                        </m:r>
                                      </m:sub>
                                    </m:sSub>
                                  </m:num>
                                  <m:den>
                                    <m:sSub>
                                      <m:sSubPr>
                                        <m:ctrlPr>
                                          <a:rPr lang="en-IN" sz="1100" i="1">
                                            <a:solidFill>
                                              <a:sysClr val="windowText" lastClr="000000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IN" sz="1100" b="0" i="1">
                                            <a:solidFill>
                                              <a:sysClr val="windowText" lastClr="000000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𝑓</m:t>
                                        </m:r>
                                      </m:e>
                                      <m:sub>
                                        <m:r>
                                          <a:rPr lang="en-IN" sz="1100" b="0" i="1">
                                            <a:solidFill>
                                              <a:sysClr val="windowText" lastClr="000000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𝑦</m:t>
                                        </m:r>
                                      </m:sub>
                                    </m:sSub>
                                  </m:den>
                                </m:f>
                              </m:e>
                            </m:rad>
                          </m:e>
                        </m:d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num>
                      <m:den>
                        <m:f>
                          <m:fPr>
                            <m:type m:val="lin"/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num>
                          <m:den>
                            <m:sSub>
                              <m:sSub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𝑤</m:t>
                                </m:r>
                              </m:sub>
                            </m:sSub>
                          </m:den>
                        </m:f>
                      </m:den>
                    </m:f>
                    <m:r>
                      <a:rPr lang="en-IN" sz="1100" b="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</m:t>
                    </m:r>
                  </m:oMath>
                </m:oMathPara>
              </a14:m>
              <a:endParaRPr lang="en-IN" sz="1100" b="0" i="1">
                <a:solidFill>
                  <a:sysClr val="windowText" lastClr="000000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algn="l" eaLnBrk="1" fontAlgn="auto" latinLnBrk="0" hangingPunct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𝑖𝑓</m:t>
                    </m:r>
                    <m:r>
                      <a:rPr lang="en-IN" sz="1100" b="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3.07 </m:t>
                    </m:r>
                    <m:rad>
                      <m:radPr>
                        <m:degHide m:val="on"/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sub>
                            </m:sSub>
                          </m:den>
                        </m:f>
                      </m:e>
                    </m:rad>
                    <m:r>
                      <a:rPr lang="en-IN" sz="1100" b="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&lt; </m:t>
                    </m:r>
                    <m:f>
                      <m:f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num>
                      <m:den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sub>
                        </m:sSub>
                      </m:den>
                    </m:f>
                    <m:r>
                      <a:rPr lang="en-IN" sz="1100" b="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≤260 </m:t>
                    </m:r>
                  </m:oMath>
                </m:oMathPara>
              </a14:m>
              <a:endParaRPr lang="en-IN">
                <a:solidFill>
                  <a:sysClr val="windowText" lastClr="000000"/>
                </a:solidFill>
                <a:effectLst/>
              </a:endParaRPr>
            </a:p>
            <a:p>
              <a:pPr algn="l" eaLnBrk="1" fontAlgn="auto" latinLnBrk="0" hangingPunct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𝑐𝑟</m:t>
                        </m:r>
                      </m:sub>
                    </m:sSub>
                    <m:r>
                      <a:rPr lang="en-IN" sz="1100" b="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0.458  </m:t>
                        </m:r>
                        <m:sSup>
                          <m:sSup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𝜋</m:t>
                            </m:r>
                          </m:e>
                          <m:sup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sSub>
                          <m:sSub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num>
                      <m:den>
                        <m:sSup>
                          <m:sSupPr>
                            <m:ctrlP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type m:val="lin"/>
                                    <m:ctrlP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IN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h</m:t>
                                    </m:r>
                                  </m:num>
                                  <m:den>
                                    <m:sSub>
                                      <m:sSubPr>
                                        <m:ctrlPr>
                                          <a:rPr lang="en-IN" sz="1100" b="0" i="1">
                                            <a:solidFill>
                                              <a:sysClr val="windowText" lastClr="000000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IN" sz="1100" b="0" i="1">
                                            <a:solidFill>
                                              <a:sysClr val="windowText" lastClr="000000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𝑇</m:t>
                                        </m:r>
                                      </m:e>
                                      <m:sub>
                                        <m:r>
                                          <a:rPr lang="en-IN" sz="1100" b="0" i="1">
                                            <a:solidFill>
                                              <a:sysClr val="windowText" lastClr="000000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𝑤</m:t>
                                        </m:r>
                                      </m:sub>
                                    </m:sSub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IN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den>
                    </m:f>
                  </m:oMath>
                </m:oMathPara>
              </a14:m>
              <a:endParaRPr lang="en-IN">
                <a:solidFill>
                  <a:sysClr val="windowText" lastClr="000000"/>
                </a:solidFill>
                <a:effectLst/>
              </a:endParaRPr>
            </a:p>
            <a:p>
              <a:pPr algn="l"/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34" name="TextBox 33"/>
            <xdr:cNvSpPr txBox="1"/>
          </xdr:nvSpPr>
          <xdr:spPr>
            <a:xfrm>
              <a:off x="4095750" y="62998350"/>
              <a:ext cx="2309222" cy="27895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𝑖𝑓  ℎ/𝑇_𝑤   </a:t>
              </a:r>
              <a:r>
                <a:rPr lang="en-IN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≤2.45 </a:t>
              </a:r>
              <a:r>
                <a:rPr lang="en-IN" sz="110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√((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𝐸_𝑠)/𝑓_𝑦 )  </a:t>
              </a: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𝐹_𝑐𝑟=0.6 𝑓_𝑦  </a:t>
              </a:r>
              <a:endParaRPr lang="en-IN" sz="1100" b="0" i="1">
                <a:solidFill>
                  <a:sysClr val="windowText" lastClr="000000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algn="l" eaLnBrk="1" fontAlgn="auto" latinLnBrk="0" hangingPunct="1"/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𝑖𝑓 2.45 </a:t>
              </a:r>
              <a:r>
                <a:rPr lang="en-IN" sz="110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√((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𝐸_𝑠)/𝑓_𝑦 )  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&lt; 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ℎ/𝑇_𝑤   ≤3.07 </a:t>
              </a:r>
              <a:r>
                <a:rPr lang="en-IN" sz="110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√((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𝐸_𝑠)/𝑓_𝑦 )  </a:t>
              </a:r>
              <a:endParaRPr lang="en-IN">
                <a:solidFill>
                  <a:sysClr val="windowText" lastClr="000000"/>
                </a:solidFill>
                <a:effectLst/>
              </a:endParaRPr>
            </a:p>
            <a:p>
              <a:pPr algn="l" eaLnBrk="1" fontAlgn="auto" latinLnBrk="0" hangingPunct="1"/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𝐹_𝑐𝑟=( 0.6 𝑓_𝑦 (2.45√(𝐸_𝑠∕𝑓_𝑦 ))  )/(ℎ∕𝑇_𝑤 )   </a:t>
              </a:r>
              <a:endParaRPr lang="en-IN" sz="1100" b="0" i="1">
                <a:solidFill>
                  <a:sysClr val="windowText" lastClr="000000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algn="l" eaLnBrk="1" fontAlgn="auto" latinLnBrk="0" hangingPunct="1"/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𝑖𝑓 3.07 </a:t>
              </a:r>
              <a:r>
                <a:rPr lang="en-IN" sz="110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√((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𝐸_𝑠)/𝑓_𝑦 )  &lt;  ℎ/𝑇_𝑤   ≤260 </a:t>
              </a:r>
              <a:endParaRPr lang="en-IN">
                <a:solidFill>
                  <a:sysClr val="windowText" lastClr="000000"/>
                </a:solidFill>
                <a:effectLst/>
              </a:endParaRPr>
            </a:p>
            <a:p>
              <a:pPr algn="l" eaLnBrk="1" fontAlgn="auto" latinLnBrk="0" hangingPunct="1"/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𝐹_𝑐𝑟=(0.458  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𝜋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𝐸_𝑠  )/((ℎ∕𝑇_𝑤 )^2  )</a:t>
              </a:r>
              <a:endParaRPr lang="en-IN">
                <a:solidFill>
                  <a:sysClr val="windowText" lastClr="000000"/>
                </a:solidFill>
                <a:effectLst/>
              </a:endParaRPr>
            </a:p>
            <a:p>
              <a:pPr algn="l"/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1143000</xdr:colOff>
      <xdr:row>249</xdr:row>
      <xdr:rowOff>43898</xdr:rowOff>
    </xdr:from>
    <xdr:ext cx="381000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/>
            <xdr:cNvSpPr txBox="1"/>
          </xdr:nvSpPr>
          <xdr:spPr>
            <a:xfrm>
              <a:off x="5219700" y="62165948"/>
              <a:ext cx="381000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IN" sz="110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IN" sz="110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IN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35" name="TextBox 34"/>
            <xdr:cNvSpPr txBox="1"/>
          </xdr:nvSpPr>
          <xdr:spPr>
            <a:xfrm>
              <a:off x="5219700" y="62165948"/>
              <a:ext cx="381000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N" sz="110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√((</a:t>
              </a:r>
              <a:r>
                <a:rPr lang="en-IN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𝐸_𝑠)/𝑓_𝑦 )</a:t>
              </a:r>
              <a:endParaRPr lang="en-IN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twoCellAnchor editAs="oneCell">
    <xdr:from>
      <xdr:col>8</xdr:col>
      <xdr:colOff>571500</xdr:colOff>
      <xdr:row>1</xdr:row>
      <xdr:rowOff>122463</xdr:rowOff>
    </xdr:from>
    <xdr:to>
      <xdr:col>13</xdr:col>
      <xdr:colOff>312965</xdr:colOff>
      <xdr:row>16</xdr:row>
      <xdr:rowOff>168149</xdr:rowOff>
    </xdr:to>
    <xdr:pic>
      <xdr:nvPicPr>
        <xdr:cNvPr id="36" name="Picture 35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</a:extLst>
        </a:blip>
        <a:srcRect l="15119" t="7592" r="21381" b="9846"/>
        <a:stretch/>
      </xdr:blipFill>
      <xdr:spPr>
        <a:xfrm>
          <a:off x="9429750" y="503463"/>
          <a:ext cx="2803072" cy="29031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0"/>
  <sheetViews>
    <sheetView workbookViewId="0">
      <selection activeCell="I18" sqref="I18"/>
    </sheetView>
  </sheetViews>
  <sheetFormatPr defaultRowHeight="15" x14ac:dyDescent="0.25"/>
  <cols>
    <col min="1" max="1" width="19.140625" bestFit="1" customWidth="1"/>
    <col min="2" max="2" width="38.140625" bestFit="1" customWidth="1"/>
  </cols>
  <sheetData>
    <row r="1" spans="1:2" ht="18.75" x14ac:dyDescent="0.3">
      <c r="A1" s="352" t="s">
        <v>382</v>
      </c>
      <c r="B1" s="352"/>
    </row>
    <row r="2" spans="1:2" x14ac:dyDescent="0.25">
      <c r="A2" s="107" t="s">
        <v>217</v>
      </c>
      <c r="B2" s="107" t="s">
        <v>383</v>
      </c>
    </row>
    <row r="3" spans="1:2" x14ac:dyDescent="0.25">
      <c r="A3" s="3" t="s">
        <v>384</v>
      </c>
      <c r="B3" s="108" t="s">
        <v>385</v>
      </c>
    </row>
    <row r="4" spans="1:2" x14ac:dyDescent="0.25">
      <c r="A4" s="3" t="s">
        <v>386</v>
      </c>
      <c r="B4" s="108" t="s">
        <v>387</v>
      </c>
    </row>
    <row r="5" spans="1:2" x14ac:dyDescent="0.25">
      <c r="A5" s="3" t="s">
        <v>388</v>
      </c>
      <c r="B5" s="108" t="s">
        <v>389</v>
      </c>
    </row>
    <row r="6" spans="1:2" x14ac:dyDescent="0.25">
      <c r="A6" s="3" t="s">
        <v>380</v>
      </c>
      <c r="B6" s="108" t="s">
        <v>390</v>
      </c>
    </row>
    <row r="7" spans="1:2" x14ac:dyDescent="0.25">
      <c r="A7" s="3" t="s">
        <v>381</v>
      </c>
      <c r="B7" s="108" t="s">
        <v>390</v>
      </c>
    </row>
    <row r="8" spans="1:2" x14ac:dyDescent="0.25">
      <c r="A8" s="3" t="s">
        <v>391</v>
      </c>
      <c r="B8" s="108" t="s">
        <v>392</v>
      </c>
    </row>
    <row r="9" spans="1:2" ht="18.75" x14ac:dyDescent="0.3">
      <c r="A9" s="352" t="s">
        <v>393</v>
      </c>
      <c r="B9" s="352"/>
    </row>
    <row r="10" spans="1:2" x14ac:dyDescent="0.25">
      <c r="A10" s="107" t="s">
        <v>217</v>
      </c>
      <c r="B10" s="107" t="s">
        <v>383</v>
      </c>
    </row>
    <row r="11" spans="1:2" x14ac:dyDescent="0.25">
      <c r="A11" s="3" t="s">
        <v>394</v>
      </c>
      <c r="B11" s="3" t="s">
        <v>395</v>
      </c>
    </row>
    <row r="12" spans="1:2" x14ac:dyDescent="0.25">
      <c r="A12" s="3" t="s">
        <v>396</v>
      </c>
      <c r="B12" s="3" t="s">
        <v>397</v>
      </c>
    </row>
    <row r="13" spans="1:2" x14ac:dyDescent="0.25">
      <c r="A13" s="3" t="s">
        <v>398</v>
      </c>
      <c r="B13" s="3" t="s">
        <v>399</v>
      </c>
    </row>
    <row r="14" spans="1:2" x14ac:dyDescent="0.25">
      <c r="A14" s="3" t="s">
        <v>400</v>
      </c>
      <c r="B14" s="3" t="s">
        <v>401</v>
      </c>
    </row>
    <row r="15" spans="1:2" x14ac:dyDescent="0.25">
      <c r="A15" s="3" t="s">
        <v>402</v>
      </c>
      <c r="B15" s="3" t="s">
        <v>403</v>
      </c>
    </row>
    <row r="16" spans="1:2" x14ac:dyDescent="0.25">
      <c r="A16" s="3" t="s">
        <v>404</v>
      </c>
      <c r="B16" s="3" t="s">
        <v>405</v>
      </c>
    </row>
    <row r="17" spans="1:2" x14ac:dyDescent="0.25">
      <c r="A17" s="3" t="s">
        <v>406</v>
      </c>
      <c r="B17" s="3" t="s">
        <v>407</v>
      </c>
    </row>
    <row r="18" spans="1:2" x14ac:dyDescent="0.25">
      <c r="A18" s="3" t="s">
        <v>408</v>
      </c>
      <c r="B18" s="3" t="s">
        <v>409</v>
      </c>
    </row>
    <row r="19" spans="1:2" x14ac:dyDescent="0.25">
      <c r="A19" s="3" t="s">
        <v>410</v>
      </c>
      <c r="B19" s="3" t="s">
        <v>411</v>
      </c>
    </row>
    <row r="20" spans="1:2" x14ac:dyDescent="0.25">
      <c r="A20" s="3" t="s">
        <v>412</v>
      </c>
      <c r="B20" s="3" t="s">
        <v>413</v>
      </c>
    </row>
  </sheetData>
  <mergeCells count="2">
    <mergeCell ref="A1:B1"/>
    <mergeCell ref="A9:B9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70C0"/>
  </sheetPr>
  <dimension ref="A1:U255"/>
  <sheetViews>
    <sheetView zoomScaleNormal="100" workbookViewId="0">
      <pane xSplit="1" ySplit="1" topLeftCell="B20" activePane="bottomRight" state="frozen"/>
      <selection activeCell="I29" sqref="I29"/>
      <selection pane="topRight" activeCell="I29" sqref="I29"/>
      <selection pane="bottomLeft" activeCell="I29" sqref="I29"/>
      <selection pane="bottomRight" activeCell="J29" sqref="J29"/>
    </sheetView>
  </sheetViews>
  <sheetFormatPr defaultRowHeight="15" x14ac:dyDescent="0.25"/>
  <cols>
    <col min="1" max="1" width="5.28515625" style="1" customWidth="1"/>
    <col min="2" max="2" width="37.28515625" style="60" customWidth="1"/>
    <col min="3" max="3" width="10.5703125" style="1" customWidth="1"/>
    <col min="4" max="4" width="8" style="1" customWidth="1"/>
    <col min="5" max="5" width="28.28515625" style="35" customWidth="1"/>
    <col min="6" max="6" width="17.85546875" style="1" customWidth="1"/>
    <col min="7" max="7" width="11" style="1" customWidth="1"/>
    <col min="8" max="8" width="11.28515625" style="1" bestFit="1" customWidth="1"/>
    <col min="9" max="9" width="10.140625" style="1" customWidth="1"/>
    <col min="10" max="10" width="9.85546875" style="1" customWidth="1"/>
    <col min="11" max="11" width="19.42578125" style="1" bestFit="1" customWidth="1"/>
    <col min="12" max="16" width="7.7109375" style="1" customWidth="1"/>
    <col min="17" max="17" width="15.28515625" style="1" bestFit="1" customWidth="1"/>
    <col min="18" max="16384" width="9.140625" style="1"/>
  </cols>
  <sheetData>
    <row r="1" spans="1:21" s="2" customFormat="1" ht="30" x14ac:dyDescent="0.25">
      <c r="A1" s="8" t="s">
        <v>0</v>
      </c>
      <c r="B1" s="9" t="s">
        <v>1</v>
      </c>
      <c r="C1" s="9" t="s">
        <v>3</v>
      </c>
      <c r="D1" s="9" t="s">
        <v>2</v>
      </c>
      <c r="E1" s="9" t="s">
        <v>210</v>
      </c>
      <c r="F1" s="10" t="s">
        <v>21</v>
      </c>
      <c r="G1" s="2" t="s">
        <v>28</v>
      </c>
      <c r="Q1" s="152" t="s">
        <v>449</v>
      </c>
      <c r="R1" s="152" t="s">
        <v>342</v>
      </c>
      <c r="T1" s="152" t="s">
        <v>628</v>
      </c>
      <c r="U1" s="152" t="s">
        <v>61</v>
      </c>
    </row>
    <row r="2" spans="1:21" x14ac:dyDescent="0.25">
      <c r="A2" s="11">
        <v>1</v>
      </c>
      <c r="B2" s="59" t="s">
        <v>9</v>
      </c>
      <c r="C2" s="4"/>
      <c r="D2" s="4"/>
      <c r="E2" s="36"/>
      <c r="F2" s="12"/>
      <c r="G2" s="1" t="s">
        <v>39</v>
      </c>
      <c r="Q2" s="77" t="s">
        <v>450</v>
      </c>
      <c r="R2" s="77">
        <v>0.21</v>
      </c>
      <c r="T2" s="77" t="s">
        <v>120</v>
      </c>
      <c r="U2" s="77">
        <v>0.21</v>
      </c>
    </row>
    <row r="3" spans="1:21" x14ac:dyDescent="0.25">
      <c r="A3" s="32"/>
      <c r="B3" s="68" t="s">
        <v>128</v>
      </c>
      <c r="C3" s="5"/>
      <c r="D3" s="5"/>
      <c r="E3" s="37">
        <v>1</v>
      </c>
      <c r="F3" s="6"/>
      <c r="G3" s="1" t="s">
        <v>40</v>
      </c>
      <c r="Q3" s="77" t="s">
        <v>451</v>
      </c>
      <c r="R3" s="77">
        <v>0.49</v>
      </c>
      <c r="T3" s="77" t="s">
        <v>121</v>
      </c>
      <c r="U3" s="77">
        <v>0.34</v>
      </c>
    </row>
    <row r="4" spans="1:21" x14ac:dyDescent="0.25">
      <c r="A4" s="7"/>
      <c r="B4" s="68" t="s">
        <v>10</v>
      </c>
      <c r="C4" s="5" t="s">
        <v>11</v>
      </c>
      <c r="D4" s="5" t="s">
        <v>12</v>
      </c>
      <c r="E4" s="31">
        <v>-17.4969</v>
      </c>
      <c r="F4" s="6" t="s">
        <v>129</v>
      </c>
      <c r="G4" s="1" t="s">
        <v>40</v>
      </c>
      <c r="T4" s="77" t="s">
        <v>122</v>
      </c>
      <c r="U4" s="77">
        <v>0.49</v>
      </c>
    </row>
    <row r="5" spans="1:21" ht="17.25" x14ac:dyDescent="0.25">
      <c r="A5" s="7"/>
      <c r="B5" s="68" t="s">
        <v>631</v>
      </c>
      <c r="C5" s="5" t="s">
        <v>377</v>
      </c>
      <c r="D5" s="5" t="s">
        <v>12</v>
      </c>
      <c r="E5" s="31">
        <v>-185.88</v>
      </c>
      <c r="F5" s="6" t="s">
        <v>633</v>
      </c>
      <c r="G5" s="1" t="s">
        <v>40</v>
      </c>
      <c r="T5" s="77" t="s">
        <v>629</v>
      </c>
      <c r="U5" s="77">
        <v>0.76</v>
      </c>
    </row>
    <row r="6" spans="1:21" ht="17.25" x14ac:dyDescent="0.25">
      <c r="A6" s="7"/>
      <c r="B6" s="68" t="s">
        <v>632</v>
      </c>
      <c r="C6" s="5" t="s">
        <v>378</v>
      </c>
      <c r="D6" s="5" t="s">
        <v>12</v>
      </c>
      <c r="E6" s="31">
        <v>-15.99</v>
      </c>
      <c r="F6" s="6" t="s">
        <v>634</v>
      </c>
      <c r="G6" s="1" t="s">
        <v>40</v>
      </c>
    </row>
    <row r="7" spans="1:21" x14ac:dyDescent="0.25">
      <c r="A7" s="7"/>
      <c r="B7" s="68" t="s">
        <v>15</v>
      </c>
      <c r="C7" s="5" t="s">
        <v>16</v>
      </c>
      <c r="D7" s="5" t="s">
        <v>7</v>
      </c>
      <c r="E7" s="31">
        <v>0</v>
      </c>
      <c r="F7" s="6"/>
      <c r="G7" s="1" t="s">
        <v>40</v>
      </c>
    </row>
    <row r="8" spans="1:21" x14ac:dyDescent="0.25">
      <c r="A8" s="7"/>
      <c r="B8" s="68" t="s">
        <v>17</v>
      </c>
      <c r="C8" s="5" t="s">
        <v>379</v>
      </c>
      <c r="D8" s="5" t="s">
        <v>7</v>
      </c>
      <c r="E8" s="31">
        <v>-408</v>
      </c>
      <c r="F8" s="6" t="s">
        <v>635</v>
      </c>
      <c r="G8" s="1" t="s">
        <v>40</v>
      </c>
      <c r="J8"/>
      <c r="K8"/>
      <c r="L8"/>
    </row>
    <row r="9" spans="1:21" x14ac:dyDescent="0.25">
      <c r="A9" s="7"/>
      <c r="B9" s="68" t="s">
        <v>19</v>
      </c>
      <c r="C9" s="5" t="s">
        <v>374</v>
      </c>
      <c r="D9" s="5" t="s">
        <v>7</v>
      </c>
      <c r="E9" s="31">
        <v>-36.11</v>
      </c>
      <c r="F9" s="6" t="s">
        <v>636</v>
      </c>
      <c r="G9" s="1" t="s">
        <v>40</v>
      </c>
      <c r="J9"/>
      <c r="K9"/>
      <c r="L9"/>
    </row>
    <row r="10" spans="1:21" customFormat="1" x14ac:dyDescent="0.25">
      <c r="A10" s="7"/>
      <c r="B10" s="68" t="s">
        <v>713</v>
      </c>
      <c r="C10" s="14" t="s">
        <v>153</v>
      </c>
      <c r="D10" s="5" t="s">
        <v>236</v>
      </c>
      <c r="E10" s="39">
        <f>5/5</f>
        <v>1</v>
      </c>
      <c r="F10" s="6" t="s">
        <v>714</v>
      </c>
      <c r="G10" s="1"/>
      <c r="H10" s="1"/>
    </row>
    <row r="11" spans="1:21" x14ac:dyDescent="0.25">
      <c r="A11" s="7"/>
      <c r="B11" s="68"/>
      <c r="C11" s="5"/>
      <c r="D11" s="5"/>
      <c r="E11" s="38"/>
      <c r="F11" s="6"/>
      <c r="J11"/>
      <c r="K11"/>
      <c r="L11"/>
    </row>
    <row r="12" spans="1:21" customFormat="1" x14ac:dyDescent="0.25">
      <c r="A12" s="11">
        <v>2</v>
      </c>
      <c r="B12" s="59" t="s">
        <v>24</v>
      </c>
      <c r="C12" s="4"/>
      <c r="D12" s="4"/>
      <c r="E12" s="36"/>
      <c r="F12" s="12"/>
      <c r="G12" s="1"/>
      <c r="H12" s="1"/>
      <c r="I12" s="1"/>
    </row>
    <row r="13" spans="1:21" customFormat="1" x14ac:dyDescent="0.25">
      <c r="A13" s="7"/>
      <c r="B13" s="68" t="s">
        <v>4</v>
      </c>
      <c r="C13" s="5" t="s">
        <v>5</v>
      </c>
      <c r="D13" s="5" t="s">
        <v>8</v>
      </c>
      <c r="E13" s="39">
        <v>4000</v>
      </c>
      <c r="F13" s="6"/>
      <c r="G13" s="1" t="s">
        <v>40</v>
      </c>
      <c r="H13" s="1"/>
      <c r="I13" s="1"/>
    </row>
    <row r="14" spans="1:21" customFormat="1" x14ac:dyDescent="0.25">
      <c r="A14" s="7"/>
      <c r="B14" s="68" t="s">
        <v>232</v>
      </c>
      <c r="C14" s="5" t="s">
        <v>169</v>
      </c>
      <c r="D14" s="5" t="s">
        <v>236</v>
      </c>
      <c r="E14" s="39">
        <v>0.92500000000000004</v>
      </c>
      <c r="F14" s="6"/>
      <c r="G14" s="1" t="s">
        <v>40</v>
      </c>
      <c r="H14" s="1"/>
      <c r="I14" s="1"/>
    </row>
    <row r="15" spans="1:21" customFormat="1" x14ac:dyDescent="0.25">
      <c r="A15" s="7"/>
      <c r="B15" s="68" t="s">
        <v>233</v>
      </c>
      <c r="C15" s="5" t="s">
        <v>168</v>
      </c>
      <c r="D15" s="5" t="s">
        <v>236</v>
      </c>
      <c r="E15" s="39">
        <v>0.92500000000000004</v>
      </c>
      <c r="F15" s="6"/>
      <c r="G15" s="1" t="s">
        <v>40</v>
      </c>
      <c r="H15" s="1"/>
      <c r="I15" s="1"/>
    </row>
    <row r="16" spans="1:21" customFormat="1" x14ac:dyDescent="0.25">
      <c r="A16" s="7"/>
      <c r="B16" s="68" t="s">
        <v>234</v>
      </c>
      <c r="C16" s="5" t="s">
        <v>260</v>
      </c>
      <c r="D16" s="5" t="s">
        <v>8</v>
      </c>
      <c r="E16" s="47">
        <f>E14*E13</f>
        <v>3700</v>
      </c>
      <c r="F16" s="6"/>
      <c r="G16" s="1"/>
      <c r="H16" s="1"/>
      <c r="I16" s="1"/>
    </row>
    <row r="17" spans="1:12" customFormat="1" x14ac:dyDescent="0.25">
      <c r="A17" s="7"/>
      <c r="B17" s="68" t="s">
        <v>235</v>
      </c>
      <c r="C17" s="5" t="s">
        <v>261</v>
      </c>
      <c r="D17" s="5" t="s">
        <v>8</v>
      </c>
      <c r="E17" s="47">
        <f>E15*E13</f>
        <v>3700</v>
      </c>
      <c r="F17" s="6"/>
      <c r="G17" s="1"/>
      <c r="H17" s="1"/>
    </row>
    <row r="18" spans="1:12" x14ac:dyDescent="0.25">
      <c r="A18" s="7"/>
      <c r="B18" s="68"/>
      <c r="C18" s="5"/>
      <c r="D18" s="5"/>
      <c r="E18" s="38"/>
      <c r="F18" s="6"/>
      <c r="J18"/>
      <c r="K18"/>
      <c r="L18"/>
    </row>
    <row r="19" spans="1:12" customFormat="1" x14ac:dyDescent="0.25">
      <c r="A19" s="11">
        <v>3</v>
      </c>
      <c r="B19" s="59" t="s">
        <v>637</v>
      </c>
      <c r="C19" s="4"/>
      <c r="D19" s="4"/>
      <c r="E19" s="36"/>
      <c r="F19" s="12"/>
      <c r="G19" s="1"/>
      <c r="H19" s="1"/>
      <c r="I19" s="1"/>
    </row>
    <row r="20" spans="1:12" customFormat="1" x14ac:dyDescent="0.25">
      <c r="A20" s="7"/>
      <c r="B20" s="68" t="s">
        <v>448</v>
      </c>
      <c r="C20" s="5"/>
      <c r="D20" s="5"/>
      <c r="E20" s="98" t="s">
        <v>450</v>
      </c>
      <c r="F20" s="6" t="s">
        <v>630</v>
      </c>
      <c r="G20" s="1" t="s">
        <v>40</v>
      </c>
      <c r="H20" s="1"/>
      <c r="I20" s="1"/>
    </row>
    <row r="21" spans="1:12" customFormat="1" x14ac:dyDescent="0.25">
      <c r="A21" s="7"/>
      <c r="B21" s="68" t="s">
        <v>452</v>
      </c>
      <c r="C21" s="5"/>
      <c r="D21" s="5"/>
      <c r="E21" s="98" t="s">
        <v>521</v>
      </c>
      <c r="F21" s="6" t="s">
        <v>630</v>
      </c>
      <c r="G21" s="1"/>
      <c r="H21" s="1"/>
      <c r="I21" s="1"/>
    </row>
    <row r="22" spans="1:12" customFormat="1" x14ac:dyDescent="0.25">
      <c r="A22" s="7"/>
      <c r="B22" s="68" t="s">
        <v>622</v>
      </c>
      <c r="C22" s="5"/>
      <c r="D22" s="5"/>
      <c r="E22" s="98" t="str">
        <f>IF(E20=Q3,"BUI_"&amp;E23&amp;"x"&amp;IF(E24=E26,E24,E24&amp;"\"&amp;E26)&amp;"x"&amp;IF(E25=E27,E25,E25&amp;"\"&amp;E27)&amp;"x"&amp;E28,"")</f>
        <v/>
      </c>
      <c r="F22" s="6"/>
      <c r="G22" s="1" t="s">
        <v>40</v>
      </c>
      <c r="H22" s="1"/>
      <c r="I22" s="50" t="s">
        <v>623</v>
      </c>
    </row>
    <row r="23" spans="1:12" customFormat="1" x14ac:dyDescent="0.25">
      <c r="A23" s="7"/>
      <c r="B23" s="68" t="s">
        <v>225</v>
      </c>
      <c r="C23" s="5" t="s">
        <v>223</v>
      </c>
      <c r="D23" s="5" t="s">
        <v>8</v>
      </c>
      <c r="E23" s="47">
        <f>IFERROR(VLOOKUP($E$21,'UB-UC'!$A$2:$G$159,3,FALSE),"")</f>
        <v>539.5</v>
      </c>
      <c r="F23" s="6" t="s">
        <v>705</v>
      </c>
      <c r="G23" s="1" t="s">
        <v>40</v>
      </c>
      <c r="H23" s="1"/>
      <c r="I23" s="39">
        <f>IFERROR(VLOOKUP($E$21,'UB-UC'!$A$2:$G$159,3,FALSE),"")</f>
        <v>539.5</v>
      </c>
    </row>
    <row r="24" spans="1:12" customFormat="1" x14ac:dyDescent="0.25">
      <c r="A24" s="7"/>
      <c r="B24" s="68" t="s">
        <v>310</v>
      </c>
      <c r="C24" s="5" t="s">
        <v>314</v>
      </c>
      <c r="D24" s="5" t="s">
        <v>8</v>
      </c>
      <c r="E24" s="47">
        <f>IFERROR(VLOOKUP($E$21,'UB-UC'!$A$2:$G$159,4,FALSE),"")</f>
        <v>210.8</v>
      </c>
      <c r="F24" s="6" t="s">
        <v>705</v>
      </c>
      <c r="G24" s="1" t="s">
        <v>40</v>
      </c>
      <c r="H24" s="1"/>
      <c r="I24" s="39">
        <f>IFERROR(VLOOKUP($E$21,'UB-UC'!$A$2:$G$159,4,FALSE),"")</f>
        <v>210.8</v>
      </c>
    </row>
    <row r="25" spans="1:12" customFormat="1" x14ac:dyDescent="0.25">
      <c r="A25" s="7"/>
      <c r="B25" s="68" t="s">
        <v>311</v>
      </c>
      <c r="C25" s="5" t="s">
        <v>315</v>
      </c>
      <c r="D25" s="5" t="s">
        <v>8</v>
      </c>
      <c r="E25" s="47">
        <f>IFERROR(VLOOKUP($E$21,'UB-UC'!$A$2:$G$159,5,FALSE),"")</f>
        <v>18.8</v>
      </c>
      <c r="F25" s="6" t="s">
        <v>705</v>
      </c>
      <c r="G25" s="1" t="s">
        <v>40</v>
      </c>
      <c r="H25" s="1"/>
      <c r="I25" s="39">
        <f>IFERROR(VLOOKUP($E$21,'UB-UC'!$A$2:$G$159,5,FALSE),"")</f>
        <v>18.8</v>
      </c>
    </row>
    <row r="26" spans="1:12" customFormat="1" x14ac:dyDescent="0.25">
      <c r="A26" s="7"/>
      <c r="B26" s="68" t="s">
        <v>312</v>
      </c>
      <c r="C26" s="5" t="s">
        <v>316</v>
      </c>
      <c r="D26" s="5" t="s">
        <v>8</v>
      </c>
      <c r="E26" s="47">
        <f>E24</f>
        <v>210.8</v>
      </c>
      <c r="F26" s="6" t="s">
        <v>705</v>
      </c>
      <c r="G26" s="1"/>
      <c r="H26" s="1"/>
      <c r="I26" s="39">
        <f>I24</f>
        <v>210.8</v>
      </c>
    </row>
    <row r="27" spans="1:12" customFormat="1" x14ac:dyDescent="0.25">
      <c r="A27" s="7"/>
      <c r="B27" s="68" t="s">
        <v>313</v>
      </c>
      <c r="C27" s="5" t="s">
        <v>317</v>
      </c>
      <c r="D27" s="5" t="s">
        <v>8</v>
      </c>
      <c r="E27" s="47">
        <f>E25</f>
        <v>18.8</v>
      </c>
      <c r="F27" s="6" t="s">
        <v>705</v>
      </c>
      <c r="G27" s="1"/>
      <c r="H27" s="1"/>
      <c r="I27" s="39">
        <f>I25</f>
        <v>18.8</v>
      </c>
    </row>
    <row r="28" spans="1:12" customFormat="1" x14ac:dyDescent="0.25">
      <c r="A28" s="7"/>
      <c r="B28" s="68" t="s">
        <v>228</v>
      </c>
      <c r="C28" s="5" t="s">
        <v>231</v>
      </c>
      <c r="D28" s="5" t="s">
        <v>8</v>
      </c>
      <c r="E28" s="47">
        <f>IFERROR(VLOOKUP($E$21,'UB-UC'!$A$2:$G$159,6,FALSE),"")</f>
        <v>11.6</v>
      </c>
      <c r="F28" s="6" t="s">
        <v>705</v>
      </c>
      <c r="G28" s="1" t="s">
        <v>40</v>
      </c>
      <c r="H28" s="1"/>
      <c r="I28" s="39">
        <f>IFERROR(VLOOKUP($E$21,'UB-UC'!$A$2:$G$159,6,FALSE),"")</f>
        <v>11.6</v>
      </c>
    </row>
    <row r="29" spans="1:12" customFormat="1" x14ac:dyDescent="0.25">
      <c r="A29" s="7"/>
      <c r="B29" s="68" t="s">
        <v>624</v>
      </c>
      <c r="C29" s="5" t="s">
        <v>625</v>
      </c>
      <c r="D29" s="5" t="s">
        <v>8</v>
      </c>
      <c r="E29" s="47">
        <f>IFERROR(VLOOKUP($E$21,'UB-UC'!$A$2:$G$159,7,FALSE),"")</f>
        <v>12.7</v>
      </c>
      <c r="F29" s="6" t="s">
        <v>705</v>
      </c>
      <c r="G29" s="1"/>
      <c r="H29" s="1"/>
      <c r="I29" s="39">
        <f>IFERROR(VLOOKUP($E$21,'UB-UC'!$A$2:$G$159,7,FALSE),"")</f>
        <v>12.7</v>
      </c>
    </row>
    <row r="30" spans="1:12" customFormat="1" x14ac:dyDescent="0.25">
      <c r="A30" s="7"/>
      <c r="B30" s="68" t="s">
        <v>44</v>
      </c>
      <c r="C30" s="5" t="s">
        <v>45</v>
      </c>
      <c r="D30" s="5" t="s">
        <v>48</v>
      </c>
      <c r="E30" s="40">
        <v>350</v>
      </c>
      <c r="F30" s="6" t="s">
        <v>705</v>
      </c>
      <c r="G30" s="1" t="s">
        <v>40</v>
      </c>
      <c r="H30" s="1"/>
      <c r="I30" s="1"/>
    </row>
    <row r="31" spans="1:12" customFormat="1" x14ac:dyDescent="0.25">
      <c r="A31" s="7"/>
      <c r="B31" s="68" t="s">
        <v>46</v>
      </c>
      <c r="C31" s="5" t="s">
        <v>47</v>
      </c>
      <c r="D31" s="5" t="s">
        <v>48</v>
      </c>
      <c r="E31" s="40">
        <v>450</v>
      </c>
      <c r="F31" s="6" t="s">
        <v>705</v>
      </c>
      <c r="G31" s="1" t="s">
        <v>40</v>
      </c>
      <c r="H31" s="1"/>
      <c r="I31" s="1"/>
    </row>
    <row r="32" spans="1:12" customFormat="1" x14ac:dyDescent="0.25">
      <c r="A32" s="7"/>
      <c r="B32" s="68" t="s">
        <v>77</v>
      </c>
      <c r="C32" s="5" t="s">
        <v>78</v>
      </c>
      <c r="D32" s="5" t="s">
        <v>48</v>
      </c>
      <c r="E32" s="53">
        <v>210000</v>
      </c>
      <c r="F32" s="6"/>
      <c r="G32" s="1" t="s">
        <v>40</v>
      </c>
      <c r="H32" s="1"/>
      <c r="I32" s="1"/>
    </row>
    <row r="33" spans="1:12" customFormat="1" x14ac:dyDescent="0.25">
      <c r="A33" s="7"/>
      <c r="B33" s="68" t="s">
        <v>270</v>
      </c>
      <c r="C33" s="5" t="s">
        <v>271</v>
      </c>
      <c r="D33" s="5" t="s">
        <v>236</v>
      </c>
      <c r="E33" s="31">
        <v>0.99</v>
      </c>
      <c r="F33" s="6"/>
      <c r="G33" s="1" t="s">
        <v>40</v>
      </c>
      <c r="H33" s="1"/>
      <c r="I33" s="1"/>
    </row>
    <row r="34" spans="1:12" customFormat="1" x14ac:dyDescent="0.25">
      <c r="A34" s="7"/>
      <c r="B34" s="68" t="s">
        <v>318</v>
      </c>
      <c r="C34" s="96" t="s">
        <v>321</v>
      </c>
      <c r="D34" s="5" t="s">
        <v>8</v>
      </c>
      <c r="E34" s="47">
        <f>IFERROR(VLOOKUP($E$21,'UB-UC'!$A$2:$V$159,8,FALSE),"")</f>
        <v>476.5</v>
      </c>
      <c r="F34" s="6" t="s">
        <v>705</v>
      </c>
      <c r="G34" s="47">
        <f>$E$23-($E$25+$E$27)-IF($E$20=$Q$2,2*$E$29,0)</f>
        <v>476.5</v>
      </c>
      <c r="H34" s="1"/>
      <c r="I34" s="85"/>
    </row>
    <row r="35" spans="1:12" customFormat="1" x14ac:dyDescent="0.25">
      <c r="A35" s="7"/>
      <c r="B35" s="68" t="s">
        <v>33</v>
      </c>
      <c r="C35" s="5" t="s">
        <v>6</v>
      </c>
      <c r="D35" s="5" t="s">
        <v>34</v>
      </c>
      <c r="E35" s="47">
        <f>IFERROR(VLOOKUP($E$21,'UB-UC'!$A$2:$V$159,9,FALSE),"")*10^2</f>
        <v>13900</v>
      </c>
      <c r="F35" s="6" t="s">
        <v>705</v>
      </c>
      <c r="G35" s="40">
        <f>($E$24*$E$25)+($E$28*$E$34)+($E$27*$E$26)</f>
        <v>13453.480000000001</v>
      </c>
      <c r="H35" s="87"/>
    </row>
    <row r="36" spans="1:12" customFormat="1" x14ac:dyDescent="0.25">
      <c r="A36" s="7"/>
      <c r="B36" s="68" t="s">
        <v>256</v>
      </c>
      <c r="C36" s="5" t="s">
        <v>221</v>
      </c>
      <c r="D36" s="5" t="s">
        <v>237</v>
      </c>
      <c r="E36" s="47">
        <f>IFERROR(VLOOKUP($E$21,'UB-UC'!$A$2:$V$159,2,FALSE),"")</f>
        <v>109</v>
      </c>
      <c r="F36" s="6" t="s">
        <v>705</v>
      </c>
      <c r="G36" s="23">
        <f>$E$35/10^6*7850</f>
        <v>109.11499999999999</v>
      </c>
      <c r="H36" s="1"/>
    </row>
    <row r="37" spans="1:12" customFormat="1" x14ac:dyDescent="0.25">
      <c r="A37" s="7"/>
      <c r="B37" s="68" t="s">
        <v>322</v>
      </c>
      <c r="C37" s="5" t="s">
        <v>324</v>
      </c>
      <c r="D37" s="5" t="s">
        <v>8</v>
      </c>
      <c r="E37" s="23">
        <f>((E24*E25)*(E23-E25/2)+(E28*E34)*(E34/2+E27)+(E27*E26)*(E27/2))/E35</f>
        <v>256.03440647482012</v>
      </c>
      <c r="F37" s="6" t="s">
        <v>705</v>
      </c>
      <c r="G37" s="23">
        <f>((E24*E25)*(E23-E25/2)+(E28*E34)*(E34/2+E27)+(E27*E26)*(E27/2))/E35</f>
        <v>256.03440647482012</v>
      </c>
      <c r="H37" s="1"/>
    </row>
    <row r="38" spans="1:12" customFormat="1" x14ac:dyDescent="0.25">
      <c r="A38" s="7"/>
      <c r="B38" s="68" t="s">
        <v>323</v>
      </c>
      <c r="C38" s="5" t="s">
        <v>325</v>
      </c>
      <c r="D38" s="5" t="s">
        <v>8</v>
      </c>
      <c r="E38" s="23">
        <f>(MAX(E24,E26))/2</f>
        <v>105.4</v>
      </c>
      <c r="F38" s="6" t="s">
        <v>705</v>
      </c>
      <c r="G38" s="23">
        <f>(MAX(E24,E26))/2</f>
        <v>105.4</v>
      </c>
      <c r="H38" s="1"/>
    </row>
    <row r="39" spans="1:12" customFormat="1" x14ac:dyDescent="0.25">
      <c r="A39" s="7"/>
      <c r="B39" s="68" t="s">
        <v>238</v>
      </c>
      <c r="C39" s="5" t="s">
        <v>248</v>
      </c>
      <c r="D39" s="5" t="s">
        <v>35</v>
      </c>
      <c r="E39" s="97">
        <f>IFERROR(VLOOKUP($E$21,'UB-UC'!$A$2:$V$159,10,FALSE),"")*10^4</f>
        <v>668220000</v>
      </c>
      <c r="F39" s="6" t="s">
        <v>705</v>
      </c>
      <c r="G39" s="97">
        <f>((E24*E25^3/12)+(E24*E25)*(((E23-E25/2)-E37)^2))+(E28*E34^3)/12+(E28*E34)*(((E34/2+E27)-E37)^2)+((E26*E27^3/12)+(E27*E26)*(E37-(E27/2))^2)</f>
        <v>643560761.06252599</v>
      </c>
      <c r="H39" s="88"/>
    </row>
    <row r="40" spans="1:12" customFormat="1" x14ac:dyDescent="0.25">
      <c r="A40" s="7"/>
      <c r="B40" s="68" t="s">
        <v>239</v>
      </c>
      <c r="C40" s="5" t="s">
        <v>249</v>
      </c>
      <c r="D40" s="5" t="s">
        <v>35</v>
      </c>
      <c r="E40" s="97">
        <f>IFERROR(VLOOKUP($E$21,'UB-UC'!$A$2:$V$159,11,FALSE),"")*10^4</f>
        <v>29430000</v>
      </c>
      <c r="F40" s="6" t="s">
        <v>705</v>
      </c>
      <c r="G40" s="97">
        <f>((E25*E24^3/12)+(E34*E28^3/12)+(E27*E26^3/12))</f>
        <v>29412677.542933337</v>
      </c>
      <c r="H40" s="88"/>
    </row>
    <row r="41" spans="1:12" customFormat="1" x14ac:dyDescent="0.25">
      <c r="A41" s="7"/>
      <c r="B41" s="68" t="s">
        <v>240</v>
      </c>
      <c r="C41" s="5" t="s">
        <v>250</v>
      </c>
      <c r="D41" s="5" t="s">
        <v>8</v>
      </c>
      <c r="E41" s="47">
        <f>IFERROR(VLOOKUP($E$21,'UB-UC'!$A$2:$V$159,12,FALSE),"")*10</f>
        <v>219</v>
      </c>
      <c r="F41" s="6" t="s">
        <v>705</v>
      </c>
      <c r="G41" s="23">
        <f>SQRT(E39/E35)</f>
        <v>219.25642817250315</v>
      </c>
      <c r="H41" s="88"/>
    </row>
    <row r="42" spans="1:12" customFormat="1" x14ac:dyDescent="0.25">
      <c r="A42" s="7"/>
      <c r="B42" s="68" t="s">
        <v>241</v>
      </c>
      <c r="C42" s="5" t="s">
        <v>251</v>
      </c>
      <c r="D42" s="5" t="s">
        <v>8</v>
      </c>
      <c r="E42" s="47">
        <f>IFERROR(VLOOKUP($E$21,'UB-UC'!$A$2:$V$159,13,FALSE),"")*10</f>
        <v>46</v>
      </c>
      <c r="F42" s="6" t="s">
        <v>705</v>
      </c>
      <c r="G42" s="23">
        <f>SQRT(E40/E35)</f>
        <v>46.013760844451305</v>
      </c>
      <c r="H42" s="88"/>
    </row>
    <row r="43" spans="1:12" customFormat="1" x14ac:dyDescent="0.25">
      <c r="A43" s="7"/>
      <c r="B43" s="68" t="s">
        <v>244</v>
      </c>
      <c r="C43" s="5" t="s">
        <v>252</v>
      </c>
      <c r="D43" s="5" t="s">
        <v>36</v>
      </c>
      <c r="E43" s="97">
        <f>IFERROR(VLOOKUP($E$21,'UB-UC'!$A$2:$V$159,14,FALSE),"")*10^3</f>
        <v>2477000</v>
      </c>
      <c r="F43" s="6" t="s">
        <v>705</v>
      </c>
      <c r="G43" s="97">
        <f>MIN(E39/(E23-E37),E39/E37)</f>
        <v>2357323.1293788143</v>
      </c>
      <c r="H43" s="88"/>
      <c r="I43" s="1"/>
      <c r="J43" s="1"/>
      <c r="K43" s="1"/>
      <c r="L43" s="1"/>
    </row>
    <row r="44" spans="1:12" customFormat="1" x14ac:dyDescent="0.25">
      <c r="A44" s="7"/>
      <c r="B44" s="68" t="s">
        <v>245</v>
      </c>
      <c r="C44" s="5" t="s">
        <v>253</v>
      </c>
      <c r="D44" s="5" t="s">
        <v>36</v>
      </c>
      <c r="E44" s="97">
        <f>IFERROR(VLOOKUP($E$21,'UB-UC'!$A$2:$V$159,15,FALSE),"")*10^3</f>
        <v>279000</v>
      </c>
      <c r="F44" s="6" t="s">
        <v>705</v>
      </c>
      <c r="G44" s="97">
        <f>E40/E38</f>
        <v>279222.01138519921</v>
      </c>
      <c r="H44" s="88"/>
      <c r="I44" s="1"/>
      <c r="J44" s="1"/>
      <c r="K44" s="1"/>
      <c r="L44" s="1"/>
    </row>
    <row r="45" spans="1:12" customFormat="1" x14ac:dyDescent="0.25">
      <c r="A45" s="7"/>
      <c r="B45" s="68" t="s">
        <v>246</v>
      </c>
      <c r="C45" s="5" t="s">
        <v>247</v>
      </c>
      <c r="D45" s="5" t="s">
        <v>36</v>
      </c>
      <c r="E45" s="97">
        <f>IFERROR(VLOOKUP($E$21,'UB-UC'!$A$2:$V$159,16,FALSE),"")*10^3</f>
        <v>2829000</v>
      </c>
      <c r="F45" s="6" t="s">
        <v>705</v>
      </c>
      <c r="G45" s="97">
        <f>E35/2*((IF((E35/2&gt;MAX((E24*E25),(E27*E26))), ((((E24*E25)*((IF((E35/2&gt;MAX((E24*E25),(E27*E26))), (((E35/2-(E24*E25))/E28)+E25), ((E35/2)/(MAX(E26,E24)))))-E25/2))+(E28*((IF((E35/2&gt;MAX((E24*E25),(E27*E26))), (((E35/2-(E24*E25))/E28)+E25), ((E35/2)/(MAX(E26,E24)))))-E25)*((IF((E35/2&gt;MAX((E24*E25),(E27*E26))), (((E35/2-(E24*E25))/E28)+E25), ((E35/2)/(MAX(E26,E24)))))-E25)/2))/(IF((E35/2&gt;MAX((E24*E25),(E27*E26))), ((E24*E25)+E28*((IF((E35/2&gt;MAX((E24*E25),(E27*E26))), (((E35/2-(E24*E25))/E28)+E25), ((E35/2)/(MAX(E26,E24)))))-E25)), (MAX(E26,E24,)*(IF((E35/2&gt;MAX((E24*E25),(E27*E26))), (((E35/2-(E24*E25))/E28)+E25), ((E35/2)/(MAX(E26,E24))))))))), ((IF((E35/2&gt;MAX((E24*E25),(E27*E26))), (((E35/2-(E24*E25))/E28)+E25), ((E35/2)/(MAX(E26,E24)))))/2)))+(IF((E35/2&gt;MAX((E24*E25),(E27*E26))), ((((E27*E26)*(E23-(IF((E35/2&gt;MAX((E24*E25),(E27*E26))), (((E35/2-(E24*E25))/E28)+E25), ((E35/2)/(MAX(E26,E24)))))-E27/2))+(E28*(E23-(IF((E35/2&gt;MAX((E24*E25),(E27*E26))), (((E35/2-(E24*E25))/E28)+E25), ((E35/2)/(MAX(E26,E24)))))-E27)*(E23-(IF((E35/2&gt;MAX((E24*E25),(E27*E26))), (((E35/2-(E24*E25))/E28)+E25), ((E35/2)/(MAX(E26,E24)))))-E27)/2))/(IF((E35/2&gt;MAX((E24*E25),(E27*E26))), ((E27*E26)+E28*(E23-(IF((E35/2&gt;MAX((E24*E25),(E27*E26))), (((E35/2-(E24*E25))/E28)+E25), ((E35/2)/(MAX(E26,E24)))))-E27)), (E35-(IF((E35/2&gt;MAX((E24*E25),(E27*E26))), ((E24*E25)+E28*((IF((E35/2&gt;MAX((E24*E25),(E27*E26))), (((E35/2-(E24*E25))/E28)+E25), ((E35/2)/(MAX(E26,E24)))))-E25)), (MAX(E26,E24,)*(IF((E35/2&gt;MAX((E24*E25),(E27*E26))), (((E35/2-(E24*E25))/E28)+E25), ((E35/2)/(MAX(E26,E24)))))))))))), ((((MIN(E24,E26))*(MIN(E25,E27))*((E23-(IF((E35/2&gt;MAX((E24*E25),(E27*E26))), (((E35/2-(E24*E25))/E28)+E25), ((E35/2)/(MAX(E26,E24))))))-(MIN(E25,E27)/2)))+(E28*E34*(E34/2+(MAX(E25,E27)-(IF((E35/2&gt;MAX((E24*E25),(E27*E26))), (((E35/2-(E24*E25))/E28)+E25), ((E35/2)/(MAX(E26,E24))))))))+((MAX(E24,E26))*(MAX(E27,E25)-(IF((E35/2&gt;MAX((E24*E25),(E27*E26))), (((E35/2-(E24*E25))/E28)+E25), ((E35/2)/(MAX(E26,E24))))))*((MAX(E27,E25)-(IF((E35/2&gt;MAX((E24*E25),(E27*E26))), (((E35/2-(E24*E25))/E28)+E25), ((E35/2)/(MAX(E26,E24))))))/2)))/(E35/2)))))</f>
        <v>2824784.5754407062</v>
      </c>
      <c r="H45" s="88"/>
      <c r="I45" s="1"/>
      <c r="J45" s="1"/>
      <c r="K45" s="1"/>
      <c r="L45" s="1"/>
    </row>
    <row r="46" spans="1:12" customFormat="1" x14ac:dyDescent="0.25">
      <c r="A46" s="7"/>
      <c r="B46" s="68" t="s">
        <v>255</v>
      </c>
      <c r="C46" s="5" t="s">
        <v>254</v>
      </c>
      <c r="D46" s="5" t="s">
        <v>36</v>
      </c>
      <c r="E46" s="97">
        <f>IFERROR(VLOOKUP($E$21,'UB-UC'!$A$2:$V$159,17,FALSE),"")*10^3</f>
        <v>436000</v>
      </c>
      <c r="F46" s="6" t="s">
        <v>705</v>
      </c>
      <c r="G46" s="97">
        <f>E35/2*((((E24/2*E25*E24/4)+(E34*E28/2*E28/4)+(E26/2*E27*E26/4))/(E24/2*E25+E26/2*E27+E28/2*E34))*2)</f>
        <v>448129.47106622229</v>
      </c>
      <c r="H46" s="88"/>
      <c r="I46" s="1"/>
      <c r="J46" s="1"/>
      <c r="K46" s="1"/>
      <c r="L46" s="1"/>
    </row>
    <row r="47" spans="1:12" customFormat="1" x14ac:dyDescent="0.25">
      <c r="A47" s="7"/>
      <c r="B47" s="68" t="s">
        <v>319</v>
      </c>
      <c r="C47" s="5" t="s">
        <v>222</v>
      </c>
      <c r="D47" s="5" t="s">
        <v>35</v>
      </c>
      <c r="E47" s="97">
        <f>IFERROR(VLOOKUP($E$21,'UB-UC'!$A$2:$V$159,21,FALSE),"")*10^4</f>
        <v>1260000</v>
      </c>
      <c r="F47" s="6" t="s">
        <v>705</v>
      </c>
      <c r="G47" s="97">
        <f>(E24*E25^3+E26*E27^3+(E23-E25/2-E27/2)*E28^3)/3</f>
        <v>1204717.4208000002</v>
      </c>
      <c r="H47" s="88"/>
      <c r="I47" s="1"/>
      <c r="J47" s="1"/>
      <c r="K47" s="1"/>
      <c r="L47" s="1"/>
    </row>
    <row r="48" spans="1:12" customFormat="1" x14ac:dyDescent="0.25">
      <c r="A48" s="7"/>
      <c r="B48" s="68" t="s">
        <v>320</v>
      </c>
      <c r="C48" s="5" t="s">
        <v>327</v>
      </c>
      <c r="D48" s="5" t="s">
        <v>326</v>
      </c>
      <c r="E48" s="97">
        <f>IFERROR(VLOOKUP($E$21,'UB-UC'!$A$2:$V$159,20,FALSE),"")*10^12</f>
        <v>1990000000000</v>
      </c>
      <c r="F48" s="6"/>
      <c r="G48" s="97">
        <f>(E23-(E25+E27)/2)^2*E24^3*E25*(1/(1+(E24/E26)^3*(E25/E27)))/12</f>
        <v>1989452537092.302</v>
      </c>
      <c r="H48" s="88"/>
      <c r="I48" s="1"/>
      <c r="J48" s="1"/>
      <c r="K48" s="87"/>
      <c r="L48" s="1"/>
    </row>
    <row r="49" spans="1:12" customFormat="1" x14ac:dyDescent="0.25">
      <c r="A49" s="7"/>
      <c r="B49" s="68" t="s">
        <v>330</v>
      </c>
      <c r="C49" s="5" t="s">
        <v>331</v>
      </c>
      <c r="D49" s="5" t="s">
        <v>236</v>
      </c>
      <c r="E49" s="23">
        <v>0.3</v>
      </c>
      <c r="F49" s="6"/>
      <c r="G49" s="23">
        <v>0.3</v>
      </c>
      <c r="H49" s="1"/>
      <c r="I49" s="1"/>
      <c r="J49" s="1"/>
      <c r="K49" s="1"/>
      <c r="L49" s="1"/>
    </row>
    <row r="50" spans="1:12" customFormat="1" x14ac:dyDescent="0.25">
      <c r="A50" s="7"/>
      <c r="B50" s="68" t="s">
        <v>332</v>
      </c>
      <c r="C50" s="5" t="s">
        <v>333</v>
      </c>
      <c r="D50" s="5" t="s">
        <v>48</v>
      </c>
      <c r="E50" s="40">
        <f>E32/(2*(1+E49))</f>
        <v>80769.230769230766</v>
      </c>
      <c r="F50" s="6"/>
      <c r="G50" s="40">
        <f>E32/(2*(1+E49))</f>
        <v>80769.230769230766</v>
      </c>
      <c r="H50" s="1"/>
      <c r="I50" s="1"/>
      <c r="J50" s="1"/>
      <c r="K50" s="1"/>
      <c r="L50" s="1"/>
    </row>
    <row r="51" spans="1:12" x14ac:dyDescent="0.25">
      <c r="A51" s="7"/>
      <c r="B51" s="68" t="s">
        <v>638</v>
      </c>
      <c r="C51" s="14" t="s">
        <v>639</v>
      </c>
      <c r="D51" s="5" t="s">
        <v>236</v>
      </c>
      <c r="E51" s="23">
        <f>($E$34*$E$28)/$E$35</f>
        <v>0.39765467625899276</v>
      </c>
      <c r="F51" s="6"/>
      <c r="G51" s="23"/>
    </row>
    <row r="52" spans="1:12" x14ac:dyDescent="0.25">
      <c r="A52" s="7"/>
      <c r="B52" s="68"/>
      <c r="C52" s="5"/>
      <c r="D52" s="5"/>
      <c r="E52" s="23"/>
      <c r="F52" s="6"/>
    </row>
    <row r="53" spans="1:12" x14ac:dyDescent="0.25">
      <c r="A53" s="11">
        <v>4</v>
      </c>
      <c r="B53" s="59" t="s">
        <v>42</v>
      </c>
      <c r="C53" s="4"/>
      <c r="D53" s="4"/>
      <c r="E53" s="36"/>
      <c r="F53" s="12"/>
    </row>
    <row r="54" spans="1:12" x14ac:dyDescent="0.25">
      <c r="A54" s="15"/>
      <c r="B54" s="68" t="s">
        <v>64</v>
      </c>
      <c r="C54" s="5"/>
      <c r="D54" s="5"/>
      <c r="E54" s="41"/>
      <c r="F54" s="6" t="s">
        <v>83</v>
      </c>
      <c r="H54"/>
      <c r="J54"/>
    </row>
    <row r="55" spans="1:12" ht="30" x14ac:dyDescent="0.25">
      <c r="A55" s="17"/>
      <c r="B55" s="22" t="s">
        <v>99</v>
      </c>
      <c r="C55" s="21" t="s">
        <v>65</v>
      </c>
      <c r="D55" s="17"/>
      <c r="E55" s="42">
        <v>1.1000000000000001</v>
      </c>
      <c r="F55" s="18"/>
      <c r="H55"/>
    </row>
    <row r="56" spans="1:12" ht="30" x14ac:dyDescent="0.25">
      <c r="A56" s="17"/>
      <c r="B56" s="22" t="s">
        <v>66</v>
      </c>
      <c r="C56" s="21" t="s">
        <v>67</v>
      </c>
      <c r="D56" s="17"/>
      <c r="E56" s="42">
        <v>1.25</v>
      </c>
      <c r="F56" s="18"/>
      <c r="H56"/>
    </row>
    <row r="57" spans="1:12" x14ac:dyDescent="0.25">
      <c r="A57" s="17"/>
      <c r="B57" s="22" t="s">
        <v>68</v>
      </c>
      <c r="C57" s="17"/>
      <c r="D57" s="17"/>
      <c r="E57" s="42"/>
      <c r="F57" s="18"/>
      <c r="H57"/>
    </row>
    <row r="58" spans="1:12" x14ac:dyDescent="0.25">
      <c r="A58" s="17"/>
      <c r="B58" s="105" t="s">
        <v>69</v>
      </c>
      <c r="C58" s="21" t="s">
        <v>73</v>
      </c>
      <c r="D58" s="17"/>
      <c r="E58" s="42">
        <v>1.25</v>
      </c>
      <c r="F58" s="18"/>
      <c r="H58"/>
    </row>
    <row r="59" spans="1:12" x14ac:dyDescent="0.25">
      <c r="A59" s="17"/>
      <c r="B59" s="105" t="s">
        <v>70</v>
      </c>
      <c r="C59" s="21" t="s">
        <v>74</v>
      </c>
      <c r="D59" s="17"/>
      <c r="E59" s="42">
        <v>1.25</v>
      </c>
      <c r="F59" s="18"/>
      <c r="H59"/>
    </row>
    <row r="60" spans="1:12" x14ac:dyDescent="0.25">
      <c r="A60" s="19"/>
      <c r="B60" s="105" t="s">
        <v>71</v>
      </c>
      <c r="C60" s="21" t="s">
        <v>75</v>
      </c>
      <c r="D60" s="17"/>
      <c r="E60" s="42">
        <v>1.25</v>
      </c>
      <c r="F60" s="18"/>
      <c r="H60"/>
    </row>
    <row r="61" spans="1:12" x14ac:dyDescent="0.25">
      <c r="A61" s="19"/>
      <c r="B61" s="105" t="s">
        <v>72</v>
      </c>
      <c r="C61" s="21" t="s">
        <v>76</v>
      </c>
      <c r="D61" s="17"/>
      <c r="E61" s="42">
        <v>1.25</v>
      </c>
      <c r="F61" s="18"/>
      <c r="H61"/>
    </row>
    <row r="62" spans="1:12" x14ac:dyDescent="0.25">
      <c r="A62" s="20"/>
      <c r="B62" s="68"/>
      <c r="C62" s="17"/>
      <c r="D62" s="17"/>
      <c r="E62" s="43"/>
      <c r="F62" s="18"/>
      <c r="H62"/>
    </row>
    <row r="63" spans="1:12" x14ac:dyDescent="0.25">
      <c r="A63" s="11">
        <v>5</v>
      </c>
      <c r="B63" s="59" t="s">
        <v>41</v>
      </c>
      <c r="C63" s="4"/>
      <c r="D63" s="4"/>
      <c r="E63" s="36"/>
      <c r="F63" s="12"/>
      <c r="H63"/>
    </row>
    <row r="64" spans="1:12" x14ac:dyDescent="0.25">
      <c r="A64" s="13" t="str">
        <f>$A$63&amp;"A"</f>
        <v>5A</v>
      </c>
      <c r="B64" s="67" t="s">
        <v>79</v>
      </c>
      <c r="C64" s="5"/>
      <c r="D64" s="5"/>
      <c r="E64" s="23"/>
      <c r="F64" s="6"/>
      <c r="H64"/>
    </row>
    <row r="65" spans="1:8" ht="36" customHeight="1" x14ac:dyDescent="0.25">
      <c r="A65" s="310"/>
      <c r="B65" s="311" t="s">
        <v>175</v>
      </c>
      <c r="C65" s="96" t="s">
        <v>81</v>
      </c>
      <c r="D65" s="96" t="s">
        <v>12</v>
      </c>
      <c r="E65" s="312"/>
      <c r="F65" s="313" t="s">
        <v>86</v>
      </c>
      <c r="H65"/>
    </row>
    <row r="66" spans="1:8" x14ac:dyDescent="0.25">
      <c r="A66" s="310"/>
      <c r="B66" s="311"/>
      <c r="C66" s="96" t="s">
        <v>81</v>
      </c>
      <c r="D66" s="96" t="s">
        <v>12</v>
      </c>
      <c r="E66" s="312">
        <f>E35*E30/E55/1000</f>
        <v>4422.7272727272721</v>
      </c>
      <c r="F66" s="313"/>
      <c r="H66"/>
    </row>
    <row r="67" spans="1:8" ht="30" x14ac:dyDescent="0.25">
      <c r="A67" s="310"/>
      <c r="B67" s="311" t="s">
        <v>176</v>
      </c>
      <c r="C67" s="96" t="s">
        <v>177</v>
      </c>
      <c r="D67" s="96" t="s">
        <v>12</v>
      </c>
      <c r="E67" s="312"/>
      <c r="F67" s="313" t="s">
        <v>181</v>
      </c>
      <c r="H67"/>
    </row>
    <row r="68" spans="1:8" x14ac:dyDescent="0.25">
      <c r="A68" s="310"/>
      <c r="B68" s="311"/>
      <c r="C68" s="96" t="s">
        <v>177</v>
      </c>
      <c r="D68" s="96" t="s">
        <v>12</v>
      </c>
      <c r="E68" s="312">
        <f>0.9*(E33*E35)*E31/E56/10^3</f>
        <v>4458.5640000000003</v>
      </c>
      <c r="F68" s="313"/>
      <c r="H68"/>
    </row>
    <row r="69" spans="1:8" x14ac:dyDescent="0.25">
      <c r="A69" s="310"/>
      <c r="B69" s="311" t="s">
        <v>80</v>
      </c>
      <c r="C69" s="96" t="s">
        <v>178</v>
      </c>
      <c r="D69" s="96" t="s">
        <v>12</v>
      </c>
      <c r="E69" s="312" t="s">
        <v>179</v>
      </c>
      <c r="F69" s="313" t="s">
        <v>182</v>
      </c>
      <c r="H69"/>
    </row>
    <row r="70" spans="1:8" x14ac:dyDescent="0.25">
      <c r="A70" s="7"/>
      <c r="B70" s="69" t="s">
        <v>80</v>
      </c>
      <c r="C70" s="24" t="s">
        <v>178</v>
      </c>
      <c r="D70" s="24" t="s">
        <v>12</v>
      </c>
      <c r="E70" s="44">
        <f>MIN(E66,E68)</f>
        <v>4422.7272727272721</v>
      </c>
      <c r="F70" s="6"/>
      <c r="G70" s="27"/>
      <c r="H70"/>
    </row>
    <row r="71" spans="1:8" x14ac:dyDescent="0.25">
      <c r="A71" s="7"/>
      <c r="B71" s="33"/>
      <c r="C71" s="62" t="s">
        <v>172</v>
      </c>
      <c r="D71" s="65"/>
      <c r="E71" s="64">
        <f>IF(E4&lt;=0,0,ABS(E4/E70))</f>
        <v>0</v>
      </c>
      <c r="F71" s="55"/>
      <c r="H71"/>
    </row>
    <row r="72" spans="1:8" x14ac:dyDescent="0.25">
      <c r="A72" s="7"/>
      <c r="B72" s="33"/>
      <c r="C72" s="5"/>
      <c r="D72" s="5"/>
      <c r="E72" s="28" t="str">
        <f>IF(E4&lt;=0,"NOT APPLICABLE",IF(E71&lt;=1,"PASS","FAIL"))</f>
        <v>NOT APPLICABLE</v>
      </c>
      <c r="F72" s="6"/>
      <c r="H72"/>
    </row>
    <row r="73" spans="1:8" x14ac:dyDescent="0.25">
      <c r="A73" s="7"/>
      <c r="B73" s="33"/>
      <c r="C73" s="5"/>
      <c r="D73" s="5"/>
      <c r="E73" s="23"/>
      <c r="F73" s="6"/>
      <c r="H73"/>
    </row>
    <row r="74" spans="1:8" x14ac:dyDescent="0.25">
      <c r="A74" s="13" t="str">
        <f>$A$63&amp;"B"</f>
        <v>5B</v>
      </c>
      <c r="B74" s="67" t="s">
        <v>43</v>
      </c>
      <c r="C74" s="5"/>
      <c r="D74" s="5"/>
      <c r="E74" s="23"/>
      <c r="F74" s="6"/>
      <c r="H74"/>
    </row>
    <row r="75" spans="1:8" x14ac:dyDescent="0.25">
      <c r="A75" s="7"/>
      <c r="B75" s="156" t="s">
        <v>58</v>
      </c>
      <c r="C75" s="157" t="s">
        <v>59</v>
      </c>
      <c r="D75" s="157"/>
      <c r="E75" s="158" t="s">
        <v>257</v>
      </c>
      <c r="F75" s="18" t="s">
        <v>88</v>
      </c>
      <c r="G75" s="27"/>
      <c r="H75"/>
    </row>
    <row r="76" spans="1:8" x14ac:dyDescent="0.25">
      <c r="A76" s="7"/>
      <c r="B76" s="156"/>
      <c r="C76" s="157" t="s">
        <v>258</v>
      </c>
      <c r="D76" s="157"/>
      <c r="E76" s="159">
        <f>E16/E41</f>
        <v>16.894977168949772</v>
      </c>
      <c r="F76" s="18"/>
      <c r="G76" s="27"/>
      <c r="H76"/>
    </row>
    <row r="77" spans="1:8" x14ac:dyDescent="0.25">
      <c r="A77" s="7"/>
      <c r="B77" s="33"/>
      <c r="C77" s="5" t="s">
        <v>259</v>
      </c>
      <c r="D77" s="5"/>
      <c r="E77" s="23">
        <f>E17/E42</f>
        <v>80.434782608695656</v>
      </c>
      <c r="F77" s="6"/>
      <c r="G77" s="27"/>
      <c r="H77"/>
    </row>
    <row r="78" spans="1:8" ht="35.25" customHeight="1" x14ac:dyDescent="0.25">
      <c r="A78" s="7"/>
      <c r="B78" s="33" t="s">
        <v>173</v>
      </c>
      <c r="C78" s="5" t="s">
        <v>174</v>
      </c>
      <c r="D78" s="5" t="s">
        <v>48</v>
      </c>
      <c r="E78" s="23"/>
      <c r="F78" s="6" t="s">
        <v>88</v>
      </c>
      <c r="H78"/>
    </row>
    <row r="79" spans="1:8" ht="35.25" customHeight="1" x14ac:dyDescent="0.25">
      <c r="A79" s="7"/>
      <c r="B79" s="33"/>
      <c r="C79" s="5" t="s">
        <v>262</v>
      </c>
      <c r="D79" s="5" t="s">
        <v>48</v>
      </c>
      <c r="E79" s="23">
        <f>(PI()^2*E32)/E76^2</f>
        <v>7261.1234699003508</v>
      </c>
      <c r="F79" s="6"/>
      <c r="H79"/>
    </row>
    <row r="80" spans="1:8" x14ac:dyDescent="0.25">
      <c r="A80" s="7"/>
      <c r="B80" s="33"/>
      <c r="C80" s="5" t="s">
        <v>263</v>
      </c>
      <c r="D80" s="5" t="s">
        <v>48</v>
      </c>
      <c r="E80" s="23">
        <f>(PI()^2*E32)/E77^2</f>
        <v>320.35481458495735</v>
      </c>
      <c r="F80" s="6"/>
      <c r="G80" s="27"/>
      <c r="H80"/>
    </row>
    <row r="81" spans="1:9" ht="30" x14ac:dyDescent="0.25">
      <c r="A81" s="7"/>
      <c r="B81" s="33" t="s">
        <v>56</v>
      </c>
      <c r="C81" s="14" t="s">
        <v>57</v>
      </c>
      <c r="D81" s="5"/>
      <c r="E81" s="23"/>
      <c r="F81" s="6" t="s">
        <v>88</v>
      </c>
      <c r="H81"/>
      <c r="I81" s="87"/>
    </row>
    <row r="82" spans="1:9" x14ac:dyDescent="0.25">
      <c r="A82" s="7"/>
      <c r="B82" s="33"/>
      <c r="C82" s="14" t="s">
        <v>167</v>
      </c>
      <c r="D82" s="5"/>
      <c r="E82" s="23">
        <f>SQRT(E30/E79)</f>
        <v>0.21954932759243545</v>
      </c>
      <c r="F82" s="6"/>
      <c r="H82"/>
      <c r="I82" s="87"/>
    </row>
    <row r="83" spans="1:9" x14ac:dyDescent="0.25">
      <c r="A83" s="7"/>
      <c r="B83" s="33"/>
      <c r="C83" s="14" t="s">
        <v>166</v>
      </c>
      <c r="D83" s="5"/>
      <c r="E83" s="47">
        <f>SQRT(E30/E80)</f>
        <v>1.0452457117987688</v>
      </c>
      <c r="F83" s="6"/>
      <c r="H83"/>
      <c r="I83" s="27"/>
    </row>
    <row r="84" spans="1:9" x14ac:dyDescent="0.25">
      <c r="A84" s="7"/>
      <c r="B84" s="33" t="s">
        <v>626</v>
      </c>
      <c r="C84" s="14" t="s">
        <v>236</v>
      </c>
      <c r="D84" s="5" t="s">
        <v>236</v>
      </c>
      <c r="E84" s="47" t="str">
        <f>IF(E20=Q2,IF(E23/E24&gt;1.2,IF(E25&lt;=40,"a","b"),IF(E25&lt;=100,"b","d")),IF(MAX(E25,E27)&lt;=40,"b","c"))</f>
        <v>a</v>
      </c>
      <c r="F84" s="6" t="str">
        <f>"Table 10 ("&amp;$E$20&amp;")"</f>
        <v>Table 10 (Rolled)</v>
      </c>
      <c r="H84"/>
      <c r="I84" s="27"/>
    </row>
    <row r="85" spans="1:9" x14ac:dyDescent="0.25">
      <c r="A85" s="7"/>
      <c r="B85" s="33" t="s">
        <v>627</v>
      </c>
      <c r="C85" s="14" t="s">
        <v>236</v>
      </c>
      <c r="D85" s="5" t="s">
        <v>236</v>
      </c>
      <c r="E85" s="47" t="str">
        <f>IF(E20=Q2,IF(E23/E24&gt;1.2,IF(E25&lt;=40,"b","c"),IF(E25&lt;=100,"c","d")),IF(MAX(E25,E27)&lt;=40,"c","d"))</f>
        <v>b</v>
      </c>
      <c r="F85" s="6" t="str">
        <f>"Table 10 ("&amp;$E$20&amp;")"</f>
        <v>Table 10 (Rolled)</v>
      </c>
      <c r="H85"/>
      <c r="I85" s="27"/>
    </row>
    <row r="86" spans="1:9" x14ac:dyDescent="0.25">
      <c r="A86" s="7"/>
      <c r="B86" s="33" t="s">
        <v>60</v>
      </c>
      <c r="C86" s="14" t="s">
        <v>328</v>
      </c>
      <c r="D86" s="5"/>
      <c r="E86" s="86">
        <f>VLOOKUP($E$84,$T$2:$U$5,2,FALSE)</f>
        <v>0.21</v>
      </c>
      <c r="F86" s="6" t="str">
        <f>"Table 7 ("&amp;$E$20&amp;")"</f>
        <v>Table 7 (Rolled)</v>
      </c>
    </row>
    <row r="87" spans="1:9" x14ac:dyDescent="0.25">
      <c r="A87" s="7"/>
      <c r="B87" s="33"/>
      <c r="C87" s="14" t="s">
        <v>329</v>
      </c>
      <c r="D87" s="5"/>
      <c r="E87" s="86">
        <f>VLOOKUP($E$85,$T$2:$U$5,2,FALSE)</f>
        <v>0.34</v>
      </c>
      <c r="F87" s="6" t="str">
        <f>"Table 7 ("&amp;$E$20&amp;")"</f>
        <v>Table 7 (Rolled)</v>
      </c>
      <c r="H87" s="14"/>
      <c r="I87" s="27"/>
    </row>
    <row r="88" spans="1:9" ht="20.25" customHeight="1" x14ac:dyDescent="0.25">
      <c r="A88" s="7"/>
      <c r="B88" s="33"/>
      <c r="C88" s="21" t="s">
        <v>415</v>
      </c>
      <c r="D88" s="5"/>
      <c r="E88" s="23"/>
      <c r="F88" s="6" t="s">
        <v>88</v>
      </c>
      <c r="H88"/>
    </row>
    <row r="89" spans="1:9" ht="20.25" customHeight="1" x14ac:dyDescent="0.25">
      <c r="A89" s="7"/>
      <c r="B89" s="33"/>
      <c r="C89" s="21" t="s">
        <v>428</v>
      </c>
      <c r="D89" s="5"/>
      <c r="E89" s="47">
        <f>0.5*(1+E86*(E82-0.2)+E82^2)</f>
        <v>0.52615363302035101</v>
      </c>
      <c r="F89" s="6"/>
      <c r="H89"/>
      <c r="I89" s="27"/>
    </row>
    <row r="90" spans="1:9" ht="18.75" customHeight="1" x14ac:dyDescent="0.25">
      <c r="A90" s="7"/>
      <c r="B90" s="33"/>
      <c r="C90" s="21" t="s">
        <v>429</v>
      </c>
      <c r="D90" s="5"/>
      <c r="E90" s="47">
        <f>0.5*(1+E87*(E83-0.2)+E83^2)</f>
        <v>1.1899610700226482</v>
      </c>
      <c r="F90" s="6"/>
      <c r="H90"/>
    </row>
    <row r="91" spans="1:9" ht="33.75" customHeight="1" x14ac:dyDescent="0.25">
      <c r="A91" s="7"/>
      <c r="B91" s="33" t="s">
        <v>62</v>
      </c>
      <c r="C91" s="14" t="s">
        <v>63</v>
      </c>
      <c r="D91" s="5"/>
      <c r="E91" s="23"/>
      <c r="F91" s="6" t="s">
        <v>88</v>
      </c>
      <c r="H91"/>
    </row>
    <row r="92" spans="1:9" ht="33.75" customHeight="1" x14ac:dyDescent="0.25">
      <c r="A92" s="7"/>
      <c r="B92" s="100" t="s">
        <v>640</v>
      </c>
      <c r="C92" s="154" t="s">
        <v>265</v>
      </c>
      <c r="D92" s="15"/>
      <c r="E92" s="25">
        <f>1/(E89+(E89^2-E82^2)^0.5)</f>
        <v>0.99570618758867901</v>
      </c>
      <c r="F92" s="6"/>
      <c r="H92"/>
    </row>
    <row r="93" spans="1:9" ht="30" x14ac:dyDescent="0.25">
      <c r="A93" s="7"/>
      <c r="B93" s="100" t="s">
        <v>641</v>
      </c>
      <c r="C93" s="154" t="s">
        <v>264</v>
      </c>
      <c r="D93" s="15"/>
      <c r="E93" s="155">
        <f>1/(E90+(E90^2-E83^2)^0.5)</f>
        <v>0.56860044962685197</v>
      </c>
      <c r="F93" s="6"/>
      <c r="H93"/>
    </row>
    <row r="94" spans="1:9" ht="18.75" customHeight="1" x14ac:dyDescent="0.25">
      <c r="A94" s="310"/>
      <c r="B94" s="311" t="s">
        <v>54</v>
      </c>
      <c r="C94" s="96" t="s">
        <v>55</v>
      </c>
      <c r="D94" s="96" t="s">
        <v>48</v>
      </c>
      <c r="E94" s="312"/>
      <c r="F94" s="313" t="s">
        <v>87</v>
      </c>
      <c r="H94"/>
    </row>
    <row r="95" spans="1:9" ht="18.75" customHeight="1" x14ac:dyDescent="0.25">
      <c r="A95" s="310"/>
      <c r="B95" s="311"/>
      <c r="C95" s="96" t="s">
        <v>267</v>
      </c>
      <c r="D95" s="96" t="s">
        <v>48</v>
      </c>
      <c r="E95" s="312">
        <f>MIN(E92*E30/E55,E30/E55)</f>
        <v>316.81560514185242</v>
      </c>
      <c r="F95" s="313"/>
      <c r="H95"/>
    </row>
    <row r="96" spans="1:9" x14ac:dyDescent="0.25">
      <c r="A96" s="310"/>
      <c r="B96" s="311"/>
      <c r="C96" s="96" t="s">
        <v>266</v>
      </c>
      <c r="D96" s="96" t="s">
        <v>48</v>
      </c>
      <c r="E96" s="312">
        <f>MIN(E93*E30/E55,E30/E55)</f>
        <v>180.91832488127108</v>
      </c>
      <c r="F96" s="313"/>
      <c r="H96"/>
    </row>
    <row r="97" spans="1:9" x14ac:dyDescent="0.25">
      <c r="A97" s="310"/>
      <c r="B97" s="311" t="s">
        <v>52</v>
      </c>
      <c r="C97" s="96" t="s">
        <v>53</v>
      </c>
      <c r="D97" s="96" t="s">
        <v>34</v>
      </c>
      <c r="E97" s="312">
        <f>E35</f>
        <v>13900</v>
      </c>
      <c r="F97" s="313" t="s">
        <v>87</v>
      </c>
      <c r="H97"/>
    </row>
    <row r="98" spans="1:9" x14ac:dyDescent="0.25">
      <c r="A98" s="310"/>
      <c r="B98" s="311" t="s">
        <v>49</v>
      </c>
      <c r="C98" s="96" t="s">
        <v>50</v>
      </c>
      <c r="D98" s="96" t="s">
        <v>12</v>
      </c>
      <c r="E98" s="312" t="s">
        <v>51</v>
      </c>
      <c r="F98" s="313" t="s">
        <v>87</v>
      </c>
      <c r="H98"/>
    </row>
    <row r="99" spans="1:9" x14ac:dyDescent="0.25">
      <c r="A99" s="310"/>
      <c r="B99" s="311"/>
      <c r="C99" s="317" t="s">
        <v>269</v>
      </c>
      <c r="D99" s="317" t="s">
        <v>12</v>
      </c>
      <c r="E99" s="318">
        <f>E97*E95/10^3</f>
        <v>4403.7369114717485</v>
      </c>
      <c r="F99" s="313"/>
      <c r="H99"/>
    </row>
    <row r="100" spans="1:9" x14ac:dyDescent="0.25">
      <c r="A100" s="310"/>
      <c r="B100" s="311"/>
      <c r="C100" s="317" t="s">
        <v>268</v>
      </c>
      <c r="D100" s="317" t="s">
        <v>12</v>
      </c>
      <c r="E100" s="318">
        <f>E97*E96/10^3</f>
        <v>2514.7647158496679</v>
      </c>
      <c r="F100" s="313"/>
      <c r="H100"/>
    </row>
    <row r="101" spans="1:9" x14ac:dyDescent="0.25">
      <c r="A101" s="7"/>
      <c r="B101" s="69" t="s">
        <v>49</v>
      </c>
      <c r="C101" s="24" t="s">
        <v>50</v>
      </c>
      <c r="D101" s="24" t="s">
        <v>12</v>
      </c>
      <c r="E101" s="44">
        <f>MIN(E100,E99)</f>
        <v>2514.7647158496679</v>
      </c>
      <c r="F101" s="6"/>
      <c r="G101" s="27"/>
      <c r="H101"/>
      <c r="I101" s="54"/>
    </row>
    <row r="102" spans="1:9" x14ac:dyDescent="0.25">
      <c r="A102" s="7"/>
      <c r="B102" s="33"/>
      <c r="C102" s="62" t="s">
        <v>172</v>
      </c>
      <c r="D102" s="63"/>
      <c r="E102" s="64">
        <f>IF(E4&lt;=0,ABS(E4)/E101,0)</f>
        <v>6.9576687988833546E-3</v>
      </c>
      <c r="F102" s="6"/>
      <c r="H102"/>
    </row>
    <row r="103" spans="1:9" x14ac:dyDescent="0.25">
      <c r="A103" s="7"/>
      <c r="B103" s="33"/>
      <c r="C103" s="5"/>
      <c r="D103" s="5"/>
      <c r="E103" s="28" t="str">
        <f>IF(E4&gt;0,"NOT APPLICABLE",IF(E102&lt;=1,"PASS","FAIL"))</f>
        <v>PASS</v>
      </c>
      <c r="F103" s="6"/>
      <c r="H103"/>
    </row>
    <row r="104" spans="1:9" x14ac:dyDescent="0.25">
      <c r="A104" s="7"/>
      <c r="B104" s="33"/>
      <c r="C104" s="5"/>
      <c r="D104" s="5"/>
      <c r="E104" s="23"/>
      <c r="F104" s="6"/>
      <c r="H104"/>
    </row>
    <row r="105" spans="1:9" x14ac:dyDescent="0.25">
      <c r="A105" s="13" t="str">
        <f>$A$63&amp;"C"</f>
        <v>5C</v>
      </c>
      <c r="B105" s="67" t="s">
        <v>82</v>
      </c>
      <c r="C105" s="5"/>
      <c r="D105" s="5"/>
      <c r="E105" s="23"/>
      <c r="F105" s="6"/>
      <c r="H105"/>
    </row>
    <row r="106" spans="1:9" x14ac:dyDescent="0.25">
      <c r="A106" s="13"/>
      <c r="B106" s="100" t="s">
        <v>642</v>
      </c>
      <c r="C106" s="5"/>
      <c r="D106" s="5"/>
      <c r="E106" s="23"/>
      <c r="F106" s="6"/>
      <c r="H106"/>
    </row>
    <row r="107" spans="1:9" x14ac:dyDescent="0.25">
      <c r="A107" s="314"/>
      <c r="B107" s="320" t="s">
        <v>89</v>
      </c>
      <c r="C107" s="96" t="s">
        <v>336</v>
      </c>
      <c r="D107" s="96"/>
      <c r="E107" s="312">
        <f>MAX(IF(E20=Q2,E24/2,(E24-E28)/2)/E25,IF(E20=Q2,E26/2,(E26-E28)/2)/E27)</f>
        <v>5.6063829787234045</v>
      </c>
      <c r="F107" s="313" t="s">
        <v>84</v>
      </c>
      <c r="H107"/>
    </row>
    <row r="108" spans="1:9" x14ac:dyDescent="0.25">
      <c r="A108" s="314"/>
      <c r="B108" s="320"/>
      <c r="C108" s="96" t="s">
        <v>337</v>
      </c>
      <c r="D108" s="96"/>
      <c r="E108" s="312">
        <f>E34/E28</f>
        <v>41.077586206896555</v>
      </c>
      <c r="F108" s="313" t="s">
        <v>84</v>
      </c>
      <c r="H108"/>
    </row>
    <row r="109" spans="1:9" ht="33.75" customHeight="1" x14ac:dyDescent="0.25">
      <c r="A109" s="314"/>
      <c r="B109" s="320"/>
      <c r="C109" s="315" t="s">
        <v>91</v>
      </c>
      <c r="D109" s="96"/>
      <c r="E109" s="312"/>
      <c r="F109" s="313" t="s">
        <v>84</v>
      </c>
      <c r="H109"/>
    </row>
    <row r="110" spans="1:9" x14ac:dyDescent="0.25">
      <c r="A110" s="314"/>
      <c r="B110" s="320"/>
      <c r="C110" s="315" t="s">
        <v>91</v>
      </c>
      <c r="D110" s="96"/>
      <c r="E110" s="312">
        <f>SQRT(250/E30)</f>
        <v>0.84515425472851657</v>
      </c>
      <c r="F110" s="313"/>
      <c r="H110"/>
    </row>
    <row r="111" spans="1:9" x14ac:dyDescent="0.25">
      <c r="A111" s="314"/>
      <c r="B111" s="320" t="s">
        <v>273</v>
      </c>
      <c r="C111" s="315" t="s">
        <v>275</v>
      </c>
      <c r="D111" s="96"/>
      <c r="E111" s="312" t="str">
        <f>IF(E107&lt;=(IF($E$20=$Q$2,9.4,8.4)*E110),"Plastic",IF(E107&lt;=(IF($E$20=$Q$2,10.5,9.4)*E110),"Compact",IF(E107&lt;=(IF($E$20=$Q$2,15.7,13.6)*E110),"Semi-compact","Slender")))</f>
        <v>Plastic</v>
      </c>
      <c r="F111" s="313" t="str">
        <f>"Table 2 ("&amp;$E$20&amp;")"</f>
        <v>Table 2 (Rolled)</v>
      </c>
      <c r="G111" s="1">
        <f>IF(E107&lt;=(IF($E$20=$Q$2,9.4,8.4)*E110),1,IF(E107&lt;=(IF($E$20=$Q$2,10.5,9.4)*E110),2,IF(E107&lt;=(IF($E$20=$Q$2,15.7,13.6)*E110),3,4)))</f>
        <v>1</v>
      </c>
      <c r="H111"/>
    </row>
    <row r="112" spans="1:9" x14ac:dyDescent="0.25">
      <c r="A112" s="314"/>
      <c r="B112" s="320" t="s">
        <v>274</v>
      </c>
      <c r="C112" s="315" t="s">
        <v>276</v>
      </c>
      <c r="D112" s="96"/>
      <c r="E112" s="312" t="str">
        <f>IF(E108&lt;=(84*E110),"Plastic",IF(E108&lt;=(105*E110),"Compact",IF(E108&lt;=(126*E110),"Semi-compact","Slender")))</f>
        <v>Plastic</v>
      </c>
      <c r="F112" s="313" t="str">
        <f t="shared" ref="F112:F113" si="0">"Table 2 ("&amp;$E$20&amp;")"</f>
        <v>Table 2 (Rolled)</v>
      </c>
      <c r="G112" s="1">
        <f>IF(E108&lt;=(84*E110),1,IF(E108&lt;=(105*E110),2,IF(E108&lt;=(126*E110),3,4)))</f>
        <v>1</v>
      </c>
      <c r="H112"/>
    </row>
    <row r="113" spans="1:12" x14ac:dyDescent="0.25">
      <c r="A113" s="310"/>
      <c r="B113" s="320" t="s">
        <v>85</v>
      </c>
      <c r="C113" s="96"/>
      <c r="D113" s="96"/>
      <c r="E113" s="312" t="str">
        <f>IF(G113=1,"Plastic",IF(G113=2,"Compact",IF(G113=3,"Semi-compact","Slender")))</f>
        <v>Plastic</v>
      </c>
      <c r="F113" s="313" t="str">
        <f t="shared" si="0"/>
        <v>Table 2 (Rolled)</v>
      </c>
      <c r="G113" s="1">
        <f>MAX(G111,G112)</f>
        <v>1</v>
      </c>
      <c r="H113"/>
    </row>
    <row r="114" spans="1:12" x14ac:dyDescent="0.25">
      <c r="A114" s="310"/>
      <c r="B114" s="320"/>
      <c r="C114" s="315" t="s">
        <v>278</v>
      </c>
      <c r="D114" s="96"/>
      <c r="E114" s="312">
        <f>IF(G113&lt;=2,1,IF(G113&lt;=3,E43/E45,0))</f>
        <v>1</v>
      </c>
      <c r="F114" s="313"/>
      <c r="H114"/>
    </row>
    <row r="115" spans="1:12" x14ac:dyDescent="0.25">
      <c r="A115" s="310"/>
      <c r="B115" s="320"/>
      <c r="C115" s="315" t="s">
        <v>279</v>
      </c>
      <c r="D115" s="96"/>
      <c r="E115" s="312">
        <f>IF(G113&lt;=2,1,IF(G113&lt;=3,E44/E46,0))</f>
        <v>1</v>
      </c>
      <c r="F115" s="313"/>
      <c r="H115"/>
    </row>
    <row r="116" spans="1:12" ht="41.25" customHeight="1" x14ac:dyDescent="0.25">
      <c r="A116" s="310"/>
      <c r="B116" s="320" t="s">
        <v>338</v>
      </c>
      <c r="C116" s="96" t="s">
        <v>98</v>
      </c>
      <c r="D116" s="96" t="s">
        <v>7</v>
      </c>
      <c r="E116" s="312"/>
      <c r="F116" s="313" t="s">
        <v>183</v>
      </c>
      <c r="H116"/>
    </row>
    <row r="117" spans="1:12" ht="30" x14ac:dyDescent="0.25">
      <c r="A117" s="13"/>
      <c r="B117" s="161" t="s">
        <v>339</v>
      </c>
      <c r="C117" s="15" t="s">
        <v>280</v>
      </c>
      <c r="D117" s="15" t="s">
        <v>7</v>
      </c>
      <c r="E117" s="25">
        <f>MIN(E114*E45*E30/E55,1.2*E43*E30/E55)/10^6</f>
        <v>900.13636363636351</v>
      </c>
      <c r="F117" s="6"/>
      <c r="H117"/>
    </row>
    <row r="118" spans="1:12" ht="30" x14ac:dyDescent="0.25">
      <c r="A118" s="13"/>
      <c r="B118" s="161" t="s">
        <v>340</v>
      </c>
      <c r="C118" s="15" t="s">
        <v>281</v>
      </c>
      <c r="D118" s="15" t="s">
        <v>7</v>
      </c>
      <c r="E118" s="25">
        <f>MIN(E115*E46*E30/E55,1.2*E44*E30/E55)/10^6</f>
        <v>106.52727272727272</v>
      </c>
      <c r="F118" s="6"/>
      <c r="H118"/>
    </row>
    <row r="119" spans="1:12" x14ac:dyDescent="0.25">
      <c r="A119" s="13"/>
      <c r="B119" s="160"/>
      <c r="C119" s="14"/>
      <c r="D119" s="5"/>
      <c r="E119" s="23"/>
      <c r="F119" s="6"/>
    </row>
    <row r="120" spans="1:12" x14ac:dyDescent="0.25">
      <c r="A120" s="13"/>
      <c r="B120" s="100" t="s">
        <v>643</v>
      </c>
      <c r="C120" s="5"/>
      <c r="D120" s="5"/>
      <c r="E120" s="23"/>
      <c r="F120" s="6"/>
      <c r="H120"/>
    </row>
    <row r="121" spans="1:12" x14ac:dyDescent="0.25">
      <c r="A121" s="13"/>
      <c r="B121" s="160" t="s">
        <v>341</v>
      </c>
      <c r="C121" s="14" t="s">
        <v>342</v>
      </c>
      <c r="D121" s="5" t="s">
        <v>236</v>
      </c>
      <c r="E121" s="86">
        <f>VLOOKUP($E$20,$Q$2:$R$3,2,FALSE)</f>
        <v>0.21</v>
      </c>
      <c r="F121" s="16" t="str">
        <f>"Cl. 8.2.2 ("&amp;E20&amp;")"</f>
        <v>Cl. 8.2.2 (Rolled)</v>
      </c>
    </row>
    <row r="122" spans="1:12" ht="18" x14ac:dyDescent="0.25">
      <c r="A122" s="7"/>
      <c r="B122" s="160"/>
      <c r="C122" s="5" t="s">
        <v>345</v>
      </c>
      <c r="D122" s="5"/>
      <c r="E122" s="23">
        <f>MAX(E16,E17)</f>
        <v>3700</v>
      </c>
      <c r="F122" s="6"/>
    </row>
    <row r="123" spans="1:12" x14ac:dyDescent="0.25">
      <c r="A123" s="7"/>
      <c r="B123" s="160" t="s">
        <v>357</v>
      </c>
      <c r="C123" s="5" t="s">
        <v>358</v>
      </c>
      <c r="D123" s="5" t="s">
        <v>8</v>
      </c>
      <c r="E123" s="35" t="s">
        <v>359</v>
      </c>
      <c r="F123" s="6"/>
      <c r="K123" s="27"/>
    </row>
    <row r="124" spans="1:12" x14ac:dyDescent="0.25">
      <c r="A124" s="7"/>
      <c r="B124" s="160"/>
      <c r="C124" s="5"/>
      <c r="D124" s="5"/>
      <c r="E124" s="23">
        <f>E23-E25/2-E27/2</f>
        <v>520.70000000000005</v>
      </c>
      <c r="F124" s="6"/>
      <c r="I124" s="27"/>
      <c r="J124" s="27"/>
      <c r="K124" s="99"/>
    </row>
    <row r="125" spans="1:12" x14ac:dyDescent="0.25">
      <c r="A125" s="7"/>
      <c r="B125" s="160" t="s">
        <v>713</v>
      </c>
      <c r="C125" s="14" t="s">
        <v>153</v>
      </c>
      <c r="D125" s="5" t="s">
        <v>236</v>
      </c>
      <c r="E125" s="23">
        <f>E10</f>
        <v>1</v>
      </c>
      <c r="F125" s="6"/>
      <c r="I125" s="27"/>
      <c r="J125" s="27"/>
      <c r="K125" s="99"/>
    </row>
    <row r="126" spans="1:12" ht="19.5" customHeight="1" x14ac:dyDescent="0.25">
      <c r="A126" s="7"/>
      <c r="B126" s="160"/>
      <c r="C126" s="5" t="s">
        <v>712</v>
      </c>
      <c r="D126" s="5" t="s">
        <v>236</v>
      </c>
      <c r="E126" s="23"/>
      <c r="F126" s="6"/>
      <c r="I126" s="27"/>
      <c r="J126" s="27"/>
      <c r="K126" s="99"/>
    </row>
    <row r="127" spans="1:12" x14ac:dyDescent="0.25">
      <c r="A127" s="7"/>
      <c r="B127" s="160"/>
      <c r="C127" s="5" t="s">
        <v>712</v>
      </c>
      <c r="D127" s="5" t="s">
        <v>236</v>
      </c>
      <c r="E127" s="23">
        <f>MIN(1.88-1.4*E125+0.52*E125^2,2.7)</f>
        <v>1</v>
      </c>
      <c r="F127" s="6"/>
      <c r="I127" s="27"/>
      <c r="J127" s="27"/>
      <c r="K127" s="99"/>
    </row>
    <row r="128" spans="1:12" ht="44.25" customHeight="1" x14ac:dyDescent="0.25">
      <c r="A128" s="7"/>
      <c r="B128" s="160" t="s">
        <v>343</v>
      </c>
      <c r="C128" s="5" t="s">
        <v>344</v>
      </c>
      <c r="D128" s="5" t="s">
        <v>7</v>
      </c>
      <c r="E128" s="23"/>
      <c r="F128" s="6" t="s">
        <v>347</v>
      </c>
      <c r="K128" s="99"/>
      <c r="L128" s="87"/>
    </row>
    <row r="129" spans="1:11" x14ac:dyDescent="0.25">
      <c r="A129" s="7"/>
      <c r="B129" s="160"/>
      <c r="C129" s="5" t="s">
        <v>344</v>
      </c>
      <c r="D129" s="5" t="s">
        <v>7</v>
      </c>
      <c r="E129" s="40">
        <f>E127*SQRT(((PI()^2*E32*E40)/E122^2)*((E50*E47)+((PI()^2*E32*E48)/(E122^2))))/10^6</f>
        <v>1340.081971502917</v>
      </c>
      <c r="F129" s="6"/>
    </row>
    <row r="130" spans="1:11" ht="42" customHeight="1" x14ac:dyDescent="0.25">
      <c r="A130" s="7"/>
      <c r="B130" s="160" t="s">
        <v>56</v>
      </c>
      <c r="C130" s="14" t="s">
        <v>346</v>
      </c>
      <c r="D130" s="5" t="s">
        <v>236</v>
      </c>
      <c r="E130" s="23"/>
      <c r="F130" s="6" t="s">
        <v>348</v>
      </c>
      <c r="I130" s="27"/>
      <c r="K130" s="88"/>
    </row>
    <row r="131" spans="1:11" ht="16.5" x14ac:dyDescent="0.25">
      <c r="A131" s="7"/>
      <c r="B131" s="160"/>
      <c r="C131" s="14" t="s">
        <v>346</v>
      </c>
      <c r="D131" s="5" t="s">
        <v>236</v>
      </c>
      <c r="E131" s="23">
        <f>SQRT(MIN(E114*E45,1.2*E43)*E30/(E129*10^6))</f>
        <v>0.85957705388302197</v>
      </c>
      <c r="F131" s="6"/>
      <c r="J131" s="27"/>
    </row>
    <row r="132" spans="1:11" ht="18" x14ac:dyDescent="0.25">
      <c r="A132" s="7"/>
      <c r="B132" s="160"/>
      <c r="C132" s="5" t="s">
        <v>349</v>
      </c>
      <c r="D132" s="5" t="s">
        <v>236</v>
      </c>
      <c r="E132" s="23"/>
      <c r="F132" s="6" t="s">
        <v>348</v>
      </c>
      <c r="H132" s="85"/>
      <c r="J132" s="87"/>
    </row>
    <row r="133" spans="1:11" ht="18" x14ac:dyDescent="0.25">
      <c r="A133" s="7"/>
      <c r="B133" s="160"/>
      <c r="C133" s="5" t="s">
        <v>349</v>
      </c>
      <c r="D133" s="5" t="s">
        <v>236</v>
      </c>
      <c r="E133" s="23">
        <f>0.5*(1+E121*(E131-0.2)+E131^2)</f>
        <v>0.93869194643882503</v>
      </c>
      <c r="F133" s="6"/>
      <c r="H133" s="85"/>
    </row>
    <row r="134" spans="1:11" ht="33.75" customHeight="1" x14ac:dyDescent="0.25">
      <c r="A134" s="7"/>
      <c r="B134" s="160" t="s">
        <v>350</v>
      </c>
      <c r="C134" s="14" t="s">
        <v>351</v>
      </c>
      <c r="D134" s="5" t="s">
        <v>236</v>
      </c>
      <c r="E134" s="23"/>
      <c r="F134" s="6" t="s">
        <v>348</v>
      </c>
      <c r="H134" s="85"/>
    </row>
    <row r="135" spans="1:11" ht="16.5" x14ac:dyDescent="0.25">
      <c r="A135" s="7"/>
      <c r="B135" s="161"/>
      <c r="C135" s="14" t="s">
        <v>351</v>
      </c>
      <c r="D135" s="17" t="s">
        <v>236</v>
      </c>
      <c r="E135" s="321">
        <f>MIN(1/(E133+(E133^2-E131^2)^0.5),1)</f>
        <v>0.75994845742907102</v>
      </c>
      <c r="F135" s="80"/>
      <c r="H135" s="85"/>
    </row>
    <row r="136" spans="1:11" ht="30" x14ac:dyDescent="0.25">
      <c r="A136" s="310"/>
      <c r="B136" s="320" t="s">
        <v>352</v>
      </c>
      <c r="C136" s="96" t="s">
        <v>996</v>
      </c>
      <c r="D136" s="96" t="s">
        <v>48</v>
      </c>
      <c r="E136" s="312"/>
      <c r="F136" s="313"/>
      <c r="H136" s="85"/>
    </row>
    <row r="137" spans="1:11" ht="18" x14ac:dyDescent="0.25">
      <c r="A137" s="310"/>
      <c r="B137" s="320"/>
      <c r="C137" s="96" t="s">
        <v>996</v>
      </c>
      <c r="D137" s="96" t="s">
        <v>48</v>
      </c>
      <c r="E137" s="312">
        <f>MIN(E135*E30/E55,E30/E55)</f>
        <v>241.80178190924983</v>
      </c>
      <c r="F137" s="313"/>
      <c r="H137" s="85"/>
    </row>
    <row r="138" spans="1:11" ht="39.75" customHeight="1" x14ac:dyDescent="0.25">
      <c r="A138" s="310"/>
      <c r="B138" s="320" t="s">
        <v>353</v>
      </c>
      <c r="C138" s="96" t="s">
        <v>98</v>
      </c>
      <c r="D138" s="96" t="s">
        <v>7</v>
      </c>
      <c r="E138" s="312"/>
      <c r="F138" s="313" t="s">
        <v>348</v>
      </c>
      <c r="H138" s="85"/>
    </row>
    <row r="139" spans="1:11" x14ac:dyDescent="0.25">
      <c r="A139" s="310"/>
      <c r="B139" s="320"/>
      <c r="C139" s="96" t="s">
        <v>98</v>
      </c>
      <c r="D139" s="96" t="s">
        <v>7</v>
      </c>
      <c r="E139" s="312">
        <f>MIN(E114*E45*E137,1.2*E43*E30/E55)/10^6</f>
        <v>684.05724102126783</v>
      </c>
      <c r="F139" s="313"/>
      <c r="H139" s="85"/>
    </row>
    <row r="140" spans="1:11" ht="30" x14ac:dyDescent="0.25">
      <c r="A140" s="26"/>
      <c r="B140" s="162" t="s">
        <v>110</v>
      </c>
      <c r="C140" s="24" t="s">
        <v>280</v>
      </c>
      <c r="D140" s="24" t="s">
        <v>7</v>
      </c>
      <c r="E140" s="44">
        <f>E139</f>
        <v>684.05724102126783</v>
      </c>
      <c r="F140" s="6"/>
      <c r="G140" s="27"/>
      <c r="H140" s="85"/>
    </row>
    <row r="141" spans="1:11" x14ac:dyDescent="0.25">
      <c r="A141" s="26"/>
      <c r="B141" s="160"/>
      <c r="C141" s="62" t="s">
        <v>172</v>
      </c>
      <c r="D141" s="65"/>
      <c r="E141" s="64">
        <f>ABS(E8)/E140</f>
        <v>0.59644131445911408</v>
      </c>
      <c r="F141" s="6"/>
      <c r="H141"/>
    </row>
    <row r="142" spans="1:11" x14ac:dyDescent="0.25">
      <c r="A142" s="26"/>
      <c r="B142" s="160"/>
      <c r="C142" s="5"/>
      <c r="D142" s="5"/>
      <c r="E142" s="28" t="str">
        <f>IF(E141&lt;=1,"PASS","FAIL")</f>
        <v>PASS</v>
      </c>
      <c r="F142" s="6"/>
      <c r="H142" s="85"/>
    </row>
    <row r="143" spans="1:11" ht="30" x14ac:dyDescent="0.25">
      <c r="A143" s="26"/>
      <c r="B143" s="162" t="s">
        <v>111</v>
      </c>
      <c r="C143" s="24" t="s">
        <v>281</v>
      </c>
      <c r="D143" s="24" t="s">
        <v>7</v>
      </c>
      <c r="E143" s="44">
        <f>E118</f>
        <v>106.52727272727272</v>
      </c>
      <c r="F143" s="6"/>
      <c r="G143" s="87"/>
      <c r="H143"/>
    </row>
    <row r="144" spans="1:11" x14ac:dyDescent="0.25">
      <c r="A144" s="26"/>
      <c r="B144" s="160"/>
      <c r="C144" s="62" t="s">
        <v>172</v>
      </c>
      <c r="D144" s="65"/>
      <c r="E144" s="64">
        <f>ABS(E9)/E143</f>
        <v>0.33897422768390512</v>
      </c>
      <c r="F144" s="6"/>
      <c r="H144"/>
    </row>
    <row r="145" spans="1:8" x14ac:dyDescent="0.25">
      <c r="A145" s="26"/>
      <c r="B145" s="160"/>
      <c r="C145" s="5"/>
      <c r="D145" s="5"/>
      <c r="E145" s="28" t="str">
        <f>IF(E144&lt;=1,"PASS","FAIL")</f>
        <v>PASS</v>
      </c>
      <c r="F145" s="6"/>
      <c r="H145"/>
    </row>
    <row r="146" spans="1:8" x14ac:dyDescent="0.25">
      <c r="A146" s="7"/>
      <c r="B146" s="160"/>
      <c r="C146" s="5"/>
      <c r="D146" s="5"/>
      <c r="E146" s="23"/>
      <c r="F146" s="6"/>
      <c r="H146"/>
    </row>
    <row r="147" spans="1:8" x14ac:dyDescent="0.25">
      <c r="A147" s="13" t="str">
        <f>$A$63&amp;"D"</f>
        <v>5D</v>
      </c>
      <c r="B147" s="67" t="s">
        <v>100</v>
      </c>
      <c r="C147" s="5"/>
      <c r="D147" s="5"/>
      <c r="E147" s="23"/>
      <c r="F147" s="6"/>
      <c r="H147"/>
    </row>
    <row r="148" spans="1:8" x14ac:dyDescent="0.25">
      <c r="A148" s="314"/>
      <c r="B148" s="311" t="s">
        <v>103</v>
      </c>
      <c r="C148" s="96" t="s">
        <v>283</v>
      </c>
      <c r="D148" s="96" t="s">
        <v>34</v>
      </c>
      <c r="E148" s="312" t="s">
        <v>354</v>
      </c>
      <c r="F148" s="313" t="s">
        <v>184</v>
      </c>
      <c r="H148"/>
    </row>
    <row r="149" spans="1:8" x14ac:dyDescent="0.25">
      <c r="A149" s="314"/>
      <c r="B149" s="311"/>
      <c r="C149" s="96" t="s">
        <v>283</v>
      </c>
      <c r="D149" s="96" t="s">
        <v>34</v>
      </c>
      <c r="E149" s="312">
        <f>IF(E20=Q2,E23,E34)*E28</f>
        <v>6258.2</v>
      </c>
      <c r="F149" s="313"/>
      <c r="H149"/>
    </row>
    <row r="150" spans="1:8" x14ac:dyDescent="0.25">
      <c r="A150" s="314"/>
      <c r="B150" s="311"/>
      <c r="C150" s="96" t="s">
        <v>282</v>
      </c>
      <c r="D150" s="96" t="s">
        <v>34</v>
      </c>
      <c r="E150" s="312" t="s">
        <v>360</v>
      </c>
      <c r="F150" s="313"/>
      <c r="H150"/>
    </row>
    <row r="151" spans="1:8" x14ac:dyDescent="0.25">
      <c r="A151" s="314"/>
      <c r="B151" s="311"/>
      <c r="C151" s="96" t="s">
        <v>282</v>
      </c>
      <c r="D151" s="96" t="s">
        <v>34</v>
      </c>
      <c r="E151" s="312">
        <f>E24*E25+E26*E27</f>
        <v>7926.0800000000008</v>
      </c>
      <c r="F151" s="313"/>
      <c r="H151"/>
    </row>
    <row r="152" spans="1:8" x14ac:dyDescent="0.25">
      <c r="A152" s="314"/>
      <c r="B152" s="311" t="s">
        <v>289</v>
      </c>
      <c r="C152" s="96" t="s">
        <v>272</v>
      </c>
      <c r="D152" s="96" t="s">
        <v>236</v>
      </c>
      <c r="E152" s="312">
        <f>E108</f>
        <v>41.077586206896555</v>
      </c>
      <c r="F152" s="313" t="s">
        <v>288</v>
      </c>
      <c r="G152" s="27">
        <f>67*E110</f>
        <v>56.625335066810614</v>
      </c>
      <c r="H152"/>
    </row>
    <row r="153" spans="1:8" ht="30" x14ac:dyDescent="0.25">
      <c r="A153" s="314"/>
      <c r="B153" s="311"/>
      <c r="C153" s="96"/>
      <c r="D153" s="96"/>
      <c r="E153" s="316" t="str">
        <f>IF(E152&lt;=67*E110,"D/Tw&lt;=67e, Webs not susceptible to web buckling","D/Tw&gt;67e, Webs are susceptible to web buckling")</f>
        <v>D/Tw&lt;=67e, Webs not susceptible to web buckling</v>
      </c>
      <c r="F153" s="313"/>
      <c r="H153"/>
    </row>
    <row r="154" spans="1:8" ht="33" customHeight="1" x14ac:dyDescent="0.25">
      <c r="A154" s="314"/>
      <c r="B154" s="311" t="s">
        <v>101</v>
      </c>
      <c r="C154" s="96" t="s">
        <v>102</v>
      </c>
      <c r="D154" s="96" t="s">
        <v>12</v>
      </c>
      <c r="E154" s="312"/>
      <c r="F154" s="313" t="s">
        <v>185</v>
      </c>
      <c r="H154"/>
    </row>
    <row r="155" spans="1:8" ht="30" x14ac:dyDescent="0.25">
      <c r="A155" s="26"/>
      <c r="B155" s="69" t="s">
        <v>376</v>
      </c>
      <c r="C155" s="24" t="s">
        <v>286</v>
      </c>
      <c r="D155" s="24" t="s">
        <v>12</v>
      </c>
      <c r="E155" s="44">
        <f>IF(E152&lt;=67*E110,E149*E30/SQRT(3)/E55/1000,0)</f>
        <v>1149.646099204437</v>
      </c>
      <c r="F155" s="6"/>
      <c r="G155" s="145"/>
      <c r="H155" s="27">
        <f>E155*0.6</f>
        <v>689.78765952266212</v>
      </c>
    </row>
    <row r="156" spans="1:8" x14ac:dyDescent="0.25">
      <c r="A156" s="26"/>
      <c r="B156" s="33"/>
      <c r="C156" s="62" t="s">
        <v>172</v>
      </c>
      <c r="D156" s="65"/>
      <c r="E156" s="64">
        <f>ABS(E5)/E155</f>
        <v>0.16168453938010161</v>
      </c>
      <c r="F156" s="6"/>
      <c r="H156" s="85">
        <f>H155/1.5</f>
        <v>459.85843968177477</v>
      </c>
    </row>
    <row r="157" spans="1:8" x14ac:dyDescent="0.25">
      <c r="A157" s="26"/>
      <c r="B157" s="33"/>
      <c r="C157" s="5"/>
      <c r="D157" s="5"/>
      <c r="E157" s="28" t="str">
        <f>IF(E156&lt;=1,"PASS","FAIL")</f>
        <v>PASS</v>
      </c>
      <c r="F157" s="6"/>
    </row>
    <row r="158" spans="1:8" ht="30" x14ac:dyDescent="0.25">
      <c r="A158" s="26"/>
      <c r="B158" s="69" t="s">
        <v>375</v>
      </c>
      <c r="C158" s="24" t="s">
        <v>287</v>
      </c>
      <c r="D158" s="24" t="s">
        <v>12</v>
      </c>
      <c r="E158" s="44">
        <f>IF(E107&lt;=67*E110,E151*E30/SQRT(3)/E55/1000,0)</f>
        <v>1456.0395886967985</v>
      </c>
      <c r="F158" s="6"/>
      <c r="G158" s="145"/>
      <c r="H158" s="27">
        <f>E158*0.6</f>
        <v>873.62375321807906</v>
      </c>
    </row>
    <row r="159" spans="1:8" x14ac:dyDescent="0.25">
      <c r="A159" s="26"/>
      <c r="B159" s="33"/>
      <c r="C159" s="62" t="s">
        <v>172</v>
      </c>
      <c r="D159" s="65"/>
      <c r="E159" s="64">
        <f>ABS(E6)/E158</f>
        <v>1.0981844260369016E-2</v>
      </c>
      <c r="F159" s="6"/>
      <c r="H159" s="85">
        <f>H158/1.5</f>
        <v>582.41583547871937</v>
      </c>
    </row>
    <row r="160" spans="1:8" x14ac:dyDescent="0.25">
      <c r="A160" s="7"/>
      <c r="B160" s="33"/>
      <c r="C160" s="5"/>
      <c r="D160" s="5"/>
      <c r="E160" s="28" t="str">
        <f>IF(E159&lt;=1,"PASS","FAIL")</f>
        <v>PASS</v>
      </c>
      <c r="F160" s="6"/>
      <c r="H160"/>
    </row>
    <row r="161" spans="1:8" x14ac:dyDescent="0.25">
      <c r="A161" s="7"/>
      <c r="B161" s="33"/>
      <c r="C161" s="5"/>
      <c r="D161" s="5"/>
      <c r="E161" s="25"/>
      <c r="F161" s="6"/>
      <c r="H161"/>
    </row>
    <row r="162" spans="1:8" x14ac:dyDescent="0.25">
      <c r="A162" s="11">
        <v>6</v>
      </c>
      <c r="B162" s="59" t="s">
        <v>105</v>
      </c>
      <c r="C162" s="4"/>
      <c r="D162" s="4"/>
      <c r="E162" s="36"/>
      <c r="F162" s="12"/>
      <c r="H162"/>
    </row>
    <row r="163" spans="1:8" x14ac:dyDescent="0.25">
      <c r="A163" s="13" t="str">
        <f>$A$162&amp;"A"</f>
        <v>6A</v>
      </c>
      <c r="B163" s="67" t="s">
        <v>106</v>
      </c>
      <c r="C163" s="5"/>
      <c r="D163" s="5"/>
      <c r="E163" s="23"/>
      <c r="F163" s="6" t="s">
        <v>186</v>
      </c>
      <c r="H163"/>
    </row>
    <row r="164" spans="1:8" x14ac:dyDescent="0.25">
      <c r="A164" s="13"/>
      <c r="B164" s="33" t="s">
        <v>89</v>
      </c>
      <c r="C164" s="5" t="s">
        <v>112</v>
      </c>
      <c r="D164" s="5" t="s">
        <v>236</v>
      </c>
      <c r="E164" s="41" t="s">
        <v>112</v>
      </c>
      <c r="F164" s="6" t="s">
        <v>108</v>
      </c>
      <c r="H164"/>
    </row>
    <row r="165" spans="1:8" x14ac:dyDescent="0.25">
      <c r="A165" s="13"/>
      <c r="B165" s="33"/>
      <c r="C165" s="5" t="s">
        <v>298</v>
      </c>
      <c r="D165" s="5" t="s">
        <v>236</v>
      </c>
      <c r="E165" s="23">
        <f>ABS(E5)/E155</f>
        <v>0.16168453938010161</v>
      </c>
      <c r="F165" s="6"/>
      <c r="H165"/>
    </row>
    <row r="166" spans="1:8" x14ac:dyDescent="0.25">
      <c r="A166" s="13"/>
      <c r="B166" s="33"/>
      <c r="C166" s="5"/>
      <c r="D166" s="5"/>
      <c r="E166" s="23" t="str">
        <f>IF(E165&lt;=0.6,"V/Vd &lt;= 0.6","V/Vd &gt; 0.6")</f>
        <v>V/Vd &lt;= 0.6</v>
      </c>
      <c r="F166" s="6" t="s">
        <v>108</v>
      </c>
      <c r="H166"/>
    </row>
    <row r="167" spans="1:8" x14ac:dyDescent="0.25">
      <c r="A167" s="13"/>
      <c r="B167" s="33"/>
      <c r="C167" s="5" t="s">
        <v>299</v>
      </c>
      <c r="D167" s="5" t="s">
        <v>236</v>
      </c>
      <c r="E167" s="23">
        <f>ABS(E6)/E158</f>
        <v>1.0981844260369016E-2</v>
      </c>
      <c r="F167" s="6"/>
      <c r="H167"/>
    </row>
    <row r="168" spans="1:8" x14ac:dyDescent="0.25">
      <c r="A168" s="13"/>
      <c r="B168" s="33"/>
      <c r="C168" s="5" t="s">
        <v>299</v>
      </c>
      <c r="D168" s="5" t="s">
        <v>236</v>
      </c>
      <c r="E168" s="23" t="str">
        <f>IF(E167&lt;=0.6,"V/Vd &lt;= 0.6","V/Vd &gt; 0.6")</f>
        <v>V/Vd &lt;= 0.6</v>
      </c>
      <c r="F168" s="6" t="s">
        <v>108</v>
      </c>
      <c r="H168"/>
    </row>
    <row r="169" spans="1:8" ht="39" customHeight="1" x14ac:dyDescent="0.25">
      <c r="A169" s="7"/>
      <c r="B169" s="33"/>
      <c r="C169" s="14" t="s">
        <v>109</v>
      </c>
      <c r="D169" s="5" t="s">
        <v>236</v>
      </c>
      <c r="E169" s="23"/>
      <c r="F169" s="6" t="s">
        <v>108</v>
      </c>
      <c r="H169"/>
    </row>
    <row r="170" spans="1:8" x14ac:dyDescent="0.25">
      <c r="A170" s="7"/>
      <c r="B170" s="33"/>
      <c r="C170" s="14" t="s">
        <v>301</v>
      </c>
      <c r="D170" s="5" t="s">
        <v>236</v>
      </c>
      <c r="E170" s="23">
        <f>IF(E165&lt;=0.6,0,(2*E165-1)^2)</f>
        <v>0</v>
      </c>
      <c r="F170" s="6"/>
      <c r="H170"/>
    </row>
    <row r="171" spans="1:8" x14ac:dyDescent="0.25">
      <c r="A171" s="7"/>
      <c r="B171" s="33"/>
      <c r="C171" s="14" t="s">
        <v>300</v>
      </c>
      <c r="D171" s="5" t="s">
        <v>236</v>
      </c>
      <c r="E171" s="23">
        <f>IF(E167&lt;=0.6,0,(2*E165-1)^2)</f>
        <v>0</v>
      </c>
      <c r="F171" s="6"/>
      <c r="H171"/>
    </row>
    <row r="172" spans="1:8" x14ac:dyDescent="0.25">
      <c r="A172" s="7"/>
      <c r="B172" s="33" t="s">
        <v>361</v>
      </c>
      <c r="C172" s="5" t="s">
        <v>131</v>
      </c>
      <c r="D172" s="5" t="s">
        <v>34</v>
      </c>
      <c r="E172" s="40">
        <f>E24*E25+E26*E27</f>
        <v>7926.0800000000008</v>
      </c>
      <c r="F172" s="6"/>
      <c r="H172"/>
    </row>
    <row r="173" spans="1:8" x14ac:dyDescent="0.25">
      <c r="A173" s="7"/>
      <c r="B173" s="33" t="s">
        <v>362</v>
      </c>
      <c r="C173" s="5" t="s">
        <v>364</v>
      </c>
      <c r="D173" s="5" t="s">
        <v>8</v>
      </c>
      <c r="E173" s="23">
        <f>((E24*E25)*(E23-E25/2)+(E26*E27)*(E27/2))/E172</f>
        <v>269.75</v>
      </c>
      <c r="F173" s="6"/>
      <c r="H173"/>
    </row>
    <row r="174" spans="1:8" x14ac:dyDescent="0.25">
      <c r="A174" s="7"/>
      <c r="B174" s="33" t="s">
        <v>363</v>
      </c>
      <c r="C174" s="5" t="s">
        <v>365</v>
      </c>
      <c r="D174" s="5" t="s">
        <v>8</v>
      </c>
      <c r="E174" s="23">
        <f>E38</f>
        <v>105.4</v>
      </c>
      <c r="F174" s="6"/>
      <c r="H174"/>
    </row>
    <row r="175" spans="1:8" ht="30" x14ac:dyDescent="0.25">
      <c r="A175" s="7"/>
      <c r="B175" s="33" t="s">
        <v>294</v>
      </c>
      <c r="C175" s="5" t="s">
        <v>290</v>
      </c>
      <c r="D175" s="5" t="s">
        <v>36</v>
      </c>
      <c r="E175" s="97">
        <f>((E24*E25^3/12)+(E24*E25)*(E173-(E23-E25/2))^2+(E26*E27^3/12)+(E26*E27)*(E173-(E27/2))^2)/MAX(E173,(E23-E173))</f>
        <v>1992511.4920521476</v>
      </c>
      <c r="F175" s="6"/>
    </row>
    <row r="176" spans="1:8" ht="30" x14ac:dyDescent="0.25">
      <c r="A176" s="7"/>
      <c r="B176" s="33" t="s">
        <v>295</v>
      </c>
      <c r="C176" s="5" t="s">
        <v>291</v>
      </c>
      <c r="D176" s="5" t="s">
        <v>36</v>
      </c>
      <c r="E176" s="97">
        <f>(E25*E24^2/6)+(E27*E26^2/6)</f>
        <v>278469.6106666667</v>
      </c>
      <c r="F176" s="6"/>
    </row>
    <row r="177" spans="1:8" ht="30" x14ac:dyDescent="0.25">
      <c r="A177" s="7"/>
      <c r="B177" s="33" t="s">
        <v>296</v>
      </c>
      <c r="C177" s="5" t="s">
        <v>292</v>
      </c>
      <c r="D177" s="5" t="s">
        <v>36</v>
      </c>
      <c r="E177" s="97">
        <f>(MAX(E24,E26)*E23^2/4)-(MAX(E24,E26)*E34^2/4)-((MAX(E24,E26)-MIN(E24,E26))*IF(MIN(E24,E26)=E24,E25^2/4,E27^2/4))</f>
        <v>3373221.5999999996</v>
      </c>
      <c r="F177" s="6"/>
    </row>
    <row r="178" spans="1:8" ht="30" x14ac:dyDescent="0.25">
      <c r="A178" s="7"/>
      <c r="B178" s="33" t="s">
        <v>297</v>
      </c>
      <c r="C178" s="5" t="s">
        <v>293</v>
      </c>
      <c r="D178" s="5" t="s">
        <v>36</v>
      </c>
      <c r="E178" s="40">
        <f>(E25*E24^2/4)+(E27*E26^2/4)</f>
        <v>417704.41600000008</v>
      </c>
      <c r="F178" s="6"/>
    </row>
    <row r="179" spans="1:8" ht="45" x14ac:dyDescent="0.25">
      <c r="A179" s="7"/>
      <c r="B179" s="33" t="s">
        <v>366</v>
      </c>
      <c r="C179" s="1" t="s">
        <v>134</v>
      </c>
      <c r="D179" s="1" t="s">
        <v>7</v>
      </c>
      <c r="F179" s="6" t="s">
        <v>108</v>
      </c>
    </row>
    <row r="180" spans="1:8" x14ac:dyDescent="0.25">
      <c r="A180" s="7"/>
      <c r="B180" s="33"/>
      <c r="C180" s="1" t="s">
        <v>302</v>
      </c>
      <c r="D180" s="1" t="s">
        <v>7</v>
      </c>
      <c r="E180" s="46">
        <f>MIN(E140*10^6,E114*E177*E30/E55,1.2*E175*E30/E55)/10^6</f>
        <v>684.05724102126783</v>
      </c>
      <c r="F180" s="6"/>
    </row>
    <row r="181" spans="1:8" x14ac:dyDescent="0.25">
      <c r="A181" s="7"/>
      <c r="B181" s="33"/>
      <c r="C181" s="1" t="s">
        <v>303</v>
      </c>
      <c r="D181" s="1" t="s">
        <v>7</v>
      </c>
      <c r="E181" s="46">
        <f>MIN(E143*10^6,E114*E178*E30/E55,1.2*E176*E30/E55)/10^6</f>
        <v>106.32476043636365</v>
      </c>
      <c r="F181" s="6"/>
    </row>
    <row r="182" spans="1:8" ht="83.25" customHeight="1" x14ac:dyDescent="0.25">
      <c r="A182" s="7"/>
      <c r="B182" s="33" t="s">
        <v>137</v>
      </c>
      <c r="C182" s="5" t="s">
        <v>107</v>
      </c>
      <c r="D182" s="5" t="s">
        <v>7</v>
      </c>
      <c r="E182" s="23"/>
      <c r="F182" s="6" t="s">
        <v>108</v>
      </c>
    </row>
    <row r="183" spans="1:8" ht="30" x14ac:dyDescent="0.25">
      <c r="A183" s="7"/>
      <c r="B183" s="69" t="s">
        <v>219</v>
      </c>
      <c r="C183" s="24" t="s">
        <v>214</v>
      </c>
      <c r="D183" s="24" t="s">
        <v>7</v>
      </c>
      <c r="E183" s="44">
        <f>IF(E165&lt;=0.6,E140,IF(G113&lt;=2,MIN(E140-E170*(E140-E180),1.2*E43*E30/E55/10^6),IF(G113&lt;=3,E43*E30/E55/10^6,0)))</f>
        <v>684.05724102126783</v>
      </c>
      <c r="F183" s="6"/>
      <c r="H183"/>
    </row>
    <row r="184" spans="1:8" x14ac:dyDescent="0.25">
      <c r="A184" s="7"/>
      <c r="B184" s="58"/>
      <c r="C184" s="62" t="s">
        <v>172</v>
      </c>
      <c r="D184" s="65"/>
      <c r="E184" s="64">
        <f>ABS(E8)/E183</f>
        <v>0.59644131445911408</v>
      </c>
      <c r="F184" s="6"/>
    </row>
    <row r="185" spans="1:8" x14ac:dyDescent="0.25">
      <c r="A185" s="7"/>
      <c r="B185" s="58"/>
      <c r="C185" s="5"/>
      <c r="D185" s="5"/>
      <c r="E185" s="28" t="str">
        <f>IF(ABS(E8)&lt;=E183,"PASS","FAIL")</f>
        <v>PASS</v>
      </c>
      <c r="F185" s="6"/>
    </row>
    <row r="186" spans="1:8" ht="30" x14ac:dyDescent="0.25">
      <c r="A186" s="7"/>
      <c r="B186" s="69" t="s">
        <v>220</v>
      </c>
      <c r="C186" s="24" t="s">
        <v>215</v>
      </c>
      <c r="D186" s="24" t="s">
        <v>7</v>
      </c>
      <c r="E186" s="44">
        <f>IF(E167&lt;=0.6,E143,IF(G113&lt;=2,MIN(E143-E171*(E143-E181),1.2*E44*E30/E55/10^6),IF(G113&lt;=3,E44*E30/E55/10^6,0)))</f>
        <v>106.52727272727272</v>
      </c>
      <c r="F186" s="6"/>
      <c r="H186"/>
    </row>
    <row r="187" spans="1:8" x14ac:dyDescent="0.25">
      <c r="A187" s="5"/>
      <c r="B187" s="58"/>
      <c r="C187" s="62" t="s">
        <v>172</v>
      </c>
      <c r="D187" s="65"/>
      <c r="E187" s="64">
        <f>ABS(E9)/E186</f>
        <v>0.33897422768390512</v>
      </c>
      <c r="F187" s="6"/>
    </row>
    <row r="188" spans="1:8" x14ac:dyDescent="0.25">
      <c r="A188" s="5"/>
      <c r="B188" s="58"/>
      <c r="C188" s="5"/>
      <c r="D188" s="5"/>
      <c r="E188" s="28" t="str">
        <f>IF(E187&lt;=1,"PASS","FAIL")</f>
        <v>PASS</v>
      </c>
      <c r="F188" s="6"/>
    </row>
    <row r="189" spans="1:8" x14ac:dyDescent="0.25">
      <c r="A189"/>
      <c r="B189" s="33"/>
      <c r="E189" s="38"/>
      <c r="F189" s="6"/>
    </row>
    <row r="190" spans="1:8" x14ac:dyDescent="0.25">
      <c r="A190" s="13" t="str">
        <f>$A$162&amp;"B"</f>
        <v>6B</v>
      </c>
      <c r="B190" s="67" t="s">
        <v>138</v>
      </c>
      <c r="C190" s="5"/>
      <c r="D190" s="5"/>
      <c r="E190" s="23"/>
      <c r="F190" s="6" t="s">
        <v>187</v>
      </c>
    </row>
    <row r="191" spans="1:8" x14ac:dyDescent="0.25">
      <c r="B191" s="33"/>
      <c r="C191" s="1" t="s">
        <v>120</v>
      </c>
      <c r="D191" s="1" t="s">
        <v>236</v>
      </c>
      <c r="E191" s="45" t="s">
        <v>367</v>
      </c>
      <c r="F191" s="18" t="s">
        <v>370</v>
      </c>
    </row>
    <row r="192" spans="1:8" x14ac:dyDescent="0.25">
      <c r="B192" s="33"/>
      <c r="E192" s="45">
        <f>MIN((E35-(E24*E25+E26*E27))/E35,0.5)</f>
        <v>0.42977841726618699</v>
      </c>
      <c r="F192" s="6"/>
    </row>
    <row r="193" spans="1:9" x14ac:dyDescent="0.25">
      <c r="B193" s="33"/>
      <c r="C193" s="1" t="s">
        <v>143</v>
      </c>
      <c r="D193" s="1" t="s">
        <v>236</v>
      </c>
      <c r="E193" s="35" t="s">
        <v>144</v>
      </c>
      <c r="F193" s="6"/>
    </row>
    <row r="194" spans="1:9" x14ac:dyDescent="0.25">
      <c r="B194" s="33"/>
      <c r="C194" s="1" t="s">
        <v>143</v>
      </c>
      <c r="D194" s="1" t="s">
        <v>236</v>
      </c>
      <c r="E194" s="45">
        <f>MAX(ABS(E4)/IF(E4&gt;0,E70,E101),E192)</f>
        <v>0.42977841726618699</v>
      </c>
      <c r="F194" s="6"/>
    </row>
    <row r="195" spans="1:9" ht="39.75" customHeight="1" x14ac:dyDescent="0.25">
      <c r="A195"/>
      <c r="B195" s="33" t="s">
        <v>145</v>
      </c>
      <c r="C195" s="1" t="s">
        <v>141</v>
      </c>
      <c r="D195" s="1" t="s">
        <v>7</v>
      </c>
      <c r="E195" s="38"/>
      <c r="F195" s="18" t="s">
        <v>306</v>
      </c>
    </row>
    <row r="196" spans="1:9" x14ac:dyDescent="0.25">
      <c r="B196" s="33"/>
      <c r="C196" s="1" t="s">
        <v>141</v>
      </c>
      <c r="D196" s="1" t="s">
        <v>7</v>
      </c>
      <c r="E196" s="46">
        <f>MIN((E183*(1-MAX(E194,E192)))/(1-0.5*E192),E183)</f>
        <v>496.82695352659306</v>
      </c>
      <c r="F196" s="6"/>
    </row>
    <row r="197" spans="1:9" ht="45" x14ac:dyDescent="0.25">
      <c r="A197"/>
      <c r="B197" s="33" t="s">
        <v>145</v>
      </c>
      <c r="C197" s="1" t="s">
        <v>142</v>
      </c>
      <c r="D197" s="1" t="s">
        <v>7</v>
      </c>
      <c r="E197" s="38"/>
      <c r="F197" s="18" t="s">
        <v>306</v>
      </c>
    </row>
    <row r="198" spans="1:9" x14ac:dyDescent="0.25">
      <c r="B198" s="33"/>
      <c r="C198" s="1" t="s">
        <v>146</v>
      </c>
      <c r="D198" s="1" t="s">
        <v>7</v>
      </c>
      <c r="E198" s="46">
        <f>MIN((E186*(1-((MAX(E194,E192)-E192)/(1-E192))^2)),E186)</f>
        <v>106.52727272727272</v>
      </c>
      <c r="F198" s="6"/>
    </row>
    <row r="199" spans="1:9" ht="36.75" customHeight="1" x14ac:dyDescent="0.25">
      <c r="B199" s="33"/>
      <c r="C199" s="48" t="s">
        <v>147</v>
      </c>
      <c r="E199" s="46"/>
      <c r="F199" s="6"/>
    </row>
    <row r="200" spans="1:9" x14ac:dyDescent="0.25">
      <c r="B200" s="33"/>
      <c r="C200" s="48" t="s">
        <v>147</v>
      </c>
      <c r="E200" s="45">
        <f>MAX(5*E194,1)</f>
        <v>2.1488920863309349</v>
      </c>
      <c r="F200" s="6" t="s">
        <v>149</v>
      </c>
    </row>
    <row r="201" spans="1:9" x14ac:dyDescent="0.25">
      <c r="B201" s="33"/>
      <c r="C201" s="49" t="s">
        <v>148</v>
      </c>
      <c r="E201" s="45">
        <v>2</v>
      </c>
      <c r="F201" s="6" t="s">
        <v>149</v>
      </c>
    </row>
    <row r="202" spans="1:9" ht="48" customHeight="1" x14ac:dyDescent="0.25">
      <c r="A202"/>
      <c r="B202" s="33"/>
      <c r="C202" s="1" t="s">
        <v>139</v>
      </c>
      <c r="E202" s="38"/>
      <c r="F202" s="6" t="s">
        <v>189</v>
      </c>
    </row>
    <row r="203" spans="1:9" x14ac:dyDescent="0.25">
      <c r="A203"/>
      <c r="B203" s="70" t="s">
        <v>199</v>
      </c>
      <c r="C203" s="62" t="s">
        <v>139</v>
      </c>
      <c r="D203" s="65"/>
      <c r="E203" s="64">
        <f>(ABS(E9)/E198)^E200+(ABS(E8)/E196)^E201</f>
        <v>0.7721973196633678</v>
      </c>
      <c r="F203" s="80" t="str">
        <f>FIXED((ABS(E9)/E198)^E200,2)&amp;" + "&amp;FIXED((ABS(E8)/E196)^E201,2)</f>
        <v>0.10 + 0.67</v>
      </c>
    </row>
    <row r="204" spans="1:9" x14ac:dyDescent="0.25">
      <c r="A204"/>
      <c r="B204" s="33"/>
      <c r="E204" s="28" t="str">
        <f>IF(E203&lt;=1,"PASS","FAIL")</f>
        <v>PASS</v>
      </c>
      <c r="F204" s="6"/>
    </row>
    <row r="205" spans="1:9" x14ac:dyDescent="0.25">
      <c r="A205"/>
      <c r="B205" s="33"/>
      <c r="E205" s="38"/>
      <c r="F205" s="6"/>
    </row>
    <row r="206" spans="1:9" ht="48" customHeight="1" x14ac:dyDescent="0.25">
      <c r="A206"/>
      <c r="B206" s="33"/>
      <c r="C206" s="1" t="s">
        <v>140</v>
      </c>
      <c r="E206" s="38"/>
      <c r="F206" s="16" t="s">
        <v>211</v>
      </c>
      <c r="I206" s="30"/>
    </row>
    <row r="207" spans="1:9" x14ac:dyDescent="0.25">
      <c r="B207" s="70" t="s">
        <v>199</v>
      </c>
      <c r="C207" s="62" t="s">
        <v>140</v>
      </c>
      <c r="D207" s="65"/>
      <c r="E207" s="64">
        <f>(ABS(E4)/IF(E4&gt;0,E70,E101))+ABS(E9)/E186+ABS(E8)/E183</f>
        <v>0.94237321094190252</v>
      </c>
      <c r="F207" s="80" t="str">
        <f>FIXED((ABS(E4)/IF(E4&gt;0,E70,E101)),2)&amp;" + "&amp;FIXED(ABS(E9)/E186,2)&amp;" + "&amp;FIXED(ABS(E8)/E183,2)</f>
        <v>0.01 + 0.34 + 0.60</v>
      </c>
    </row>
    <row r="208" spans="1:9" x14ac:dyDescent="0.25">
      <c r="B208" s="33"/>
      <c r="E208" s="28" t="str">
        <f>IF(E207&lt;=1,"PASS","FAIL")</f>
        <v>PASS</v>
      </c>
      <c r="F208" s="6"/>
    </row>
    <row r="209" spans="1:11" x14ac:dyDescent="0.25">
      <c r="B209" s="33"/>
      <c r="F209" s="6"/>
    </row>
    <row r="210" spans="1:11" ht="30" x14ac:dyDescent="0.25">
      <c r="A210" s="13" t="str">
        <f>$A$162&amp;"C"</f>
        <v>6C</v>
      </c>
      <c r="B210" s="67" t="s">
        <v>150</v>
      </c>
      <c r="C210" s="5"/>
      <c r="D210" s="5"/>
      <c r="E210" s="23"/>
      <c r="F210" s="6" t="s">
        <v>190</v>
      </c>
      <c r="G210" s="1" t="s">
        <v>155</v>
      </c>
      <c r="H210"/>
      <c r="I210" s="81"/>
      <c r="J210" s="81"/>
      <c r="K210" s="81"/>
    </row>
    <row r="211" spans="1:11" x14ac:dyDescent="0.25">
      <c r="B211" s="33"/>
      <c r="C211" s="49" t="s">
        <v>153</v>
      </c>
      <c r="E211" s="35">
        <f>IF(E4&gt;0,0.8,0)</f>
        <v>0</v>
      </c>
      <c r="F211" s="6">
        <v>1</v>
      </c>
    </row>
    <row r="212" spans="1:11" ht="30" x14ac:dyDescent="0.25">
      <c r="B212" s="33" t="s">
        <v>151</v>
      </c>
      <c r="C212" s="1" t="s">
        <v>152</v>
      </c>
      <c r="D212" s="1" t="s">
        <v>7</v>
      </c>
      <c r="F212" s="6" t="s">
        <v>190</v>
      </c>
    </row>
    <row r="213" spans="1:11" ht="54" customHeight="1" x14ac:dyDescent="0.25">
      <c r="B213" s="33"/>
      <c r="C213" s="1" t="s">
        <v>156</v>
      </c>
      <c r="E213" s="45"/>
      <c r="F213" s="6"/>
    </row>
    <row r="214" spans="1:11" x14ac:dyDescent="0.25">
      <c r="B214" s="33"/>
      <c r="C214" s="62" t="s">
        <v>156</v>
      </c>
      <c r="D214" s="65"/>
      <c r="E214" s="64">
        <f>IF(E4&lt;=0,0,MAX((-E211*(E4*10^3/E35)/(IF(ABS(MIN(E8,E9))&gt;MAX(E8,E9),ABS(MIN(E8,E9)),ABS(MAX(E8,E9)))*10^6/IF(IF(ABS(MIN(E8,E9))&gt;MAX(E8,E9),(MIN(E8,E9)),(MAX(E8,E9)))=E8,E43,E44)))+(ABS(E9)/E143)+(ABS(E8)/E140),0))</f>
        <v>0</v>
      </c>
      <c r="F214" s="106" t="str">
        <f>IF(E4&lt;=0,"",FIXED((-E211*(E4*10^3/E35)/(IF(ABS(MIN(E8,E9))&gt;MAX(E8,E9),ABS(MIN(E8,E9)),ABS(MAX(E8,E9)))*10^6/IF(IF(ABS(MIN(E8,E9))&gt;MAX(E8,E9),(MIN(E8,E9)),(MAX(E8,E9)))=E8,E43,E44))),2)&amp;" + "&amp;FIXED((ABS(E9)/E143),2)&amp;" + "&amp;FIXED((ABS(E8)/E140),2))</f>
        <v/>
      </c>
    </row>
    <row r="215" spans="1:11" x14ac:dyDescent="0.25">
      <c r="B215" s="33"/>
      <c r="E215" s="28" t="str">
        <f>IF(E4&lt;=0,"NOT APPLICABLE",IF(E214&lt;=1,"PASS","FAIL"))</f>
        <v>NOT APPLICABLE</v>
      </c>
      <c r="F215" s="6"/>
    </row>
    <row r="216" spans="1:11" x14ac:dyDescent="0.25">
      <c r="B216" s="33"/>
      <c r="F216" s="6"/>
    </row>
    <row r="217" spans="1:11" ht="30" x14ac:dyDescent="0.25">
      <c r="A217" s="13" t="str">
        <f>$A$162&amp;"D"</f>
        <v>6D</v>
      </c>
      <c r="B217" s="67" t="s">
        <v>154</v>
      </c>
      <c r="C217" s="5"/>
      <c r="D217" s="5"/>
      <c r="E217" s="23"/>
      <c r="F217" s="6" t="s">
        <v>191</v>
      </c>
      <c r="H217"/>
    </row>
    <row r="218" spans="1:11" x14ac:dyDescent="0.25">
      <c r="B218" s="33" t="s">
        <v>163</v>
      </c>
      <c r="C218" s="1" t="s">
        <v>158</v>
      </c>
      <c r="E218" s="45">
        <f>IF(ABS(E9)&gt;0.2*E143,0.9,1)</f>
        <v>0.9</v>
      </c>
      <c r="F218" s="6" t="s">
        <v>160</v>
      </c>
      <c r="G218" s="1">
        <f>IF(ABS(E9)&gt;0.2*E143,0.9,1)</f>
        <v>0.9</v>
      </c>
    </row>
    <row r="219" spans="1:11" x14ac:dyDescent="0.25">
      <c r="B219" s="33" t="s">
        <v>163</v>
      </c>
      <c r="C219" s="1" t="s">
        <v>159</v>
      </c>
      <c r="E219" s="45">
        <f>IF(ABS(E8)&gt;0.1*E140,0.9,1)</f>
        <v>0.9</v>
      </c>
      <c r="F219" s="6" t="s">
        <v>160</v>
      </c>
      <c r="G219" s="1">
        <f>IF(ABS(E8)&gt;0.1*E140,0.9,1)</f>
        <v>0.9</v>
      </c>
    </row>
    <row r="220" spans="1:11" ht="30" x14ac:dyDescent="0.25">
      <c r="B220" s="33" t="s">
        <v>164</v>
      </c>
      <c r="C220" s="1" t="s">
        <v>165</v>
      </c>
      <c r="E220" s="45">
        <f>E219</f>
        <v>0.9</v>
      </c>
      <c r="F220" s="6" t="s">
        <v>160</v>
      </c>
    </row>
    <row r="221" spans="1:11" x14ac:dyDescent="0.25">
      <c r="B221" s="33"/>
      <c r="C221" s="1" t="s">
        <v>161</v>
      </c>
      <c r="E221" s="46">
        <f>IF(E4&gt;0,0,ABS(E4)/E100)</f>
        <v>6.9576687988833546E-3</v>
      </c>
      <c r="F221" s="6"/>
    </row>
    <row r="222" spans="1:11" x14ac:dyDescent="0.25">
      <c r="B222" s="33"/>
      <c r="C222" s="1" t="s">
        <v>162</v>
      </c>
      <c r="E222" s="46">
        <f>IF(E4&gt;0,0,ABS(E4)/E99)</f>
        <v>3.9731937560621572E-3</v>
      </c>
      <c r="F222" s="6"/>
    </row>
    <row r="223" spans="1:11" ht="30" x14ac:dyDescent="0.25">
      <c r="B223" s="33" t="s">
        <v>56</v>
      </c>
      <c r="C223" s="14" t="s">
        <v>166</v>
      </c>
      <c r="E223" s="46">
        <f>E83</f>
        <v>1.0452457117987688</v>
      </c>
      <c r="F223" s="6"/>
    </row>
    <row r="224" spans="1:11" ht="30" x14ac:dyDescent="0.25">
      <c r="B224" s="33" t="s">
        <v>56</v>
      </c>
      <c r="C224" s="14" t="s">
        <v>167</v>
      </c>
      <c r="E224" s="46">
        <f>E82</f>
        <v>0.21954932759243545</v>
      </c>
      <c r="F224" s="6"/>
    </row>
    <row r="225" spans="1:8" ht="30" x14ac:dyDescent="0.25">
      <c r="B225" s="33" t="s">
        <v>56</v>
      </c>
      <c r="C225" s="14" t="s">
        <v>171</v>
      </c>
      <c r="E225" s="46">
        <f>MAX(E223:E224)</f>
        <v>1.0452457117987688</v>
      </c>
      <c r="F225" s="6"/>
    </row>
    <row r="226" spans="1:8" x14ac:dyDescent="0.25">
      <c r="B226" s="33"/>
      <c r="C226" s="1" t="s">
        <v>168</v>
      </c>
      <c r="F226" s="6" t="s">
        <v>191</v>
      </c>
    </row>
    <row r="227" spans="1:8" x14ac:dyDescent="0.25">
      <c r="B227" s="33"/>
      <c r="C227" s="1" t="s">
        <v>168</v>
      </c>
      <c r="E227" s="56">
        <f>MIN(1+(E223-0.2)*E221,1+0.8*E221)</f>
        <v>1.0055661350391067</v>
      </c>
      <c r="F227" s="6"/>
    </row>
    <row r="228" spans="1:8" x14ac:dyDescent="0.25">
      <c r="B228" s="33"/>
      <c r="C228" s="1" t="s">
        <v>169</v>
      </c>
      <c r="F228" s="6" t="s">
        <v>191</v>
      </c>
    </row>
    <row r="229" spans="1:8" x14ac:dyDescent="0.25">
      <c r="B229" s="33"/>
      <c r="C229" s="1" t="s">
        <v>169</v>
      </c>
      <c r="E229" s="56">
        <f>MIN(1+(E224-0.2)*E222,1+0.8*E222)</f>
        <v>1.0000776732663255</v>
      </c>
      <c r="F229" s="6"/>
    </row>
    <row r="230" spans="1:8" ht="68.25" customHeight="1" x14ac:dyDescent="0.25">
      <c r="B230" s="33"/>
      <c r="C230" s="1" t="s">
        <v>170</v>
      </c>
      <c r="F230" s="6" t="s">
        <v>191</v>
      </c>
    </row>
    <row r="231" spans="1:8" x14ac:dyDescent="0.25">
      <c r="B231" s="33"/>
      <c r="C231" s="1" t="s">
        <v>170</v>
      </c>
      <c r="E231" s="56">
        <f>MAX(1-(0.1*E225*E221)/(E220-0.25),1-(0.1*E221)/(E220-0.25))</f>
        <v>0.99892958941555643</v>
      </c>
      <c r="F231" s="6"/>
    </row>
    <row r="232" spans="1:8" x14ac:dyDescent="0.25">
      <c r="B232" s="33"/>
      <c r="F232" s="6"/>
    </row>
    <row r="233" spans="1:8" ht="50.25" customHeight="1" x14ac:dyDescent="0.25">
      <c r="B233" s="33"/>
      <c r="C233" s="1" t="s">
        <v>157</v>
      </c>
      <c r="F233" s="6" t="s">
        <v>191</v>
      </c>
    </row>
    <row r="234" spans="1:8" x14ac:dyDescent="0.25">
      <c r="B234" s="70" t="s">
        <v>199</v>
      </c>
      <c r="C234" s="62" t="s">
        <v>157</v>
      </c>
      <c r="D234" s="65"/>
      <c r="E234" s="64">
        <f>IF(E4&gt;0,0,(ABS(E4)/E101))+(E227*E218*ABS(E9)/E143)+(E231*ABS(E8)/E140)</f>
        <v>0.90953544977097467</v>
      </c>
      <c r="F234" s="80" t="str">
        <f>IF(E4&gt;0,0,FIXED((ABS(E4)/E101),2))&amp;" + "&amp;FIXED((E227*E218*ABS(E9)/E143),2)&amp;" + "&amp;FIXED((E231*ABS(E8)/E140),2)</f>
        <v>0.01 + 0.31 + 0.60</v>
      </c>
      <c r="G234" s="57"/>
      <c r="H234" s="57"/>
    </row>
    <row r="235" spans="1:8" x14ac:dyDescent="0.25">
      <c r="B235" s="33"/>
      <c r="E235" s="28" t="str">
        <f>IF(E234&lt;=1,"PASS","FAIL")</f>
        <v>PASS</v>
      </c>
      <c r="F235" s="6"/>
    </row>
    <row r="236" spans="1:8" x14ac:dyDescent="0.25">
      <c r="B236" s="33"/>
      <c r="F236" s="6"/>
    </row>
    <row r="237" spans="1:8" ht="68.25" customHeight="1" x14ac:dyDescent="0.25">
      <c r="B237" s="33"/>
      <c r="C237" s="1" t="s">
        <v>203</v>
      </c>
      <c r="F237" s="6" t="s">
        <v>191</v>
      </c>
    </row>
    <row r="238" spans="1:8" x14ac:dyDescent="0.25">
      <c r="B238" s="70" t="s">
        <v>199</v>
      </c>
      <c r="C238" s="62" t="s">
        <v>203</v>
      </c>
      <c r="D238" s="65"/>
      <c r="E238" s="64">
        <f>IF(E4&gt;0,0,(ABS(E4)/E101))+(0.6*E227*E218*ABS(E9)/E143)+(E229*E219*ABS(E8)/E140)</f>
        <v>0.72786148876802914</v>
      </c>
      <c r="F238" s="80" t="str">
        <f>IF(E4&gt;0,0,FIXED((ABS(E4)/E101),2))&amp;" + "&amp;FIXED((0.6*E227*E218*ABS(E9)/E143),2)&amp;" + "&amp;FIXED((E229*E219*ABS(E8)/E140),2)</f>
        <v>0.01 + 0.18 + 0.54</v>
      </c>
    </row>
    <row r="239" spans="1:8" x14ac:dyDescent="0.25">
      <c r="B239" s="33"/>
      <c r="E239" s="28" t="str">
        <f>IF(E238&lt;=1,"PASS","FAIL")</f>
        <v>PASS</v>
      </c>
      <c r="F239" s="6"/>
    </row>
    <row r="240" spans="1:8" ht="15.75" thickBot="1" x14ac:dyDescent="0.3">
      <c r="A240" s="71"/>
      <c r="B240" s="72"/>
      <c r="C240" s="73"/>
      <c r="D240" s="73"/>
      <c r="E240" s="74"/>
      <c r="F240" s="75"/>
    </row>
    <row r="241" spans="1:11" x14ac:dyDescent="0.25">
      <c r="A241" s="50">
        <v>7</v>
      </c>
      <c r="B241" s="66" t="s">
        <v>192</v>
      </c>
      <c r="D241" s="82" t="s">
        <v>172</v>
      </c>
      <c r="E241" s="83" t="s">
        <v>216</v>
      </c>
      <c r="F241" s="6"/>
      <c r="H241" s="93" t="s">
        <v>309</v>
      </c>
      <c r="I241" s="94" t="s">
        <v>308</v>
      </c>
      <c r="J241" s="95" t="s">
        <v>307</v>
      </c>
    </row>
    <row r="242" spans="1:11" x14ac:dyDescent="0.25">
      <c r="B242" s="76" t="s">
        <v>200</v>
      </c>
      <c r="C242" s="77" t="s">
        <v>208</v>
      </c>
      <c r="D242" s="78">
        <f>E102</f>
        <v>6.9576687988833546E-3</v>
      </c>
      <c r="E242" s="79" t="str">
        <f>E103</f>
        <v>PASS</v>
      </c>
      <c r="F242" s="6"/>
      <c r="H242" s="84" t="s">
        <v>11</v>
      </c>
      <c r="I242" s="77">
        <v>0</v>
      </c>
      <c r="J242" s="89">
        <f>-E101</f>
        <v>-2514.7647158496679</v>
      </c>
      <c r="K242" s="88">
        <f>E70</f>
        <v>4422.7272727272721</v>
      </c>
    </row>
    <row r="243" spans="1:11" x14ac:dyDescent="0.25">
      <c r="B243" s="76" t="s">
        <v>193</v>
      </c>
      <c r="C243" s="77" t="s">
        <v>209</v>
      </c>
      <c r="D243" s="78">
        <f>E71</f>
        <v>0</v>
      </c>
      <c r="E243" s="79" t="str">
        <f>E72</f>
        <v>NOT APPLICABLE</v>
      </c>
      <c r="F243" s="6"/>
      <c r="H243" s="84" t="s">
        <v>13</v>
      </c>
      <c r="I243" s="77">
        <v>-112.5</v>
      </c>
      <c r="J243" s="89">
        <f>E155</f>
        <v>1149.646099204437</v>
      </c>
      <c r="K243" s="88">
        <f>J243*0.6</f>
        <v>689.78765952266212</v>
      </c>
    </row>
    <row r="244" spans="1:11" x14ac:dyDescent="0.25">
      <c r="B244" s="76" t="s">
        <v>194</v>
      </c>
      <c r="C244" s="77" t="s">
        <v>204</v>
      </c>
      <c r="D244" s="78">
        <f>E141</f>
        <v>0.59644131445911408</v>
      </c>
      <c r="E244" s="79" t="str">
        <f>E142</f>
        <v>PASS</v>
      </c>
      <c r="F244" s="6"/>
      <c r="H244" s="84" t="s">
        <v>14</v>
      </c>
      <c r="I244" s="77">
        <v>-32.25</v>
      </c>
      <c r="J244" s="89">
        <f>E158</f>
        <v>1456.0395886967985</v>
      </c>
      <c r="K244" s="88">
        <f>J244*0.6</f>
        <v>873.62375321807906</v>
      </c>
    </row>
    <row r="245" spans="1:11" x14ac:dyDescent="0.25">
      <c r="B245" s="76" t="s">
        <v>195</v>
      </c>
      <c r="C245" s="77" t="s">
        <v>205</v>
      </c>
      <c r="D245" s="78">
        <f>E144</f>
        <v>0.33897422768390512</v>
      </c>
      <c r="E245" s="79" t="str">
        <f>E145</f>
        <v>PASS</v>
      </c>
      <c r="F245" s="6"/>
      <c r="H245" s="84" t="s">
        <v>16</v>
      </c>
      <c r="I245" s="77">
        <v>0</v>
      </c>
      <c r="J245" s="89">
        <v>0</v>
      </c>
      <c r="K245" s="88"/>
    </row>
    <row r="246" spans="1:11" x14ac:dyDescent="0.25">
      <c r="B246" s="76" t="s">
        <v>196</v>
      </c>
      <c r="C246" s="77" t="s">
        <v>206</v>
      </c>
      <c r="D246" s="78">
        <f>E156</f>
        <v>0.16168453938010161</v>
      </c>
      <c r="E246" s="79" t="str">
        <f>E157</f>
        <v>PASS</v>
      </c>
      <c r="F246" s="6"/>
      <c r="H246" s="84" t="s">
        <v>18</v>
      </c>
      <c r="I246" s="77">
        <v>-228.4102</v>
      </c>
      <c r="J246" s="89">
        <f>E140</f>
        <v>684.05724102126783</v>
      </c>
      <c r="K246" s="88"/>
    </row>
    <row r="247" spans="1:11" ht="15.75" thickBot="1" x14ac:dyDescent="0.3">
      <c r="B247" s="76" t="s">
        <v>197</v>
      </c>
      <c r="C247" s="77" t="s">
        <v>207</v>
      </c>
      <c r="D247" s="78">
        <f>E159</f>
        <v>1.0981844260369016E-2</v>
      </c>
      <c r="E247" s="79" t="str">
        <f>E160</f>
        <v>PASS</v>
      </c>
      <c r="F247" s="6"/>
      <c r="H247" s="90" t="s">
        <v>20</v>
      </c>
      <c r="I247" s="91">
        <v>-64.5</v>
      </c>
      <c r="J247" s="92">
        <f>E143</f>
        <v>106.52727272727272</v>
      </c>
      <c r="K247" s="88"/>
    </row>
    <row r="248" spans="1:11" x14ac:dyDescent="0.25">
      <c r="B248" s="76" t="s">
        <v>198</v>
      </c>
      <c r="C248" s="77" t="s">
        <v>139</v>
      </c>
      <c r="D248" s="78">
        <f>E203</f>
        <v>0.7721973196633678</v>
      </c>
      <c r="E248" s="79" t="str">
        <f>E204</f>
        <v>PASS</v>
      </c>
      <c r="F248" s="6"/>
    </row>
    <row r="249" spans="1:11" x14ac:dyDescent="0.25">
      <c r="B249" s="76" t="s">
        <v>201</v>
      </c>
      <c r="C249" s="77" t="s">
        <v>140</v>
      </c>
      <c r="D249" s="78">
        <f>E207</f>
        <v>0.94237321094190252</v>
      </c>
      <c r="E249" s="79" t="str">
        <f>E208</f>
        <v>PASS</v>
      </c>
      <c r="F249" s="6"/>
    </row>
    <row r="250" spans="1:11" x14ac:dyDescent="0.25">
      <c r="B250" s="76" t="s">
        <v>202</v>
      </c>
      <c r="C250" s="77" t="s">
        <v>156</v>
      </c>
      <c r="D250" s="78">
        <f>E214</f>
        <v>0</v>
      </c>
      <c r="E250" s="79" t="str">
        <f>E215</f>
        <v>NOT APPLICABLE</v>
      </c>
      <c r="F250" s="6"/>
    </row>
    <row r="251" spans="1:11" x14ac:dyDescent="0.25">
      <c r="B251" s="76" t="s">
        <v>212</v>
      </c>
      <c r="C251" s="77" t="s">
        <v>157</v>
      </c>
      <c r="D251" s="78">
        <f>E234</f>
        <v>0.90953544977097467</v>
      </c>
      <c r="E251" s="79" t="str">
        <f>E235</f>
        <v>PASS</v>
      </c>
      <c r="F251" s="6"/>
    </row>
    <row r="252" spans="1:11" x14ac:dyDescent="0.25">
      <c r="B252" s="76" t="s">
        <v>213</v>
      </c>
      <c r="C252" s="77" t="s">
        <v>203</v>
      </c>
      <c r="D252" s="78">
        <f>E238</f>
        <v>0.72786148876802914</v>
      </c>
      <c r="E252" s="79" t="str">
        <f>E239</f>
        <v>PASS</v>
      </c>
      <c r="F252" s="6"/>
      <c r="I252" s="29"/>
    </row>
    <row r="253" spans="1:11" x14ac:dyDescent="0.25">
      <c r="F253" s="6"/>
    </row>
    <row r="254" spans="1:11" ht="15.75" thickBot="1" x14ac:dyDescent="0.3">
      <c r="F254" s="6"/>
    </row>
    <row r="255" spans="1:11" x14ac:dyDescent="0.25">
      <c r="A255" s="51"/>
      <c r="B255" s="61"/>
      <c r="C255" s="51"/>
      <c r="D255" s="51"/>
      <c r="E255" s="52"/>
      <c r="F255" s="51"/>
    </row>
  </sheetData>
  <conditionalFormatting sqref="E185">
    <cfRule type="containsText" dxfId="116" priority="61" operator="containsText" text="NOT APPLICABLE">
      <formula>NOT(ISERROR(SEARCH("NOT APPLICABLE",E185)))</formula>
    </cfRule>
    <cfRule type="containsText" dxfId="115" priority="62" operator="containsText" text="FAIL">
      <formula>NOT(ISERROR(SEARCH("FAIL",E185)))</formula>
    </cfRule>
    <cfRule type="containsText" dxfId="114" priority="63" operator="containsText" text="PASS">
      <formula>NOT(ISERROR(SEARCH("PASS",E185)))</formula>
    </cfRule>
  </conditionalFormatting>
  <conditionalFormatting sqref="E242:E252">
    <cfRule type="containsText" dxfId="113" priority="34" operator="containsText" text="NOT APPLICABLE">
      <formula>NOT(ISERROR(SEARCH("NOT APPLICABLE",E242)))</formula>
    </cfRule>
    <cfRule type="containsText" dxfId="112" priority="35" operator="containsText" text="FAIL">
      <formula>NOT(ISERROR(SEARCH("FAIL",E242)))</formula>
    </cfRule>
    <cfRule type="containsText" dxfId="111" priority="36" operator="containsText" text="PASS">
      <formula>NOT(ISERROR(SEARCH("PASS",E242)))</formula>
    </cfRule>
  </conditionalFormatting>
  <conditionalFormatting sqref="E215">
    <cfRule type="containsText" dxfId="110" priority="28" operator="containsText" text="NOT APPLICABLE">
      <formula>NOT(ISERROR(SEARCH("NOT APPLICABLE",E215)))</formula>
    </cfRule>
    <cfRule type="containsText" dxfId="109" priority="29" operator="containsText" text="FAIL">
      <formula>NOT(ISERROR(SEARCH("FAIL",E215)))</formula>
    </cfRule>
    <cfRule type="containsText" dxfId="108" priority="30" operator="containsText" text="PASS">
      <formula>NOT(ISERROR(SEARCH("PASS",E215)))</formula>
    </cfRule>
  </conditionalFormatting>
  <conditionalFormatting sqref="E145">
    <cfRule type="containsText" dxfId="107" priority="22" operator="containsText" text="NOT APPLICABLE">
      <formula>NOT(ISERROR(SEARCH("NOT APPLICABLE",E145)))</formula>
    </cfRule>
    <cfRule type="containsText" dxfId="106" priority="23" operator="containsText" text="FAIL">
      <formula>NOT(ISERROR(SEARCH("FAIL",E145)))</formula>
    </cfRule>
    <cfRule type="containsText" dxfId="105" priority="24" operator="containsText" text="PASS">
      <formula>NOT(ISERROR(SEARCH("PASS",E145)))</formula>
    </cfRule>
  </conditionalFormatting>
  <conditionalFormatting sqref="E72">
    <cfRule type="containsText" dxfId="104" priority="46" operator="containsText" text="NOT APPLICABLE">
      <formula>NOT(ISERROR(SEARCH("NOT APPLICABLE",E72)))</formula>
    </cfRule>
    <cfRule type="containsText" dxfId="103" priority="47" operator="containsText" text="FAIL">
      <formula>NOT(ISERROR(SEARCH("FAIL",E72)))</formula>
    </cfRule>
    <cfRule type="containsText" dxfId="102" priority="48" operator="containsText" text="PASS">
      <formula>NOT(ISERROR(SEARCH("PASS",E72)))</formula>
    </cfRule>
  </conditionalFormatting>
  <conditionalFormatting sqref="E103">
    <cfRule type="containsText" dxfId="101" priority="43" operator="containsText" text="NOT APPLICABLE">
      <formula>NOT(ISERROR(SEARCH("NOT APPLICABLE",E103)))</formula>
    </cfRule>
    <cfRule type="containsText" dxfId="100" priority="44" operator="containsText" text="FAIL">
      <formula>NOT(ISERROR(SEARCH("FAIL",E103)))</formula>
    </cfRule>
    <cfRule type="containsText" dxfId="99" priority="45" operator="containsText" text="PASS">
      <formula>NOT(ISERROR(SEARCH("PASS",E103)))</formula>
    </cfRule>
  </conditionalFormatting>
  <conditionalFormatting sqref="D242:D252">
    <cfRule type="expression" dxfId="98" priority="31">
      <formula>D242=0</formula>
    </cfRule>
    <cfRule type="expression" dxfId="97" priority="32">
      <formula>D242&lt;=1</formula>
    </cfRule>
    <cfRule type="expression" dxfId="96" priority="33">
      <formula>D242&gt;1</formula>
    </cfRule>
  </conditionalFormatting>
  <conditionalFormatting sqref="E142">
    <cfRule type="containsText" dxfId="95" priority="25" operator="containsText" text="NOT APPLICABLE">
      <formula>NOT(ISERROR(SEARCH("NOT APPLICABLE",E142)))</formula>
    </cfRule>
    <cfRule type="containsText" dxfId="94" priority="26" operator="containsText" text="FAIL">
      <formula>NOT(ISERROR(SEARCH("FAIL",E142)))</formula>
    </cfRule>
    <cfRule type="containsText" dxfId="93" priority="27" operator="containsText" text="PASS">
      <formula>NOT(ISERROR(SEARCH("PASS",E142)))</formula>
    </cfRule>
  </conditionalFormatting>
  <conditionalFormatting sqref="E157">
    <cfRule type="containsText" dxfId="92" priority="19" operator="containsText" text="NOT APPLICABLE">
      <formula>NOT(ISERROR(SEARCH("NOT APPLICABLE",E157)))</formula>
    </cfRule>
    <cfRule type="containsText" dxfId="91" priority="20" operator="containsText" text="FAIL">
      <formula>NOT(ISERROR(SEARCH("FAIL",E157)))</formula>
    </cfRule>
    <cfRule type="containsText" dxfId="90" priority="21" operator="containsText" text="PASS">
      <formula>NOT(ISERROR(SEARCH("PASS",E157)))</formula>
    </cfRule>
  </conditionalFormatting>
  <conditionalFormatting sqref="E160">
    <cfRule type="containsText" dxfId="89" priority="16" operator="containsText" text="NOT APPLICABLE">
      <formula>NOT(ISERROR(SEARCH("NOT APPLICABLE",E160)))</formula>
    </cfRule>
    <cfRule type="containsText" dxfId="88" priority="17" operator="containsText" text="FAIL">
      <formula>NOT(ISERROR(SEARCH("FAIL",E160)))</formula>
    </cfRule>
    <cfRule type="containsText" dxfId="87" priority="18" operator="containsText" text="PASS">
      <formula>NOT(ISERROR(SEARCH("PASS",E160)))</formula>
    </cfRule>
  </conditionalFormatting>
  <conditionalFormatting sqref="E188">
    <cfRule type="containsText" dxfId="86" priority="13" operator="containsText" text="NOT APPLICABLE">
      <formula>NOT(ISERROR(SEARCH("NOT APPLICABLE",E188)))</formula>
    </cfRule>
    <cfRule type="containsText" dxfId="85" priority="14" operator="containsText" text="FAIL">
      <formula>NOT(ISERROR(SEARCH("FAIL",E188)))</formula>
    </cfRule>
    <cfRule type="containsText" dxfId="84" priority="15" operator="containsText" text="PASS">
      <formula>NOT(ISERROR(SEARCH("PASS",E188)))</formula>
    </cfRule>
  </conditionalFormatting>
  <conditionalFormatting sqref="E204">
    <cfRule type="containsText" dxfId="83" priority="10" operator="containsText" text="NOT APPLICABLE">
      <formula>NOT(ISERROR(SEARCH("NOT APPLICABLE",E204)))</formula>
    </cfRule>
    <cfRule type="containsText" dxfId="82" priority="11" operator="containsText" text="FAIL">
      <formula>NOT(ISERROR(SEARCH("FAIL",E204)))</formula>
    </cfRule>
    <cfRule type="containsText" dxfId="81" priority="12" operator="containsText" text="PASS">
      <formula>NOT(ISERROR(SEARCH("PASS",E204)))</formula>
    </cfRule>
  </conditionalFormatting>
  <conditionalFormatting sqref="E208">
    <cfRule type="containsText" dxfId="80" priority="7" operator="containsText" text="NOT APPLICABLE">
      <formula>NOT(ISERROR(SEARCH("NOT APPLICABLE",E208)))</formula>
    </cfRule>
    <cfRule type="containsText" dxfId="79" priority="8" operator="containsText" text="FAIL">
      <formula>NOT(ISERROR(SEARCH("FAIL",E208)))</formula>
    </cfRule>
    <cfRule type="containsText" dxfId="78" priority="9" operator="containsText" text="PASS">
      <formula>NOT(ISERROR(SEARCH("PASS",E208)))</formula>
    </cfRule>
  </conditionalFormatting>
  <conditionalFormatting sqref="E235">
    <cfRule type="containsText" dxfId="77" priority="4" operator="containsText" text="NOT APPLICABLE">
      <formula>NOT(ISERROR(SEARCH("NOT APPLICABLE",E235)))</formula>
    </cfRule>
    <cfRule type="containsText" dxfId="76" priority="5" operator="containsText" text="FAIL">
      <formula>NOT(ISERROR(SEARCH("FAIL",E235)))</formula>
    </cfRule>
    <cfRule type="containsText" dxfId="75" priority="6" operator="containsText" text="PASS">
      <formula>NOT(ISERROR(SEARCH("PASS",E235)))</formula>
    </cfRule>
  </conditionalFormatting>
  <conditionalFormatting sqref="E239">
    <cfRule type="containsText" dxfId="74" priority="1" operator="containsText" text="NOT APPLICABLE">
      <formula>NOT(ISERROR(SEARCH("NOT APPLICABLE",E239)))</formula>
    </cfRule>
    <cfRule type="containsText" dxfId="73" priority="2" operator="containsText" text="FAIL">
      <formula>NOT(ISERROR(SEARCH("FAIL",E239)))</formula>
    </cfRule>
    <cfRule type="containsText" dxfId="72" priority="3" operator="containsText" text="PASS">
      <formula>NOT(ISERROR(SEARCH("PASS",E239)))</formula>
    </cfRule>
  </conditionalFormatting>
  <dataValidations disablePrompts="1" count="1">
    <dataValidation type="list" allowBlank="1" showInputMessage="1" showErrorMessage="1" sqref="E20">
      <formula1>$Q$2:$Q$3</formula1>
    </dataValidation>
  </dataValidations>
  <pageMargins left="0.7" right="0.7" top="0.75" bottom="0.75" header="0.3" footer="0.3"/>
  <pageSetup paperSize="9" orientation="portrait" horizont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'UB-UC'!$A$2:$A$159</xm:f>
          </x14:formula1>
          <xm:sqref>E21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R227"/>
  <sheetViews>
    <sheetView zoomScaleNormal="100" workbookViewId="0">
      <pane xSplit="1" ySplit="1" topLeftCell="B17" activePane="bottomRight" state="frozen"/>
      <selection activeCell="I29" sqref="I29"/>
      <selection pane="topRight" activeCell="I29" sqref="I29"/>
      <selection pane="bottomLeft" activeCell="I29" sqref="I29"/>
      <selection pane="bottomRight" activeCell="K18" sqref="K18"/>
    </sheetView>
  </sheetViews>
  <sheetFormatPr defaultRowHeight="15" x14ac:dyDescent="0.25"/>
  <cols>
    <col min="1" max="1" width="5.28515625" style="1" customWidth="1"/>
    <col min="2" max="2" width="37.28515625" style="60" customWidth="1"/>
    <col min="3" max="3" width="10.5703125" style="1" customWidth="1"/>
    <col min="4" max="4" width="8" style="1" customWidth="1"/>
    <col min="5" max="5" width="28.28515625" style="35" customWidth="1"/>
    <col min="6" max="6" width="17.85546875" style="1" customWidth="1"/>
    <col min="7" max="7" width="11" style="1" customWidth="1"/>
    <col min="8" max="8" width="9.140625" style="1"/>
    <col min="9" max="9" width="11.5703125" style="1" bestFit="1" customWidth="1"/>
    <col min="10" max="16384" width="9.140625" style="1"/>
  </cols>
  <sheetData>
    <row r="1" spans="1:18" s="2" customFormat="1" ht="30" x14ac:dyDescent="0.25">
      <c r="A1" s="8" t="s">
        <v>0</v>
      </c>
      <c r="B1" s="9" t="s">
        <v>1</v>
      </c>
      <c r="C1" s="9" t="s">
        <v>3</v>
      </c>
      <c r="D1" s="9" t="s">
        <v>2</v>
      </c>
      <c r="E1" s="9" t="s">
        <v>210</v>
      </c>
      <c r="F1" s="10" t="s">
        <v>720</v>
      </c>
      <c r="G1" s="2" t="s">
        <v>28</v>
      </c>
      <c r="Q1" s="2" t="s">
        <v>721</v>
      </c>
      <c r="R1" s="2" t="s">
        <v>31</v>
      </c>
    </row>
    <row r="2" spans="1:18" x14ac:dyDescent="0.25">
      <c r="A2" s="11">
        <v>1</v>
      </c>
      <c r="B2" s="59" t="s">
        <v>9</v>
      </c>
      <c r="C2" s="4"/>
      <c r="D2" s="4"/>
      <c r="E2" s="36"/>
      <c r="F2" s="12"/>
      <c r="G2" s="1" t="s">
        <v>39</v>
      </c>
      <c r="Q2" s="1" t="s">
        <v>722</v>
      </c>
      <c r="R2" s="1">
        <v>0.93</v>
      </c>
    </row>
    <row r="3" spans="1:18" x14ac:dyDescent="0.25">
      <c r="A3" s="32"/>
      <c r="B3" s="68" t="s">
        <v>128</v>
      </c>
      <c r="C3" s="5"/>
      <c r="D3" s="5"/>
      <c r="E3" s="37">
        <v>1</v>
      </c>
      <c r="F3" s="6"/>
      <c r="G3" s="1" t="s">
        <v>40</v>
      </c>
      <c r="Q3" s="1" t="s">
        <v>723</v>
      </c>
      <c r="R3" s="1">
        <v>1</v>
      </c>
    </row>
    <row r="4" spans="1:18" x14ac:dyDescent="0.25">
      <c r="A4" s="7"/>
      <c r="B4" s="68" t="s">
        <v>10</v>
      </c>
      <c r="C4" s="5" t="s">
        <v>11</v>
      </c>
      <c r="D4" s="5" t="s">
        <v>12</v>
      </c>
      <c r="E4" s="31">
        <f t="shared" ref="E4:E9" si="0">J209</f>
        <v>-325</v>
      </c>
      <c r="F4" s="6" t="s">
        <v>129</v>
      </c>
      <c r="G4" s="1" t="s">
        <v>40</v>
      </c>
    </row>
    <row r="5" spans="1:18" x14ac:dyDescent="0.25">
      <c r="A5" s="7"/>
      <c r="B5" s="68" t="s">
        <v>631</v>
      </c>
      <c r="C5" s="5" t="s">
        <v>377</v>
      </c>
      <c r="D5" s="5" t="s">
        <v>12</v>
      </c>
      <c r="E5" s="31">
        <f t="shared" si="0"/>
        <v>-149</v>
      </c>
      <c r="F5" s="6" t="s">
        <v>724</v>
      </c>
      <c r="G5" s="1" t="s">
        <v>40</v>
      </c>
    </row>
    <row r="6" spans="1:18" x14ac:dyDescent="0.25">
      <c r="A6" s="7"/>
      <c r="B6" s="68" t="s">
        <v>632</v>
      </c>
      <c r="C6" s="5" t="s">
        <v>378</v>
      </c>
      <c r="D6" s="5" t="s">
        <v>12</v>
      </c>
      <c r="E6" s="31">
        <f t="shared" si="0"/>
        <v>-76</v>
      </c>
      <c r="F6" s="6" t="s">
        <v>725</v>
      </c>
      <c r="G6" s="1" t="s">
        <v>40</v>
      </c>
    </row>
    <row r="7" spans="1:18" x14ac:dyDescent="0.25">
      <c r="A7" s="7"/>
      <c r="B7" s="68" t="s">
        <v>15</v>
      </c>
      <c r="C7" s="5" t="s">
        <v>16</v>
      </c>
      <c r="D7" s="5" t="s">
        <v>7</v>
      </c>
      <c r="E7" s="31">
        <f t="shared" si="0"/>
        <v>-28</v>
      </c>
      <c r="F7" s="6"/>
      <c r="G7" s="1" t="s">
        <v>40</v>
      </c>
    </row>
    <row r="8" spans="1:18" x14ac:dyDescent="0.25">
      <c r="A8" s="7"/>
      <c r="B8" s="68" t="s">
        <v>17</v>
      </c>
      <c r="C8" s="5" t="s">
        <v>379</v>
      </c>
      <c r="D8" s="5" t="s">
        <v>7</v>
      </c>
      <c r="E8" s="31">
        <f t="shared" si="0"/>
        <v>-12.2</v>
      </c>
      <c r="F8" s="6" t="s">
        <v>725</v>
      </c>
      <c r="G8" s="1" t="s">
        <v>40</v>
      </c>
    </row>
    <row r="9" spans="1:18" x14ac:dyDescent="0.25">
      <c r="A9" s="7"/>
      <c r="B9" s="68" t="s">
        <v>19</v>
      </c>
      <c r="C9" s="5" t="s">
        <v>374</v>
      </c>
      <c r="D9" s="5" t="s">
        <v>7</v>
      </c>
      <c r="E9" s="31">
        <f t="shared" si="0"/>
        <v>-2.4</v>
      </c>
      <c r="F9" s="6" t="s">
        <v>724</v>
      </c>
      <c r="G9" s="1" t="s">
        <v>40</v>
      </c>
    </row>
    <row r="10" spans="1:18" x14ac:dyDescent="0.25">
      <c r="A10" s="7"/>
      <c r="B10" s="68"/>
      <c r="C10" s="5"/>
      <c r="D10" s="5"/>
      <c r="E10" s="38"/>
      <c r="F10" s="6"/>
    </row>
    <row r="11" spans="1:18" x14ac:dyDescent="0.25">
      <c r="A11" s="11">
        <v>2</v>
      </c>
      <c r="B11" s="59" t="s">
        <v>24</v>
      </c>
      <c r="C11" s="4"/>
      <c r="D11" s="4"/>
      <c r="E11" s="36"/>
      <c r="F11" s="12"/>
    </row>
    <row r="12" spans="1:18" x14ac:dyDescent="0.25">
      <c r="A12" s="7"/>
      <c r="B12" s="68" t="s">
        <v>217</v>
      </c>
      <c r="C12" s="5"/>
      <c r="D12" s="5"/>
      <c r="E12" s="31" t="s">
        <v>1010</v>
      </c>
      <c r="F12" s="6" t="s">
        <v>630</v>
      </c>
      <c r="G12" s="1" t="s">
        <v>40</v>
      </c>
    </row>
    <row r="13" spans="1:18" x14ac:dyDescent="0.25">
      <c r="A13" s="7"/>
      <c r="B13" s="68" t="s">
        <v>22</v>
      </c>
      <c r="C13" s="5" t="s">
        <v>30</v>
      </c>
      <c r="D13" s="5" t="s">
        <v>8</v>
      </c>
      <c r="E13" s="23">
        <f>VLOOKUP($E$12,'NB-LIB'!$A$2:$E$15,3,FALSE)</f>
        <v>355.6</v>
      </c>
      <c r="F13" s="6" t="s">
        <v>705</v>
      </c>
      <c r="G13" s="1" t="s">
        <v>40</v>
      </c>
    </row>
    <row r="14" spans="1:18" x14ac:dyDescent="0.25">
      <c r="A14" s="7"/>
      <c r="B14" s="68" t="s">
        <v>23</v>
      </c>
      <c r="C14" s="5" t="s">
        <v>31</v>
      </c>
      <c r="D14" s="5" t="s">
        <v>8</v>
      </c>
      <c r="E14" s="23">
        <f>VLOOKUP($E$12,'NB-LIB'!$A$2:$E$15,5,FALSE)</f>
        <v>10</v>
      </c>
      <c r="F14" s="6" t="s">
        <v>705</v>
      </c>
      <c r="G14" s="1" t="s">
        <v>40</v>
      </c>
    </row>
    <row r="15" spans="1:18" x14ac:dyDescent="0.25">
      <c r="A15" s="7"/>
      <c r="B15" s="68" t="s">
        <v>44</v>
      </c>
      <c r="C15" s="5" t="s">
        <v>45</v>
      </c>
      <c r="D15" s="5" t="s">
        <v>48</v>
      </c>
      <c r="E15" s="40">
        <f>VLOOKUP($E$12,'NB-LIB'!$A$2:$W$15,22,FALSE)</f>
        <v>350</v>
      </c>
      <c r="F15" s="6" t="s">
        <v>705</v>
      </c>
      <c r="G15" s="1" t="s">
        <v>40</v>
      </c>
    </row>
    <row r="16" spans="1:18" x14ac:dyDescent="0.25">
      <c r="A16" s="7"/>
      <c r="B16" s="68" t="s">
        <v>46</v>
      </c>
      <c r="C16" s="5" t="s">
        <v>47</v>
      </c>
      <c r="D16" s="5" t="s">
        <v>48</v>
      </c>
      <c r="E16" s="40">
        <f>VLOOKUP($E$12,'NB-LIB'!$A$2:$W$15,23,FALSE)</f>
        <v>490</v>
      </c>
      <c r="F16" s="6" t="s">
        <v>705</v>
      </c>
      <c r="G16" s="1" t="s">
        <v>40</v>
      </c>
    </row>
    <row r="17" spans="1:9" x14ac:dyDescent="0.25">
      <c r="A17" s="7"/>
      <c r="B17" s="68" t="s">
        <v>726</v>
      </c>
      <c r="C17" s="5" t="s">
        <v>727</v>
      </c>
      <c r="D17" s="5" t="s">
        <v>48</v>
      </c>
      <c r="E17" s="53">
        <v>210000</v>
      </c>
      <c r="F17" s="6"/>
      <c r="G17" s="1" t="s">
        <v>40</v>
      </c>
    </row>
    <row r="18" spans="1:9" x14ac:dyDescent="0.25">
      <c r="A18" s="7"/>
      <c r="B18" s="68" t="s">
        <v>270</v>
      </c>
      <c r="C18" s="5" t="s">
        <v>271</v>
      </c>
      <c r="D18" s="5" t="s">
        <v>236</v>
      </c>
      <c r="E18" s="31">
        <v>0.99</v>
      </c>
      <c r="F18" s="6"/>
      <c r="G18" s="1" t="s">
        <v>40</v>
      </c>
    </row>
    <row r="19" spans="1:9" x14ac:dyDescent="0.25">
      <c r="A19" s="7"/>
      <c r="B19" s="68" t="s">
        <v>728</v>
      </c>
      <c r="C19" s="5" t="s">
        <v>729</v>
      </c>
      <c r="D19" s="5" t="s">
        <v>48</v>
      </c>
      <c r="E19" s="40">
        <f>VLOOKUP($E$12,'NB-LIB'!$A$2:$AD$15,30,FALSE)</f>
        <v>40</v>
      </c>
      <c r="F19" s="6" t="s">
        <v>705</v>
      </c>
    </row>
    <row r="20" spans="1:9" ht="30" x14ac:dyDescent="0.25">
      <c r="A20" s="7"/>
      <c r="B20" s="68" t="s">
        <v>730</v>
      </c>
      <c r="C20" s="14" t="s">
        <v>236</v>
      </c>
      <c r="D20" s="5" t="s">
        <v>236</v>
      </c>
      <c r="E20" s="220" t="s">
        <v>723</v>
      </c>
      <c r="F20" s="6"/>
      <c r="G20" s="27"/>
      <c r="H20"/>
    </row>
    <row r="21" spans="1:9" x14ac:dyDescent="0.25">
      <c r="A21" s="7"/>
      <c r="B21" s="68" t="s">
        <v>4</v>
      </c>
      <c r="C21" s="5" t="s">
        <v>5</v>
      </c>
      <c r="D21" s="5" t="s">
        <v>8</v>
      </c>
      <c r="E21" s="39">
        <v>3000</v>
      </c>
      <c r="F21" s="6"/>
      <c r="G21" s="1" t="s">
        <v>40</v>
      </c>
    </row>
    <row r="22" spans="1:9" customFormat="1" x14ac:dyDescent="0.25">
      <c r="A22" s="7"/>
      <c r="B22" s="68" t="s">
        <v>232</v>
      </c>
      <c r="C22" s="5" t="s">
        <v>169</v>
      </c>
      <c r="D22" s="5" t="s">
        <v>236</v>
      </c>
      <c r="E22" s="39">
        <v>1</v>
      </c>
      <c r="F22" s="6"/>
      <c r="G22" s="1" t="s">
        <v>40</v>
      </c>
      <c r="H22" s="1"/>
      <c r="I22" s="1"/>
    </row>
    <row r="23" spans="1:9" customFormat="1" x14ac:dyDescent="0.25">
      <c r="A23" s="7"/>
      <c r="B23" s="68" t="s">
        <v>233</v>
      </c>
      <c r="C23" s="5" t="s">
        <v>168</v>
      </c>
      <c r="D23" s="5" t="s">
        <v>236</v>
      </c>
      <c r="E23" s="39">
        <v>1</v>
      </c>
      <c r="F23" s="6"/>
      <c r="G23" s="1" t="s">
        <v>40</v>
      </c>
      <c r="H23" s="1"/>
      <c r="I23" s="1"/>
    </row>
    <row r="24" spans="1:9" customFormat="1" x14ac:dyDescent="0.25">
      <c r="A24" s="7"/>
      <c r="B24" s="68" t="s">
        <v>234</v>
      </c>
      <c r="C24" s="5" t="s">
        <v>260</v>
      </c>
      <c r="D24" s="5" t="s">
        <v>8</v>
      </c>
      <c r="E24" s="23">
        <f>E22*$E$21</f>
        <v>3000</v>
      </c>
      <c r="F24" s="6"/>
      <c r="G24" s="1"/>
      <c r="H24" s="1"/>
      <c r="I24" s="1"/>
    </row>
    <row r="25" spans="1:9" customFormat="1" x14ac:dyDescent="0.25">
      <c r="A25" s="7"/>
      <c r="B25" s="68" t="s">
        <v>235</v>
      </c>
      <c r="C25" s="5" t="s">
        <v>261</v>
      </c>
      <c r="D25" s="5" t="s">
        <v>8</v>
      </c>
      <c r="E25" s="23">
        <f>E23*$E$21</f>
        <v>3000</v>
      </c>
      <c r="F25" s="6"/>
      <c r="G25" s="1"/>
      <c r="H25" s="1"/>
    </row>
    <row r="26" spans="1:9" x14ac:dyDescent="0.25">
      <c r="A26" s="7"/>
      <c r="B26" s="68" t="s">
        <v>29</v>
      </c>
      <c r="C26" s="5" t="s">
        <v>32</v>
      </c>
      <c r="D26" s="5" t="s">
        <v>8</v>
      </c>
      <c r="E26" s="23">
        <f>E13-2*E14</f>
        <v>335.6</v>
      </c>
      <c r="F26" s="6"/>
    </row>
    <row r="27" spans="1:9" x14ac:dyDescent="0.25">
      <c r="A27" s="7"/>
      <c r="B27" s="68" t="s">
        <v>33</v>
      </c>
      <c r="C27" s="5" t="s">
        <v>731</v>
      </c>
      <c r="D27" s="5" t="s">
        <v>34</v>
      </c>
      <c r="E27" s="23">
        <f>PI()/4*($E$13^2-($E$13-2*$E$14)^2)</f>
        <v>10857.344210806325</v>
      </c>
      <c r="F27" s="6"/>
      <c r="G27" s="23"/>
      <c r="H27" s="23"/>
    </row>
    <row r="28" spans="1:9" x14ac:dyDescent="0.25">
      <c r="A28" s="7"/>
      <c r="B28" s="68" t="s">
        <v>732</v>
      </c>
      <c r="C28" s="5" t="s">
        <v>221</v>
      </c>
      <c r="D28" s="5" t="s">
        <v>237</v>
      </c>
      <c r="E28" s="23">
        <f>$E$27/10^6*7850</f>
        <v>85.230152054829659</v>
      </c>
      <c r="F28" s="6"/>
      <c r="G28" s="23"/>
      <c r="H28" s="23"/>
    </row>
    <row r="29" spans="1:9" x14ac:dyDescent="0.25">
      <c r="A29" s="7"/>
      <c r="B29" s="68" t="s">
        <v>733</v>
      </c>
      <c r="C29" s="5" t="s">
        <v>734</v>
      </c>
      <c r="D29" s="5" t="s">
        <v>35</v>
      </c>
      <c r="E29" s="40">
        <f>PI()/64*($E$13^4-($E$13-2*$E$14)^4)</f>
        <v>162234997.28243667</v>
      </c>
      <c r="F29" s="6"/>
      <c r="G29" s="40"/>
      <c r="H29" s="40"/>
    </row>
    <row r="30" spans="1:9" x14ac:dyDescent="0.25">
      <c r="A30" s="7"/>
      <c r="B30" s="68" t="s">
        <v>735</v>
      </c>
      <c r="C30" s="5" t="s">
        <v>736</v>
      </c>
      <c r="D30" s="5" t="s">
        <v>8</v>
      </c>
      <c r="E30" s="23">
        <f>SQRT($E$29/$E$27)</f>
        <v>122.23919175125465</v>
      </c>
      <c r="F30" s="6"/>
      <c r="G30" s="23"/>
      <c r="H30" s="23"/>
    </row>
    <row r="31" spans="1:9" x14ac:dyDescent="0.25">
      <c r="A31" s="7"/>
      <c r="B31" s="68" t="s">
        <v>737</v>
      </c>
      <c r="C31" s="5" t="s">
        <v>738</v>
      </c>
      <c r="D31" s="5" t="s">
        <v>36</v>
      </c>
      <c r="E31" s="40">
        <f>PI()/32*($E$13^4-($E$13-2*$E$14)^4)/$E$13</f>
        <v>912457.80248839513</v>
      </c>
      <c r="F31" s="6"/>
      <c r="G31" s="40"/>
      <c r="H31" s="40"/>
    </row>
    <row r="32" spans="1:9" x14ac:dyDescent="0.25">
      <c r="A32" s="7"/>
      <c r="B32" s="68" t="s">
        <v>739</v>
      </c>
      <c r="C32" s="5" t="s">
        <v>740</v>
      </c>
      <c r="D32" s="5" t="s">
        <v>36</v>
      </c>
      <c r="E32" s="40">
        <f>($E$13^3-$E$26^3)/6</f>
        <v>1194726.9333333336</v>
      </c>
      <c r="F32" s="6"/>
      <c r="G32" s="40"/>
      <c r="H32" s="40"/>
    </row>
    <row r="33" spans="1:8" x14ac:dyDescent="0.25">
      <c r="A33" s="7"/>
      <c r="B33" s="68" t="s">
        <v>638</v>
      </c>
      <c r="C33" s="14" t="s">
        <v>639</v>
      </c>
      <c r="D33" s="5" t="s">
        <v>236</v>
      </c>
      <c r="E33" s="23">
        <f>(2*$E$27/PI())/$E$27</f>
        <v>0.63661977236758138</v>
      </c>
      <c r="F33" s="6"/>
      <c r="G33" s="23"/>
      <c r="H33" s="23"/>
    </row>
    <row r="34" spans="1:8" x14ac:dyDescent="0.25">
      <c r="A34" s="7"/>
      <c r="B34" s="68"/>
      <c r="C34" s="5"/>
      <c r="D34" s="5"/>
      <c r="E34" s="23"/>
      <c r="F34" s="6"/>
    </row>
    <row r="35" spans="1:8" x14ac:dyDescent="0.25">
      <c r="A35" s="11">
        <v>3</v>
      </c>
      <c r="B35" s="59" t="s">
        <v>42</v>
      </c>
      <c r="C35" s="4"/>
      <c r="D35" s="4"/>
      <c r="E35" s="36"/>
      <c r="F35" s="12"/>
    </row>
    <row r="36" spans="1:8" x14ac:dyDescent="0.25">
      <c r="A36" s="17"/>
      <c r="B36" s="68" t="s">
        <v>741</v>
      </c>
      <c r="C36" s="21" t="s">
        <v>742</v>
      </c>
      <c r="D36" s="17"/>
      <c r="E36" s="23">
        <v>0.75</v>
      </c>
      <c r="F36" s="6" t="s">
        <v>743</v>
      </c>
      <c r="H36"/>
    </row>
    <row r="37" spans="1:8" x14ac:dyDescent="0.25">
      <c r="A37" s="17"/>
      <c r="B37" s="68" t="s">
        <v>744</v>
      </c>
      <c r="C37" s="21" t="s">
        <v>745</v>
      </c>
      <c r="D37" s="17"/>
      <c r="E37" s="23">
        <v>0.9</v>
      </c>
      <c r="F37" s="6" t="s">
        <v>746</v>
      </c>
      <c r="H37"/>
    </row>
    <row r="38" spans="1:8" x14ac:dyDescent="0.25">
      <c r="A38" s="17"/>
      <c r="B38" s="68" t="s">
        <v>747</v>
      </c>
      <c r="C38" s="21" t="s">
        <v>748</v>
      </c>
      <c r="D38" s="17"/>
      <c r="E38" s="23">
        <v>0.9</v>
      </c>
      <c r="F38" s="18" t="s">
        <v>749</v>
      </c>
      <c r="H38"/>
    </row>
    <row r="39" spans="1:8" x14ac:dyDescent="0.25">
      <c r="A39" s="17"/>
      <c r="B39" s="68" t="s">
        <v>750</v>
      </c>
      <c r="C39" s="21" t="s">
        <v>751</v>
      </c>
      <c r="D39" s="17"/>
      <c r="E39" s="23">
        <v>0.9</v>
      </c>
      <c r="F39" s="6" t="s">
        <v>752</v>
      </c>
      <c r="H39"/>
    </row>
    <row r="40" spans="1:8" x14ac:dyDescent="0.25">
      <c r="A40" s="17"/>
      <c r="B40" s="68" t="s">
        <v>753</v>
      </c>
      <c r="C40" s="21" t="s">
        <v>754</v>
      </c>
      <c r="D40" s="17"/>
      <c r="E40" s="23">
        <v>0.9</v>
      </c>
      <c r="F40" s="6" t="s">
        <v>755</v>
      </c>
      <c r="H40"/>
    </row>
    <row r="41" spans="1:8" x14ac:dyDescent="0.25">
      <c r="A41" s="20"/>
      <c r="B41" s="68"/>
      <c r="C41" s="17"/>
      <c r="D41" s="17"/>
      <c r="E41" s="43"/>
      <c r="F41" s="18"/>
      <c r="H41"/>
    </row>
    <row r="42" spans="1:8" x14ac:dyDescent="0.25">
      <c r="A42" s="11">
        <v>4</v>
      </c>
      <c r="B42" s="59" t="s">
        <v>41</v>
      </c>
      <c r="C42" s="4"/>
      <c r="D42" s="4"/>
      <c r="E42" s="36"/>
      <c r="F42" s="12"/>
      <c r="H42"/>
    </row>
    <row r="43" spans="1:8" x14ac:dyDescent="0.25">
      <c r="A43" s="13" t="s">
        <v>756</v>
      </c>
      <c r="B43" s="67" t="s">
        <v>757</v>
      </c>
      <c r="C43" s="5"/>
      <c r="D43" s="5"/>
      <c r="E43" s="41"/>
      <c r="F43" s="6"/>
      <c r="H43"/>
    </row>
    <row r="44" spans="1:8" ht="45" x14ac:dyDescent="0.25">
      <c r="A44" s="7"/>
      <c r="B44" s="33" t="s">
        <v>758</v>
      </c>
      <c r="C44" s="14" t="s">
        <v>31</v>
      </c>
      <c r="D44" s="5" t="s">
        <v>8</v>
      </c>
      <c r="E44" s="23" t="str">
        <f>VLOOKUP(E20,Q2:R3,2,FALSE)&amp;" * t"</f>
        <v>1 * t</v>
      </c>
      <c r="F44" s="16" t="str">
        <f>E20&amp;"            B-4.2"</f>
        <v>Submerged-arc-welded (SAW)            B-4.2</v>
      </c>
      <c r="G44" s="27"/>
      <c r="H44"/>
    </row>
    <row r="45" spans="1:8" x14ac:dyDescent="0.25">
      <c r="A45" s="7"/>
      <c r="B45" s="33"/>
      <c r="C45" s="14" t="s">
        <v>31</v>
      </c>
      <c r="D45" s="5" t="s">
        <v>8</v>
      </c>
      <c r="E45" s="23">
        <f>VLOOKUP(E20,Q2:R3,2,FALSE)*E14</f>
        <v>10</v>
      </c>
      <c r="F45" s="6"/>
      <c r="G45" s="27"/>
      <c r="H45"/>
    </row>
    <row r="46" spans="1:8" x14ac:dyDescent="0.25">
      <c r="A46" s="32"/>
      <c r="B46" s="33" t="s">
        <v>760</v>
      </c>
      <c r="C46" s="5" t="s">
        <v>731</v>
      </c>
      <c r="D46" s="5" t="s">
        <v>34</v>
      </c>
      <c r="E46" s="23">
        <f>PI()/4*(E13^2-(E13-2*E45)^2)</f>
        <v>10857.344210806325</v>
      </c>
      <c r="F46" s="6" t="s">
        <v>761</v>
      </c>
      <c r="H46"/>
    </row>
    <row r="47" spans="1:8" ht="31.5" customHeight="1" x14ac:dyDescent="0.25">
      <c r="A47" s="32"/>
      <c r="B47" s="33" t="s">
        <v>762</v>
      </c>
      <c r="C47" s="5" t="s">
        <v>763</v>
      </c>
      <c r="D47" s="5" t="s">
        <v>34</v>
      </c>
      <c r="E47" s="41"/>
      <c r="F47" s="6"/>
      <c r="H47"/>
    </row>
    <row r="48" spans="1:8" x14ac:dyDescent="0.25">
      <c r="A48" s="32"/>
      <c r="B48" s="221"/>
      <c r="C48" s="5" t="s">
        <v>763</v>
      </c>
      <c r="D48" s="5" t="s">
        <v>34</v>
      </c>
      <c r="E48" s="222">
        <f>PI()/4*E26^2</f>
        <v>88457.321692303245</v>
      </c>
      <c r="F48" s="6"/>
      <c r="H48"/>
    </row>
    <row r="49" spans="1:9" x14ac:dyDescent="0.25">
      <c r="A49" s="32"/>
      <c r="B49" s="223" t="s">
        <v>89</v>
      </c>
      <c r="C49" s="5" t="s">
        <v>764</v>
      </c>
      <c r="D49" s="5" t="s">
        <v>236</v>
      </c>
      <c r="E49" s="224">
        <f>E46/(E46+E48)</f>
        <v>0.10932266762492708</v>
      </c>
      <c r="F49" s="6"/>
      <c r="H49"/>
      <c r="I49" s="87"/>
    </row>
    <row r="50" spans="1:9" ht="30" x14ac:dyDescent="0.25">
      <c r="A50" s="32"/>
      <c r="B50" s="221"/>
      <c r="C50" s="5"/>
      <c r="D50" s="5"/>
      <c r="E50" s="225" t="str">
        <f>IF(E49&gt;=0.01," As &gt;= 1% of (As+Ac), Section is permitted"," As &lt; 1% of (As+Ac), Revise section" )</f>
        <v xml:space="preserve"> As &gt;= 1% of (As+Ac), Section is permitted</v>
      </c>
      <c r="F50" s="6"/>
      <c r="H50"/>
      <c r="I50" s="27"/>
    </row>
    <row r="51" spans="1:9" x14ac:dyDescent="0.25">
      <c r="A51" s="32"/>
      <c r="B51" s="221"/>
      <c r="C51" s="5"/>
      <c r="D51" s="5"/>
      <c r="E51" s="28" t="str">
        <f>IF(E49&gt;=0.01,"PASS","FAIL")</f>
        <v>PASS</v>
      </c>
      <c r="F51" s="6"/>
      <c r="H51"/>
    </row>
    <row r="52" spans="1:9" x14ac:dyDescent="0.25">
      <c r="A52" s="32"/>
      <c r="B52" s="221"/>
      <c r="C52" s="5"/>
      <c r="D52" s="5"/>
      <c r="E52" s="28"/>
      <c r="F52" s="6"/>
      <c r="H52"/>
    </row>
    <row r="53" spans="1:9" x14ac:dyDescent="0.25">
      <c r="A53" s="13" t="s">
        <v>765</v>
      </c>
      <c r="B53" s="67" t="s">
        <v>766</v>
      </c>
      <c r="C53" s="5"/>
      <c r="D53" s="5"/>
      <c r="E53" s="23"/>
      <c r="F53" s="6"/>
      <c r="H53"/>
    </row>
    <row r="54" spans="1:9" ht="39.75" customHeight="1" x14ac:dyDescent="0.25">
      <c r="A54" s="310"/>
      <c r="B54" s="311" t="s">
        <v>767</v>
      </c>
      <c r="C54" s="322" t="s">
        <v>997</v>
      </c>
      <c r="D54" s="96" t="s">
        <v>236</v>
      </c>
      <c r="E54" s="312"/>
      <c r="F54" s="313" t="s">
        <v>768</v>
      </c>
      <c r="G54" s="27"/>
      <c r="H54"/>
    </row>
    <row r="55" spans="1:9" x14ac:dyDescent="0.25">
      <c r="A55" s="310"/>
      <c r="B55" s="311"/>
      <c r="C55" s="322" t="s">
        <v>997</v>
      </c>
      <c r="D55" s="96" t="s">
        <v>236</v>
      </c>
      <c r="E55" s="312">
        <f>0.09*E17/E15</f>
        <v>54</v>
      </c>
      <c r="F55" s="313"/>
      <c r="G55" s="27"/>
      <c r="H55"/>
    </row>
    <row r="56" spans="1:9" ht="36" customHeight="1" x14ac:dyDescent="0.25">
      <c r="A56" s="310"/>
      <c r="B56" s="311" t="s">
        <v>769</v>
      </c>
      <c r="C56" s="315" t="s">
        <v>770</v>
      </c>
      <c r="D56" s="96" t="s">
        <v>236</v>
      </c>
      <c r="E56" s="312"/>
      <c r="F56" s="313" t="s">
        <v>768</v>
      </c>
      <c r="G56" s="27"/>
      <c r="H56"/>
    </row>
    <row r="57" spans="1:9" x14ac:dyDescent="0.25">
      <c r="A57" s="310"/>
      <c r="B57" s="311"/>
      <c r="C57" s="315" t="s">
        <v>770</v>
      </c>
      <c r="D57" s="96" t="s">
        <v>236</v>
      </c>
      <c r="E57" s="312">
        <f>0.31*E17/E15</f>
        <v>186</v>
      </c>
      <c r="F57" s="313"/>
      <c r="G57" s="27"/>
      <c r="H57"/>
    </row>
    <row r="58" spans="1:9" ht="36" customHeight="1" x14ac:dyDescent="0.25">
      <c r="A58" s="310"/>
      <c r="B58" s="311" t="s">
        <v>771</v>
      </c>
      <c r="C58" s="315" t="s">
        <v>772</v>
      </c>
      <c r="D58" s="96" t="s">
        <v>236</v>
      </c>
      <c r="E58" s="312"/>
      <c r="F58" s="313" t="s">
        <v>768</v>
      </c>
      <c r="G58" s="27"/>
      <c r="H58"/>
    </row>
    <row r="59" spans="1:9" x14ac:dyDescent="0.25">
      <c r="A59" s="310"/>
      <c r="B59" s="311"/>
      <c r="C59" s="315" t="s">
        <v>772</v>
      </c>
      <c r="D59" s="96" t="s">
        <v>236</v>
      </c>
      <c r="E59" s="312">
        <f>0.31*E17/E15</f>
        <v>186</v>
      </c>
      <c r="F59" s="313"/>
      <c r="G59" s="27"/>
      <c r="H59"/>
    </row>
    <row r="60" spans="1:9" x14ac:dyDescent="0.25">
      <c r="A60" s="310"/>
      <c r="B60" s="311" t="s">
        <v>773</v>
      </c>
      <c r="C60" s="315" t="s">
        <v>57</v>
      </c>
      <c r="D60" s="96" t="s">
        <v>236</v>
      </c>
      <c r="E60" s="323" t="s">
        <v>90</v>
      </c>
      <c r="F60" s="313" t="s">
        <v>768</v>
      </c>
      <c r="G60" s="27"/>
      <c r="H60"/>
    </row>
    <row r="61" spans="1:9" x14ac:dyDescent="0.25">
      <c r="A61" s="310"/>
      <c r="B61" s="311"/>
      <c r="C61" s="315" t="s">
        <v>57</v>
      </c>
      <c r="D61" s="96" t="s">
        <v>236</v>
      </c>
      <c r="E61" s="312">
        <f>E13/E45</f>
        <v>35.56</v>
      </c>
      <c r="F61" s="313"/>
      <c r="G61" s="27"/>
      <c r="H61"/>
    </row>
    <row r="62" spans="1:9" x14ac:dyDescent="0.25">
      <c r="A62" s="7"/>
      <c r="B62" s="70" t="s">
        <v>774</v>
      </c>
      <c r="C62" s="62"/>
      <c r="D62" s="62" t="s">
        <v>236</v>
      </c>
      <c r="E62" s="64" t="str">
        <f>IF(E61&lt;=E55,"Compact",IF(E61&lt;=E57,"Non-Compact",IF(E61&lt;=E59,"Slender","Too slender")))</f>
        <v>Compact</v>
      </c>
      <c r="F62" s="6"/>
      <c r="H62"/>
    </row>
    <row r="63" spans="1:9" x14ac:dyDescent="0.25">
      <c r="A63" s="7"/>
      <c r="B63" s="33" t="s">
        <v>647</v>
      </c>
      <c r="C63" s="14"/>
      <c r="D63" s="5" t="s">
        <v>236</v>
      </c>
      <c r="E63" s="23">
        <f>IF(E61&lt;=E55,1,IF(E61&lt;=E57,2,IF(E61&lt;=E59,3,4)))</f>
        <v>1</v>
      </c>
      <c r="F63" s="6"/>
      <c r="G63" s="27"/>
      <c r="H63"/>
    </row>
    <row r="64" spans="1:9" x14ac:dyDescent="0.25">
      <c r="A64" s="32"/>
      <c r="B64" s="33"/>
      <c r="C64" s="5"/>
      <c r="D64" s="5"/>
      <c r="E64" s="222"/>
      <c r="F64" s="6"/>
      <c r="H64"/>
    </row>
    <row r="65" spans="1:10" x14ac:dyDescent="0.25">
      <c r="A65" s="13" t="s">
        <v>775</v>
      </c>
      <c r="B65" s="67" t="s">
        <v>79</v>
      </c>
      <c r="C65" s="5"/>
      <c r="D65" s="5"/>
      <c r="E65" s="23"/>
      <c r="F65" s="6"/>
      <c r="H65"/>
    </row>
    <row r="66" spans="1:10" ht="36" customHeight="1" x14ac:dyDescent="0.25">
      <c r="A66" s="310"/>
      <c r="B66" s="311" t="s">
        <v>80</v>
      </c>
      <c r="C66" s="96" t="s">
        <v>824</v>
      </c>
      <c r="D66" s="96" t="s">
        <v>12</v>
      </c>
      <c r="E66" s="312"/>
      <c r="F66" s="313" t="s">
        <v>828</v>
      </c>
      <c r="H66"/>
    </row>
    <row r="67" spans="1:10" x14ac:dyDescent="0.25">
      <c r="A67" s="310"/>
      <c r="B67" s="311"/>
      <c r="C67" s="96" t="s">
        <v>824</v>
      </c>
      <c r="D67" s="96" t="s">
        <v>12</v>
      </c>
      <c r="E67" s="312">
        <f>((E15*E46)+(E78*E79))/10^3</f>
        <v>3800.0704737822134</v>
      </c>
      <c r="F67" s="313"/>
      <c r="H67"/>
    </row>
    <row r="68" spans="1:10" x14ac:dyDescent="0.25">
      <c r="A68" s="7"/>
      <c r="B68" s="69" t="s">
        <v>80</v>
      </c>
      <c r="C68" s="24" t="s">
        <v>829</v>
      </c>
      <c r="D68" s="24" t="s">
        <v>12</v>
      </c>
      <c r="E68" s="44">
        <f>E37*E67</f>
        <v>3420.0634264039923</v>
      </c>
      <c r="F68" s="6"/>
      <c r="G68" s="87"/>
      <c r="H68"/>
    </row>
    <row r="69" spans="1:10" x14ac:dyDescent="0.25">
      <c r="A69" s="7"/>
      <c r="B69" s="33"/>
      <c r="C69" s="62" t="s">
        <v>172</v>
      </c>
      <c r="D69" s="65"/>
      <c r="E69" s="64">
        <f>IF(E4&lt;0,0,ABS(E4/E68))</f>
        <v>0</v>
      </c>
      <c r="F69" s="55"/>
      <c r="H69"/>
      <c r="J69" s="1">
        <v>695</v>
      </c>
    </row>
    <row r="70" spans="1:10" x14ac:dyDescent="0.25">
      <c r="A70" s="7"/>
      <c r="B70" s="33"/>
      <c r="C70" s="5"/>
      <c r="D70" s="5"/>
      <c r="E70" s="28" t="str">
        <f>IF(E4&lt;0,"NOT APPLICABLE",IF(E69&lt;=1,"PASS","FAIL"))</f>
        <v>NOT APPLICABLE</v>
      </c>
      <c r="F70" s="6"/>
      <c r="H70"/>
      <c r="J70" s="1">
        <v>890</v>
      </c>
    </row>
    <row r="71" spans="1:10" x14ac:dyDescent="0.25">
      <c r="A71" s="7"/>
      <c r="B71" s="33"/>
      <c r="C71" s="5"/>
      <c r="D71" s="5"/>
      <c r="E71" s="23"/>
      <c r="F71" s="6"/>
      <c r="H71"/>
      <c r="J71" s="1">
        <f>J70-J69</f>
        <v>195</v>
      </c>
    </row>
    <row r="72" spans="1:10" x14ac:dyDescent="0.25">
      <c r="A72" s="13" t="s">
        <v>827</v>
      </c>
      <c r="B72" s="67" t="s">
        <v>43</v>
      </c>
      <c r="C72" s="5"/>
      <c r="D72" s="5"/>
      <c r="E72" s="23"/>
      <c r="F72" s="6"/>
      <c r="H72"/>
      <c r="J72" s="1">
        <v>400</v>
      </c>
    </row>
    <row r="73" spans="1:10" ht="30" x14ac:dyDescent="0.25">
      <c r="A73" s="7"/>
      <c r="B73" s="22" t="s">
        <v>776</v>
      </c>
      <c r="C73" s="14" t="s">
        <v>777</v>
      </c>
      <c r="D73" s="5" t="s">
        <v>48</v>
      </c>
      <c r="E73" s="35" t="s">
        <v>778</v>
      </c>
      <c r="F73" s="6"/>
      <c r="G73" s="27"/>
      <c r="H73"/>
      <c r="J73" s="1">
        <f>J72*J71</f>
        <v>78000</v>
      </c>
    </row>
    <row r="74" spans="1:10" ht="16.5" x14ac:dyDescent="0.25">
      <c r="A74" s="7"/>
      <c r="B74" s="22"/>
      <c r="C74" s="14" t="s">
        <v>777</v>
      </c>
      <c r="D74" s="5" t="s">
        <v>48</v>
      </c>
      <c r="E74" s="23">
        <f>0.85*E19</f>
        <v>34</v>
      </c>
      <c r="F74" s="6"/>
      <c r="G74" s="27"/>
      <c r="H74"/>
    </row>
    <row r="75" spans="1:10" ht="16.5" x14ac:dyDescent="0.25">
      <c r="A75" s="7"/>
      <c r="B75" s="22" t="s">
        <v>779</v>
      </c>
      <c r="C75" s="14" t="s">
        <v>780</v>
      </c>
      <c r="D75" s="5" t="s">
        <v>781</v>
      </c>
      <c r="E75" s="23">
        <v>2500</v>
      </c>
      <c r="F75" s="6" t="s">
        <v>782</v>
      </c>
      <c r="G75" s="27"/>
      <c r="H75"/>
    </row>
    <row r="76" spans="1:10" ht="20.25" customHeight="1" x14ac:dyDescent="0.25">
      <c r="A76" s="7"/>
      <c r="B76" s="22" t="s">
        <v>783</v>
      </c>
      <c r="C76" s="14" t="s">
        <v>784</v>
      </c>
      <c r="D76" s="5" t="s">
        <v>48</v>
      </c>
      <c r="E76" s="23"/>
      <c r="F76" s="6" t="s">
        <v>782</v>
      </c>
      <c r="G76" s="27"/>
      <c r="H76"/>
    </row>
    <row r="77" spans="1:10" ht="16.5" x14ac:dyDescent="0.25">
      <c r="A77" s="7"/>
      <c r="B77" s="22"/>
      <c r="C77" s="14" t="s">
        <v>784</v>
      </c>
      <c r="D77" s="5" t="s">
        <v>48</v>
      </c>
      <c r="E77" s="23">
        <f>0.043*E75^1.5*SQRT(E74)</f>
        <v>31341.366434793465</v>
      </c>
      <c r="F77" s="6"/>
      <c r="G77" s="27"/>
      <c r="H77"/>
    </row>
    <row r="78" spans="1:10" ht="30" x14ac:dyDescent="0.25">
      <c r="A78" s="7"/>
      <c r="B78" s="22" t="s">
        <v>785</v>
      </c>
      <c r="C78" s="14" t="s">
        <v>786</v>
      </c>
      <c r="D78" s="5" t="s">
        <v>34</v>
      </c>
      <c r="E78" s="23">
        <v>0</v>
      </c>
      <c r="F78" s="6"/>
      <c r="G78" s="27"/>
      <c r="H78"/>
    </row>
    <row r="79" spans="1:10" ht="16.5" x14ac:dyDescent="0.25">
      <c r="A79" s="7"/>
      <c r="B79" s="22" t="s">
        <v>787</v>
      </c>
      <c r="C79" s="14" t="s">
        <v>788</v>
      </c>
      <c r="D79" s="5" t="s">
        <v>34</v>
      </c>
      <c r="E79" s="23">
        <v>0</v>
      </c>
      <c r="F79" s="6"/>
      <c r="G79" s="27"/>
      <c r="H79"/>
    </row>
    <row r="80" spans="1:10" ht="30" x14ac:dyDescent="0.25">
      <c r="A80" s="7"/>
      <c r="B80" s="22" t="s">
        <v>789</v>
      </c>
      <c r="C80" s="5" t="s">
        <v>790</v>
      </c>
      <c r="D80" s="5" t="s">
        <v>35</v>
      </c>
      <c r="E80" s="40">
        <v>0</v>
      </c>
      <c r="F80" s="6"/>
      <c r="G80" s="27"/>
      <c r="H80"/>
    </row>
    <row r="81" spans="1:8" x14ac:dyDescent="0.25">
      <c r="A81" s="7"/>
      <c r="B81" s="22" t="s">
        <v>791</v>
      </c>
      <c r="C81" s="5" t="s">
        <v>792</v>
      </c>
      <c r="D81" s="5" t="s">
        <v>35</v>
      </c>
      <c r="E81" s="40">
        <f>PI()/64*(E13-2*E14)^4</f>
        <v>622669663.42967796</v>
      </c>
      <c r="F81" s="6"/>
    </row>
    <row r="82" spans="1:8" ht="16.5" x14ac:dyDescent="0.25">
      <c r="A82" s="7"/>
      <c r="B82" s="105"/>
      <c r="C82" s="226" t="s">
        <v>793</v>
      </c>
      <c r="D82" s="5" t="s">
        <v>236</v>
      </c>
      <c r="E82" s="23">
        <v>0.95</v>
      </c>
      <c r="F82" s="6" t="s">
        <v>794</v>
      </c>
      <c r="G82" s="27">
        <v>0.9</v>
      </c>
      <c r="H82"/>
    </row>
    <row r="83" spans="1:8" ht="36" customHeight="1" x14ac:dyDescent="0.25">
      <c r="A83" s="7"/>
      <c r="B83" s="22" t="s">
        <v>795</v>
      </c>
      <c r="C83" s="226" t="s">
        <v>796</v>
      </c>
      <c r="D83" s="5" t="s">
        <v>12</v>
      </c>
      <c r="E83" s="23"/>
      <c r="F83" s="6"/>
      <c r="G83" s="27"/>
      <c r="H83"/>
    </row>
    <row r="84" spans="1:8" x14ac:dyDescent="0.25">
      <c r="A84" s="7"/>
      <c r="B84" s="22"/>
      <c r="C84" s="226" t="s">
        <v>796</v>
      </c>
      <c r="D84" s="5" t="s">
        <v>12</v>
      </c>
      <c r="E84" s="23">
        <f>((E15*E46)+(E82*E74*(E48+E79*E17/E77)))/10^3</f>
        <v>6657.2419644436086</v>
      </c>
      <c r="F84" s="6"/>
      <c r="G84" s="27"/>
      <c r="H84"/>
    </row>
    <row r="85" spans="1:8" ht="35.25" customHeight="1" x14ac:dyDescent="0.25">
      <c r="A85" s="7"/>
      <c r="B85" s="22" t="s">
        <v>797</v>
      </c>
      <c r="C85" s="226" t="s">
        <v>798</v>
      </c>
      <c r="D85" s="5" t="s">
        <v>12</v>
      </c>
      <c r="E85" s="23"/>
      <c r="F85" s="6" t="s">
        <v>799</v>
      </c>
      <c r="G85" s="27"/>
      <c r="H85"/>
    </row>
    <row r="86" spans="1:8" x14ac:dyDescent="0.25">
      <c r="A86" s="7"/>
      <c r="B86" s="22"/>
      <c r="C86" s="226" t="s">
        <v>798</v>
      </c>
      <c r="D86" s="5" t="s">
        <v>12</v>
      </c>
      <c r="E86" s="23">
        <f>((E15*E46)+(0.7*E74*(E48+E79*E17/E77)))/10^3</f>
        <v>5905.3547300590308</v>
      </c>
      <c r="F86" s="6"/>
      <c r="G86" s="27"/>
      <c r="H86"/>
    </row>
    <row r="87" spans="1:8" x14ac:dyDescent="0.25">
      <c r="A87" s="7"/>
      <c r="B87" s="22"/>
      <c r="C87" s="226"/>
      <c r="D87" s="5"/>
      <c r="E87" s="23"/>
      <c r="F87" s="6"/>
      <c r="G87" s="27"/>
      <c r="H87"/>
    </row>
    <row r="88" spans="1:8" ht="52.5" customHeight="1" x14ac:dyDescent="0.25">
      <c r="A88" s="7"/>
      <c r="B88" s="22" t="s">
        <v>800</v>
      </c>
      <c r="C88" s="226" t="s">
        <v>801</v>
      </c>
      <c r="D88" s="5" t="s">
        <v>48</v>
      </c>
      <c r="E88" s="23"/>
      <c r="F88" s="6" t="s">
        <v>802</v>
      </c>
      <c r="G88" s="27"/>
      <c r="H88"/>
    </row>
    <row r="89" spans="1:8" ht="16.5" x14ac:dyDescent="0.25">
      <c r="A89" s="7"/>
      <c r="B89" s="22"/>
      <c r="C89" s="226" t="s">
        <v>801</v>
      </c>
      <c r="D89" s="5" t="s">
        <v>48</v>
      </c>
      <c r="E89" s="40">
        <f>(0.72*E15)/(E61*E15/E17)^0.2</f>
        <v>443.44365010888617</v>
      </c>
      <c r="F89" s="6"/>
      <c r="G89" s="27"/>
      <c r="H89"/>
    </row>
    <row r="90" spans="1:8" x14ac:dyDescent="0.25">
      <c r="A90" s="7"/>
      <c r="B90" s="22"/>
      <c r="C90" s="226"/>
      <c r="D90" s="5"/>
      <c r="E90" s="40"/>
      <c r="F90" s="6"/>
      <c r="G90" s="27"/>
      <c r="H90"/>
    </row>
    <row r="91" spans="1:8" x14ac:dyDescent="0.25">
      <c r="A91" s="7"/>
      <c r="B91" s="22" t="s">
        <v>803</v>
      </c>
      <c r="C91" s="5" t="s">
        <v>734</v>
      </c>
      <c r="D91" s="5" t="s">
        <v>35</v>
      </c>
      <c r="E91" s="40">
        <f>PI()/64*(E13^4-(E13-2*E45)^4)</f>
        <v>162234997.28243667</v>
      </c>
      <c r="F91" s="6"/>
      <c r="G91" s="27"/>
      <c r="H91"/>
    </row>
    <row r="92" spans="1:8" ht="36.75" customHeight="1" x14ac:dyDescent="0.25">
      <c r="A92" s="7"/>
      <c r="B92" s="22" t="s">
        <v>804</v>
      </c>
      <c r="C92" s="226" t="s">
        <v>805</v>
      </c>
      <c r="D92" s="5" t="s">
        <v>236</v>
      </c>
      <c r="E92" s="23"/>
      <c r="F92" s="6" t="s">
        <v>806</v>
      </c>
      <c r="G92" s="27"/>
      <c r="H92"/>
    </row>
    <row r="93" spans="1:8" ht="16.5" x14ac:dyDescent="0.25">
      <c r="A93" s="7"/>
      <c r="B93" s="22"/>
      <c r="C93" s="226" t="s">
        <v>805</v>
      </c>
      <c r="D93" s="5" t="s">
        <v>236</v>
      </c>
      <c r="E93" s="23">
        <f>MIN(0.6+(2*(E46/(E46+E48))),0.9)</f>
        <v>0.81864533524985417</v>
      </c>
      <c r="F93" s="6"/>
      <c r="G93" s="27"/>
      <c r="H93"/>
    </row>
    <row r="94" spans="1:8" ht="30" x14ac:dyDescent="0.25">
      <c r="A94" s="7"/>
      <c r="B94" s="22" t="s">
        <v>807</v>
      </c>
      <c r="C94" s="226" t="s">
        <v>808</v>
      </c>
      <c r="D94" s="5" t="s">
        <v>809</v>
      </c>
      <c r="E94" s="23"/>
      <c r="F94" s="6" t="s">
        <v>810</v>
      </c>
      <c r="G94" s="27"/>
      <c r="H94"/>
    </row>
    <row r="95" spans="1:8" ht="16.5" x14ac:dyDescent="0.25">
      <c r="A95" s="7"/>
      <c r="B95" s="22"/>
      <c r="C95" s="226" t="s">
        <v>808</v>
      </c>
      <c r="D95" s="5" t="s">
        <v>809</v>
      </c>
      <c r="E95" s="97">
        <f>(E17*E91)+(E17*E80)+(E93*E77*E81)</f>
        <v>50045473549098.961</v>
      </c>
      <c r="F95" s="6"/>
      <c r="G95" s="27"/>
      <c r="H95"/>
    </row>
    <row r="96" spans="1:8" ht="35.25" customHeight="1" x14ac:dyDescent="0.25">
      <c r="A96" s="7"/>
      <c r="B96" s="22" t="s">
        <v>811</v>
      </c>
      <c r="C96" s="226" t="s">
        <v>812</v>
      </c>
      <c r="D96" s="5" t="s">
        <v>12</v>
      </c>
      <c r="E96" s="23"/>
      <c r="F96" s="6"/>
      <c r="G96" s="27"/>
      <c r="H96"/>
    </row>
    <row r="97" spans="1:9" x14ac:dyDescent="0.25">
      <c r="A97" s="7"/>
      <c r="B97" s="22"/>
      <c r="C97" s="226" t="s">
        <v>812</v>
      </c>
      <c r="D97" s="5" t="s">
        <v>12</v>
      </c>
      <c r="E97" s="23">
        <f>((PI()^2*E95)/(MAX(E24,E25))^2)/10^3</f>
        <v>54881.002888309798</v>
      </c>
      <c r="F97" s="6"/>
      <c r="G97" s="27"/>
      <c r="H97"/>
    </row>
    <row r="98" spans="1:9" ht="45" x14ac:dyDescent="0.25">
      <c r="A98" s="7"/>
      <c r="B98" s="227" t="s">
        <v>813</v>
      </c>
      <c r="C98" s="154" t="s">
        <v>814</v>
      </c>
      <c r="D98" s="15" t="s">
        <v>12</v>
      </c>
      <c r="E98" s="25">
        <f>IF($E$63=1,E100,IF($E$63=2,E102,IF($E$63=3,E104,0)))</f>
        <v>6657.2419644436086</v>
      </c>
      <c r="F98" s="80" t="s">
        <v>815</v>
      </c>
      <c r="G98" s="27"/>
      <c r="H98"/>
    </row>
    <row r="99" spans="1:9" x14ac:dyDescent="0.25">
      <c r="A99" s="7"/>
      <c r="B99" s="105" t="s">
        <v>816</v>
      </c>
      <c r="C99" s="228" t="s">
        <v>814</v>
      </c>
      <c r="D99" s="5" t="s">
        <v>12</v>
      </c>
      <c r="E99" s="23" t="s">
        <v>796</v>
      </c>
      <c r="F99" s="6" t="s">
        <v>817</v>
      </c>
      <c r="G99" s="27"/>
      <c r="H99"/>
    </row>
    <row r="100" spans="1:9" x14ac:dyDescent="0.25">
      <c r="A100" s="7"/>
      <c r="B100" s="105"/>
      <c r="C100" s="228" t="s">
        <v>814</v>
      </c>
      <c r="D100" s="5" t="s">
        <v>12</v>
      </c>
      <c r="E100" s="23">
        <f>E84</f>
        <v>6657.2419644436086</v>
      </c>
      <c r="F100" s="6"/>
      <c r="G100" s="27"/>
      <c r="H100"/>
    </row>
    <row r="101" spans="1:9" ht="41.25" customHeight="1" x14ac:dyDescent="0.25">
      <c r="A101" s="7"/>
      <c r="B101" s="105" t="s">
        <v>818</v>
      </c>
      <c r="C101" s="228" t="s">
        <v>814</v>
      </c>
      <c r="D101" s="5" t="s">
        <v>12</v>
      </c>
      <c r="E101" s="23"/>
      <c r="F101" s="6" t="s">
        <v>819</v>
      </c>
      <c r="G101" s="27"/>
      <c r="H101"/>
    </row>
    <row r="102" spans="1:9" x14ac:dyDescent="0.25">
      <c r="A102" s="7"/>
      <c r="B102" s="105"/>
      <c r="C102" s="228" t="s">
        <v>814</v>
      </c>
      <c r="D102" s="5" t="s">
        <v>12</v>
      </c>
      <c r="E102" s="23">
        <f>(E84-((E84-E86)*((E61-E55)/(E57-E55))^2))</f>
        <v>6642.5687020984624</v>
      </c>
      <c r="F102" s="6"/>
      <c r="G102" s="27"/>
      <c r="H102"/>
    </row>
    <row r="103" spans="1:9" ht="36" customHeight="1" x14ac:dyDescent="0.25">
      <c r="A103" s="7"/>
      <c r="B103" s="105" t="s">
        <v>820</v>
      </c>
      <c r="C103" s="228" t="s">
        <v>814</v>
      </c>
      <c r="D103" s="5" t="s">
        <v>12</v>
      </c>
      <c r="E103" s="23"/>
      <c r="F103" s="6" t="s">
        <v>821</v>
      </c>
      <c r="G103" s="27"/>
      <c r="H103"/>
    </row>
    <row r="104" spans="1:9" x14ac:dyDescent="0.25">
      <c r="A104" s="7"/>
      <c r="B104" s="22"/>
      <c r="C104" s="228" t="s">
        <v>814</v>
      </c>
      <c r="D104" s="5" t="s">
        <v>12</v>
      </c>
      <c r="E104" s="23">
        <f>((E89*E46)+(0.7*E74*(E48+E79*E17/E77)))/10^3</f>
        <v>6919.9046036053578</v>
      </c>
      <c r="F104" s="6"/>
      <c r="G104" s="27"/>
      <c r="H104"/>
    </row>
    <row r="105" spans="1:9" x14ac:dyDescent="0.25">
      <c r="A105" s="7"/>
      <c r="B105" s="22"/>
      <c r="C105" s="228"/>
      <c r="D105" s="5"/>
      <c r="E105" s="23"/>
      <c r="F105" s="6"/>
      <c r="G105" s="27"/>
      <c r="H105"/>
    </row>
    <row r="106" spans="1:9" x14ac:dyDescent="0.25">
      <c r="A106" s="7"/>
      <c r="B106" s="22" t="s">
        <v>89</v>
      </c>
      <c r="C106" s="14" t="s">
        <v>822</v>
      </c>
      <c r="D106" s="5" t="s">
        <v>236</v>
      </c>
      <c r="E106" s="23">
        <f>E98/E97</f>
        <v>0.1213032126616197</v>
      </c>
      <c r="F106" s="6"/>
      <c r="G106" s="27"/>
      <c r="H106"/>
    </row>
    <row r="107" spans="1:9" ht="86.25" customHeight="1" x14ac:dyDescent="0.25">
      <c r="A107" s="7"/>
      <c r="B107" s="22" t="s">
        <v>823</v>
      </c>
      <c r="C107" s="14" t="s">
        <v>824</v>
      </c>
      <c r="D107" s="5" t="s">
        <v>12</v>
      </c>
      <c r="E107" s="23"/>
      <c r="F107" s="6" t="s">
        <v>825</v>
      </c>
      <c r="G107" s="27"/>
      <c r="H107"/>
    </row>
    <row r="108" spans="1:9" ht="36" customHeight="1" x14ac:dyDescent="0.25">
      <c r="A108" s="7"/>
      <c r="B108" s="105"/>
      <c r="C108" s="14" t="s">
        <v>824</v>
      </c>
      <c r="D108" s="5" t="s">
        <v>12</v>
      </c>
      <c r="E108" s="23">
        <f>IF(AND(E106&lt;=2.25,E63&lt;=2),(0.658^E106)*E98,0.877*E97)</f>
        <v>6327.6807416690526</v>
      </c>
      <c r="F108" s="6"/>
      <c r="G108" s="27"/>
      <c r="H108"/>
    </row>
    <row r="109" spans="1:9" x14ac:dyDescent="0.25">
      <c r="A109" s="7"/>
      <c r="B109" s="69" t="s">
        <v>49</v>
      </c>
      <c r="C109" s="24" t="s">
        <v>826</v>
      </c>
      <c r="D109" s="24" t="s">
        <v>12</v>
      </c>
      <c r="E109" s="44">
        <f>E36*E108</f>
        <v>4745.7605562517892</v>
      </c>
      <c r="F109" s="6"/>
      <c r="H109"/>
      <c r="I109" s="54"/>
    </row>
    <row r="110" spans="1:9" x14ac:dyDescent="0.25">
      <c r="A110" s="7"/>
      <c r="B110" s="33"/>
      <c r="C110" s="62" t="s">
        <v>172</v>
      </c>
      <c r="D110" s="63"/>
      <c r="E110" s="64">
        <f>IF(E4&lt;=0,ABS(E4)/E109,0)</f>
        <v>6.8482173963004489E-2</v>
      </c>
      <c r="F110" s="6"/>
      <c r="H110"/>
    </row>
    <row r="111" spans="1:9" x14ac:dyDescent="0.25">
      <c r="A111" s="7"/>
      <c r="B111" s="33"/>
      <c r="C111" s="5"/>
      <c r="D111" s="5"/>
      <c r="E111" s="28" t="str">
        <f>IF(E4&gt;0,"NOT APPLICABLE",IF(E110&lt;=1,"PASS","FAIL"))</f>
        <v>PASS</v>
      </c>
      <c r="F111" s="6"/>
      <c r="H111"/>
    </row>
    <row r="112" spans="1:9" x14ac:dyDescent="0.25">
      <c r="A112" s="7"/>
      <c r="B112" s="33"/>
      <c r="C112" s="5"/>
      <c r="D112" s="5"/>
      <c r="E112" s="23"/>
      <c r="F112" s="6"/>
      <c r="H112"/>
    </row>
    <row r="113" spans="1:8" x14ac:dyDescent="0.25">
      <c r="A113" s="13" t="s">
        <v>830</v>
      </c>
      <c r="B113" s="67" t="s">
        <v>82</v>
      </c>
      <c r="C113" s="5"/>
      <c r="D113" s="5"/>
      <c r="E113" s="23"/>
      <c r="F113" s="6"/>
      <c r="H113"/>
    </row>
    <row r="114" spans="1:8" x14ac:dyDescent="0.25">
      <c r="A114" s="314"/>
      <c r="B114" s="311" t="s">
        <v>739</v>
      </c>
      <c r="C114" s="96" t="s">
        <v>740</v>
      </c>
      <c r="D114" s="96" t="s">
        <v>36</v>
      </c>
      <c r="E114" s="324">
        <f>(E13^3-(E13-2*E45)^3)/6</f>
        <v>1194726.9333333336</v>
      </c>
      <c r="F114" s="313"/>
      <c r="H114"/>
    </row>
    <row r="115" spans="1:8" x14ac:dyDescent="0.25">
      <c r="A115" s="314"/>
      <c r="B115" s="311" t="s">
        <v>831</v>
      </c>
      <c r="C115" s="96" t="s">
        <v>832</v>
      </c>
      <c r="D115" s="96" t="s">
        <v>36</v>
      </c>
      <c r="E115" s="324">
        <f>((E13-2*E14)^3)/6</f>
        <v>6299623.669333335</v>
      </c>
      <c r="F115" s="313"/>
      <c r="H115"/>
    </row>
    <row r="116" spans="1:8" x14ac:dyDescent="0.25">
      <c r="A116" s="314"/>
      <c r="B116" s="311"/>
      <c r="C116" s="96"/>
      <c r="D116" s="96"/>
      <c r="E116" s="312"/>
      <c r="F116" s="313"/>
      <c r="H116"/>
    </row>
    <row r="117" spans="1:8" ht="33" customHeight="1" x14ac:dyDescent="0.25">
      <c r="A117" s="314"/>
      <c r="B117" s="311"/>
      <c r="C117" s="96" t="s">
        <v>833</v>
      </c>
      <c r="D117" s="96" t="s">
        <v>236</v>
      </c>
      <c r="E117" s="312"/>
      <c r="F117" s="313"/>
      <c r="H117"/>
    </row>
    <row r="118" spans="1:8" x14ac:dyDescent="0.25">
      <c r="A118" s="314"/>
      <c r="B118" s="311"/>
      <c r="C118" s="96" t="s">
        <v>833</v>
      </c>
      <c r="D118" s="96" t="s">
        <v>236</v>
      </c>
      <c r="E118" s="312">
        <f>E15*((E13-E45)/E45)*E45</f>
        <v>120960</v>
      </c>
      <c r="F118" s="313"/>
      <c r="H118"/>
    </row>
    <row r="119" spans="1:8" ht="23.25" customHeight="1" x14ac:dyDescent="0.25">
      <c r="A119" s="314"/>
      <c r="B119" s="311"/>
      <c r="C119" s="96" t="s">
        <v>834</v>
      </c>
      <c r="D119" s="96" t="s">
        <v>236</v>
      </c>
      <c r="E119" s="312"/>
      <c r="F119" s="313"/>
      <c r="H119"/>
    </row>
    <row r="120" spans="1:8" x14ac:dyDescent="0.25">
      <c r="A120" s="314"/>
      <c r="B120" s="311"/>
      <c r="C120" s="96" t="s">
        <v>834</v>
      </c>
      <c r="D120" s="96" t="s">
        <v>236</v>
      </c>
      <c r="E120" s="312">
        <f>E74*E26^2</f>
        <v>3829330.2400000007</v>
      </c>
      <c r="F120" s="313"/>
      <c r="H120"/>
    </row>
    <row r="121" spans="1:8" ht="98.25" customHeight="1" x14ac:dyDescent="0.25">
      <c r="A121" s="314"/>
      <c r="B121" s="311"/>
      <c r="C121" s="322" t="s">
        <v>835</v>
      </c>
      <c r="D121" s="96" t="s">
        <v>836</v>
      </c>
      <c r="E121" s="312"/>
      <c r="F121" s="313"/>
      <c r="H121"/>
    </row>
    <row r="122" spans="1:8" x14ac:dyDescent="0.25">
      <c r="A122" s="314"/>
      <c r="B122" s="311"/>
      <c r="C122" s="322" t="s">
        <v>835</v>
      </c>
      <c r="D122" s="96" t="s">
        <v>836</v>
      </c>
      <c r="E122" s="312">
        <f>MAX((0.026*E120-2*E118)/(0.0848*E120)+(SQRT(ABS(((0.026*E120)+(2*E118))^2-(0.857*E120*E118)))/(0.0848*E120)),0)</f>
        <v>1.1921452159262871</v>
      </c>
      <c r="F122" s="313"/>
      <c r="H122"/>
    </row>
    <row r="123" spans="1:8" ht="35.25" customHeight="1" x14ac:dyDescent="0.25">
      <c r="A123" s="314"/>
      <c r="B123" s="311" t="s">
        <v>837</v>
      </c>
      <c r="C123" s="96" t="s">
        <v>838</v>
      </c>
      <c r="D123" s="96" t="s">
        <v>8</v>
      </c>
      <c r="E123" s="312"/>
      <c r="F123" s="313"/>
      <c r="H123"/>
    </row>
    <row r="124" spans="1:8" x14ac:dyDescent="0.25">
      <c r="A124" s="314"/>
      <c r="B124" s="311"/>
      <c r="C124" s="96" t="s">
        <v>838</v>
      </c>
      <c r="D124" s="96" t="s">
        <v>8</v>
      </c>
      <c r="E124" s="312">
        <f>MAX((E26/2)*SIN((PI()-E122)/2),E26/2)</f>
        <v>167.8</v>
      </c>
      <c r="F124" s="313"/>
      <c r="H124"/>
    </row>
    <row r="125" spans="1:8" x14ac:dyDescent="0.25">
      <c r="A125" s="314"/>
      <c r="B125" s="311"/>
      <c r="C125" s="96"/>
      <c r="D125" s="96"/>
      <c r="E125" s="312"/>
      <c r="F125" s="313"/>
      <c r="H125"/>
    </row>
    <row r="126" spans="1:8" ht="39.75" customHeight="1" x14ac:dyDescent="0.25">
      <c r="A126" s="314"/>
      <c r="B126" s="311"/>
      <c r="C126" s="96" t="s">
        <v>998</v>
      </c>
      <c r="D126" s="96" t="s">
        <v>36</v>
      </c>
      <c r="E126" s="312"/>
      <c r="F126" s="313"/>
      <c r="H126"/>
    </row>
    <row r="127" spans="1:8" ht="18" x14ac:dyDescent="0.25">
      <c r="A127" s="314"/>
      <c r="B127" s="311"/>
      <c r="C127" s="96" t="s">
        <v>998</v>
      </c>
      <c r="D127" s="96" t="s">
        <v>36</v>
      </c>
      <c r="E127" s="312">
        <f>((E13^3-E26^3)/6)*SIN((PI()-E122)/2)</f>
        <v>988692.47016410786</v>
      </c>
      <c r="F127" s="313"/>
      <c r="G127" s="87">
        <f>E127/E114</f>
        <v>0.82754681641403882</v>
      </c>
      <c r="H127"/>
    </row>
    <row r="128" spans="1:8" ht="45" customHeight="1" x14ac:dyDescent="0.25">
      <c r="A128" s="314"/>
      <c r="B128" s="311"/>
      <c r="C128" s="96" t="s">
        <v>999</v>
      </c>
      <c r="D128" s="96" t="s">
        <v>36</v>
      </c>
      <c r="E128" s="312"/>
      <c r="F128" s="313"/>
      <c r="H128"/>
    </row>
    <row r="129" spans="1:9" ht="18" x14ac:dyDescent="0.25">
      <c r="A129" s="314"/>
      <c r="B129" s="311"/>
      <c r="C129" s="96" t="s">
        <v>999</v>
      </c>
      <c r="D129" s="96" t="s">
        <v>36</v>
      </c>
      <c r="E129" s="312">
        <f>((E26^3)/6)*SIN((PI()-E122)/2)</f>
        <v>5213233.5121633271</v>
      </c>
      <c r="F129" s="313"/>
      <c r="G129" s="87">
        <f>E129/E115</f>
        <v>0.82754681641403882</v>
      </c>
      <c r="H129"/>
      <c r="I129" s="27"/>
    </row>
    <row r="130" spans="1:9" x14ac:dyDescent="0.25">
      <c r="A130" s="314"/>
      <c r="B130" s="311"/>
      <c r="C130" s="96"/>
      <c r="D130" s="96"/>
      <c r="E130" s="312"/>
      <c r="F130" s="313"/>
      <c r="H130"/>
    </row>
    <row r="131" spans="1:9" ht="36.75" customHeight="1" x14ac:dyDescent="0.25">
      <c r="A131" s="314"/>
      <c r="B131" s="311"/>
      <c r="C131" s="96" t="s">
        <v>1000</v>
      </c>
      <c r="D131" s="96" t="s">
        <v>7</v>
      </c>
      <c r="E131" s="312"/>
      <c r="F131" s="313"/>
      <c r="H131"/>
    </row>
    <row r="132" spans="1:9" ht="18" x14ac:dyDescent="0.25">
      <c r="A132" s="314"/>
      <c r="B132" s="311"/>
      <c r="C132" s="96" t="s">
        <v>1000</v>
      </c>
      <c r="D132" s="96" t="s">
        <v>7</v>
      </c>
      <c r="E132" s="312">
        <f>((E15*E114)+(0.5*0.95*E74*E115))/10^6</f>
        <v>519.89334892640011</v>
      </c>
      <c r="F132" s="313"/>
      <c r="G132" s="27"/>
      <c r="H132"/>
    </row>
    <row r="133" spans="1:9" ht="37.5" customHeight="1" x14ac:dyDescent="0.25">
      <c r="A133" s="314"/>
      <c r="B133" s="311" t="s">
        <v>839</v>
      </c>
      <c r="C133" s="96" t="s">
        <v>840</v>
      </c>
      <c r="D133" s="96" t="s">
        <v>7</v>
      </c>
      <c r="E133" s="312"/>
      <c r="F133" s="313"/>
      <c r="H133"/>
    </row>
    <row r="134" spans="1:9" x14ac:dyDescent="0.25">
      <c r="A134" s="314"/>
      <c r="B134" s="311"/>
      <c r="C134" s="96" t="s">
        <v>840</v>
      </c>
      <c r="D134" s="96" t="s">
        <v>7</v>
      </c>
      <c r="E134" s="312">
        <f>((E15*E127)+(0.5*0.95*E74*E129))/10^6</f>
        <v>430.23608577887546</v>
      </c>
      <c r="F134" s="313"/>
      <c r="H134"/>
    </row>
    <row r="135" spans="1:9" x14ac:dyDescent="0.25">
      <c r="A135" s="314"/>
      <c r="B135" s="311" t="s">
        <v>841</v>
      </c>
      <c r="C135" s="96" t="s">
        <v>344</v>
      </c>
      <c r="D135" s="96" t="s">
        <v>7</v>
      </c>
      <c r="E135" s="312">
        <f>E134</f>
        <v>430.23608577887546</v>
      </c>
      <c r="F135" s="313"/>
      <c r="H135"/>
      <c r="I135" s="27"/>
    </row>
    <row r="136" spans="1:9" x14ac:dyDescent="0.25">
      <c r="A136" s="314"/>
      <c r="B136" s="311"/>
      <c r="C136" s="96"/>
      <c r="D136" s="96"/>
      <c r="E136" s="312"/>
      <c r="F136" s="313"/>
      <c r="H136"/>
    </row>
    <row r="137" spans="1:9" x14ac:dyDescent="0.25">
      <c r="A137" s="314"/>
      <c r="B137" s="319" t="s">
        <v>842</v>
      </c>
      <c r="C137" s="317" t="s">
        <v>843</v>
      </c>
      <c r="D137" s="317" t="s">
        <v>7</v>
      </c>
      <c r="E137" s="318">
        <f>IF($E$63=1,E139,IF($E$63=2,E141,IF($E$63=3,E143,0)))</f>
        <v>430.23608577887546</v>
      </c>
      <c r="F137" s="325" t="s">
        <v>844</v>
      </c>
      <c r="H137"/>
    </row>
    <row r="138" spans="1:9" x14ac:dyDescent="0.25">
      <c r="A138" s="314"/>
      <c r="B138" s="326" t="s">
        <v>816</v>
      </c>
      <c r="C138" s="327" t="s">
        <v>843</v>
      </c>
      <c r="D138" s="328" t="s">
        <v>7</v>
      </c>
      <c r="E138" s="312" t="s">
        <v>840</v>
      </c>
      <c r="F138" s="313" t="s">
        <v>845</v>
      </c>
      <c r="H138"/>
    </row>
    <row r="139" spans="1:9" x14ac:dyDescent="0.25">
      <c r="A139" s="314"/>
      <c r="B139" s="311"/>
      <c r="C139" s="327" t="s">
        <v>843</v>
      </c>
      <c r="D139" s="328" t="s">
        <v>7</v>
      </c>
      <c r="E139" s="312">
        <f>MIN(E132,E134)</f>
        <v>430.23608577887546</v>
      </c>
      <c r="F139" s="313"/>
      <c r="H139"/>
    </row>
    <row r="140" spans="1:9" ht="38.25" customHeight="1" x14ac:dyDescent="0.25">
      <c r="A140" s="314"/>
      <c r="B140" s="326" t="s">
        <v>818</v>
      </c>
      <c r="C140" s="327" t="s">
        <v>843</v>
      </c>
      <c r="D140" s="328" t="s">
        <v>7</v>
      </c>
      <c r="E140" s="312"/>
      <c r="F140" s="313" t="s">
        <v>846</v>
      </c>
      <c r="H140"/>
    </row>
    <row r="141" spans="1:9" x14ac:dyDescent="0.25">
      <c r="A141" s="314"/>
      <c r="B141" s="311"/>
      <c r="C141" s="327" t="s">
        <v>843</v>
      </c>
      <c r="D141" s="328" t="s">
        <v>7</v>
      </c>
      <c r="E141" s="312">
        <f>E139-((E132-E139)*((E61-E55)/(E57-E55)))</f>
        <v>442.76093375190845</v>
      </c>
      <c r="F141" s="313"/>
      <c r="H141"/>
    </row>
    <row r="142" spans="1:9" x14ac:dyDescent="0.25">
      <c r="A142" s="314"/>
      <c r="B142" s="326" t="s">
        <v>820</v>
      </c>
      <c r="C142" s="327" t="s">
        <v>843</v>
      </c>
      <c r="D142" s="328" t="s">
        <v>7</v>
      </c>
      <c r="E142" s="312" t="s">
        <v>344</v>
      </c>
      <c r="F142" s="313" t="s">
        <v>847</v>
      </c>
      <c r="H142"/>
    </row>
    <row r="143" spans="1:9" x14ac:dyDescent="0.25">
      <c r="A143" s="314"/>
      <c r="B143" s="311"/>
      <c r="C143" s="327" t="s">
        <v>843</v>
      </c>
      <c r="D143" s="328" t="s">
        <v>7</v>
      </c>
      <c r="E143" s="312">
        <f>MIN(E134,E135)</f>
        <v>430.23608577887546</v>
      </c>
      <c r="F143" s="313"/>
      <c r="H143"/>
    </row>
    <row r="144" spans="1:9" x14ac:dyDescent="0.25">
      <c r="A144" s="310"/>
      <c r="B144" s="319" t="s">
        <v>848</v>
      </c>
      <c r="C144" s="317" t="s">
        <v>849</v>
      </c>
      <c r="D144" s="317" t="s">
        <v>7</v>
      </c>
      <c r="E144" s="318">
        <f>E39*E137</f>
        <v>387.21247720098791</v>
      </c>
      <c r="F144" s="313"/>
      <c r="G144" s="87"/>
      <c r="H144"/>
      <c r="I144"/>
    </row>
    <row r="145" spans="1:11" ht="30" x14ac:dyDescent="0.25">
      <c r="A145" s="26"/>
      <c r="B145" s="69" t="s">
        <v>850</v>
      </c>
      <c r="C145" s="24" t="s">
        <v>851</v>
      </c>
      <c r="D145" s="24" t="s">
        <v>7</v>
      </c>
      <c r="E145" s="44">
        <f>E144</f>
        <v>387.21247720098791</v>
      </c>
      <c r="F145" s="6"/>
      <c r="G145" s="27"/>
      <c r="H145"/>
    </row>
    <row r="146" spans="1:11" x14ac:dyDescent="0.25">
      <c r="A146" s="26"/>
      <c r="B146" s="33"/>
      <c r="C146" s="62" t="s">
        <v>172</v>
      </c>
      <c r="D146" s="65"/>
      <c r="E146" s="64">
        <f>ABS(E8)/E145</f>
        <v>3.1507249167664148E-2</v>
      </c>
      <c r="F146" s="6"/>
      <c r="H146"/>
    </row>
    <row r="147" spans="1:11" x14ac:dyDescent="0.25">
      <c r="A147" s="26"/>
      <c r="B147" s="33"/>
      <c r="C147" s="5"/>
      <c r="D147" s="5"/>
      <c r="E147" s="28" t="str">
        <f>IF(E146&lt;=1,"PASS","FAIL")</f>
        <v>PASS</v>
      </c>
      <c r="F147" s="6"/>
      <c r="H147"/>
    </row>
    <row r="148" spans="1:11" ht="30" x14ac:dyDescent="0.25">
      <c r="A148" s="26"/>
      <c r="B148" s="69" t="s">
        <v>852</v>
      </c>
      <c r="C148" s="24" t="s">
        <v>853</v>
      </c>
      <c r="D148" s="24" t="s">
        <v>7</v>
      </c>
      <c r="E148" s="44">
        <f>E144</f>
        <v>387.21247720098791</v>
      </c>
      <c r="F148" s="6"/>
      <c r="G148" s="27"/>
      <c r="H148"/>
    </row>
    <row r="149" spans="1:11" x14ac:dyDescent="0.25">
      <c r="A149" s="26"/>
      <c r="B149" s="33"/>
      <c r="C149" s="62" t="s">
        <v>172</v>
      </c>
      <c r="D149" s="65"/>
      <c r="E149" s="64">
        <f>ABS(E9)/E148</f>
        <v>6.1981473772454061E-3</v>
      </c>
      <c r="F149" s="6"/>
      <c r="H149"/>
    </row>
    <row r="150" spans="1:11" x14ac:dyDescent="0.25">
      <c r="A150" s="26"/>
      <c r="B150" s="33"/>
      <c r="C150" s="5"/>
      <c r="D150" s="5"/>
      <c r="E150" s="28" t="str">
        <f>IF(E149&lt;=1,"PASS","FAIL")</f>
        <v>PASS</v>
      </c>
      <c r="F150" s="6"/>
      <c r="H150"/>
    </row>
    <row r="151" spans="1:11" x14ac:dyDescent="0.25">
      <c r="A151" s="7"/>
      <c r="B151" s="33"/>
      <c r="C151" s="5"/>
      <c r="D151" s="5"/>
      <c r="E151" s="23"/>
      <c r="F151" s="6"/>
      <c r="H151"/>
    </row>
    <row r="152" spans="1:11" x14ac:dyDescent="0.25">
      <c r="A152" s="13" t="s">
        <v>854</v>
      </c>
      <c r="B152" s="67" t="s">
        <v>100</v>
      </c>
      <c r="C152" s="5"/>
      <c r="D152" s="5"/>
      <c r="E152" s="23"/>
      <c r="F152" s="6"/>
      <c r="H152"/>
    </row>
    <row r="153" spans="1:11" ht="52.5" customHeight="1" x14ac:dyDescent="0.25">
      <c r="A153" s="310"/>
      <c r="B153" s="329" t="s">
        <v>855</v>
      </c>
      <c r="C153" s="330" t="s">
        <v>1001</v>
      </c>
      <c r="D153" s="96" t="s">
        <v>48</v>
      </c>
      <c r="E153" s="312"/>
      <c r="F153" s="313" t="s">
        <v>856</v>
      </c>
      <c r="G153" s="27"/>
      <c r="H153"/>
    </row>
    <row r="154" spans="1:11" ht="16.5" x14ac:dyDescent="0.25">
      <c r="A154" s="310"/>
      <c r="B154" s="329"/>
      <c r="C154" s="330" t="s">
        <v>1001</v>
      </c>
      <c r="D154" s="96" t="s">
        <v>48</v>
      </c>
      <c r="E154" s="324">
        <f>MIN((0.78*E17)/(E61)^(3/2),0.6*E15)</f>
        <v>210</v>
      </c>
      <c r="F154" s="313"/>
      <c r="G154" s="27"/>
      <c r="H154"/>
    </row>
    <row r="155" spans="1:11" ht="33" customHeight="1" x14ac:dyDescent="0.25">
      <c r="A155" s="314"/>
      <c r="B155" s="311" t="s">
        <v>857</v>
      </c>
      <c r="C155" s="96" t="s">
        <v>858</v>
      </c>
      <c r="D155" s="96" t="s">
        <v>12</v>
      </c>
      <c r="E155" s="312"/>
      <c r="F155" s="313" t="s">
        <v>859</v>
      </c>
      <c r="H155"/>
      <c r="I155"/>
      <c r="J155"/>
      <c r="K155"/>
    </row>
    <row r="156" spans="1:11" x14ac:dyDescent="0.25">
      <c r="A156" s="314"/>
      <c r="B156" s="311"/>
      <c r="C156" s="96" t="s">
        <v>858</v>
      </c>
      <c r="D156" s="96" t="s">
        <v>12</v>
      </c>
      <c r="E156" s="312">
        <f>E154*E46/2/1000</f>
        <v>1140.0211421346642</v>
      </c>
      <c r="F156" s="313"/>
      <c r="H156"/>
      <c r="I156"/>
      <c r="J156"/>
      <c r="K156"/>
    </row>
    <row r="157" spans="1:11" x14ac:dyDescent="0.25">
      <c r="A157" s="310"/>
      <c r="B157" s="319" t="s">
        <v>101</v>
      </c>
      <c r="C157" s="317" t="s">
        <v>860</v>
      </c>
      <c r="D157" s="317" t="s">
        <v>12</v>
      </c>
      <c r="E157" s="318">
        <f>E40*E156</f>
        <v>1026.0190279211977</v>
      </c>
      <c r="F157" s="313"/>
      <c r="G157" s="27"/>
      <c r="H157"/>
      <c r="I157"/>
      <c r="J157"/>
      <c r="K157"/>
    </row>
    <row r="158" spans="1:11" ht="30" x14ac:dyDescent="0.25">
      <c r="A158" s="26"/>
      <c r="B158" s="69" t="s">
        <v>376</v>
      </c>
      <c r="C158" s="24" t="s">
        <v>861</v>
      </c>
      <c r="D158" s="24" t="s">
        <v>12</v>
      </c>
      <c r="E158" s="44">
        <f>E157</f>
        <v>1026.0190279211977</v>
      </c>
      <c r="F158" s="6"/>
      <c r="H158"/>
      <c r="I158"/>
      <c r="J158"/>
      <c r="K158"/>
    </row>
    <row r="159" spans="1:11" x14ac:dyDescent="0.25">
      <c r="A159" s="26"/>
      <c r="B159" s="33"/>
      <c r="C159" s="62" t="s">
        <v>172</v>
      </c>
      <c r="D159" s="65"/>
      <c r="E159" s="64">
        <f>ABS(E5)/E158</f>
        <v>0.14522147830132034</v>
      </c>
      <c r="F159" s="6"/>
      <c r="H159"/>
    </row>
    <row r="160" spans="1:11" x14ac:dyDescent="0.25">
      <c r="A160" s="26"/>
      <c r="B160" s="33"/>
      <c r="C160" s="5"/>
      <c r="D160" s="5"/>
      <c r="E160" s="28" t="str">
        <f>IF(E159&lt;=1,"PASS","FAIL")</f>
        <v>PASS</v>
      </c>
      <c r="F160" s="6"/>
      <c r="H160"/>
    </row>
    <row r="161" spans="1:8" ht="30" x14ac:dyDescent="0.25">
      <c r="A161" s="26"/>
      <c r="B161" s="69" t="s">
        <v>375</v>
      </c>
      <c r="C161" s="24" t="s">
        <v>862</v>
      </c>
      <c r="D161" s="24" t="s">
        <v>12</v>
      </c>
      <c r="E161" s="44">
        <f>E157</f>
        <v>1026.0190279211977</v>
      </c>
      <c r="F161" s="6"/>
      <c r="G161" s="27"/>
      <c r="H161"/>
    </row>
    <row r="162" spans="1:8" x14ac:dyDescent="0.25">
      <c r="A162" s="26"/>
      <c r="B162" s="33"/>
      <c r="C162" s="62" t="s">
        <v>172</v>
      </c>
      <c r="D162" s="65"/>
      <c r="E162" s="64">
        <f>ABS(E6)/E161</f>
        <v>7.4072700341613062E-2</v>
      </c>
      <c r="F162" s="6"/>
      <c r="H162"/>
    </row>
    <row r="163" spans="1:8" x14ac:dyDescent="0.25">
      <c r="A163" s="7"/>
      <c r="B163" s="33"/>
      <c r="C163" s="5"/>
      <c r="D163" s="5"/>
      <c r="E163" s="28" t="str">
        <f>IF(E162&lt;=1,"PASS","FAIL")</f>
        <v>PASS</v>
      </c>
      <c r="F163" s="6"/>
      <c r="H163"/>
    </row>
    <row r="164" spans="1:8" x14ac:dyDescent="0.25">
      <c r="A164" s="7"/>
      <c r="B164" s="33"/>
      <c r="C164" s="5"/>
      <c r="D164" s="5"/>
      <c r="E164" s="28"/>
      <c r="F164" s="6"/>
      <c r="H164"/>
    </row>
    <row r="165" spans="1:8" x14ac:dyDescent="0.25">
      <c r="A165" s="13" t="s">
        <v>863</v>
      </c>
      <c r="B165" s="67" t="s">
        <v>864</v>
      </c>
      <c r="C165" s="5"/>
      <c r="D165" s="5"/>
      <c r="E165" s="23"/>
      <c r="F165" s="6"/>
      <c r="H165"/>
    </row>
    <row r="166" spans="1:8" ht="33.75" customHeight="1" x14ac:dyDescent="0.25">
      <c r="A166" s="7"/>
      <c r="B166" s="22" t="s">
        <v>865</v>
      </c>
      <c r="C166" s="226" t="s">
        <v>866</v>
      </c>
      <c r="D166" s="5" t="s">
        <v>236</v>
      </c>
      <c r="E166" s="23"/>
      <c r="F166" s="6" t="s">
        <v>867</v>
      </c>
      <c r="H166"/>
    </row>
    <row r="167" spans="1:8" x14ac:dyDescent="0.25">
      <c r="A167" s="7"/>
      <c r="B167" s="22"/>
      <c r="C167" s="226" t="s">
        <v>866</v>
      </c>
      <c r="D167" s="5" t="s">
        <v>236</v>
      </c>
      <c r="E167" s="40">
        <f>(PI()*(E13-E45)^2*E45)/2</f>
        <v>1876149.0796273332</v>
      </c>
      <c r="F167" s="6"/>
      <c r="H167"/>
    </row>
    <row r="168" spans="1:8" ht="52.5" customHeight="1" x14ac:dyDescent="0.25">
      <c r="A168" s="7"/>
      <c r="B168" s="22" t="s">
        <v>868</v>
      </c>
      <c r="C168" s="226" t="s">
        <v>869</v>
      </c>
      <c r="D168" s="5" t="s">
        <v>48</v>
      </c>
      <c r="E168" s="23"/>
      <c r="F168" s="6" t="s">
        <v>870</v>
      </c>
      <c r="G168" s="27"/>
      <c r="H168"/>
    </row>
    <row r="169" spans="1:8" ht="16.5" x14ac:dyDescent="0.25">
      <c r="A169" s="7"/>
      <c r="B169" s="22"/>
      <c r="C169" s="226" t="s">
        <v>869</v>
      </c>
      <c r="D169" s="5" t="s">
        <v>48</v>
      </c>
      <c r="E169" s="40">
        <f>MIN((1.23*E17)/(SQRT(MAX(E24,E25)/E13)*E61^(5/4)),0.6*E15)</f>
        <v>210</v>
      </c>
      <c r="F169" s="6"/>
      <c r="G169" s="27"/>
      <c r="H169"/>
    </row>
    <row r="170" spans="1:8" ht="49.5" customHeight="1" x14ac:dyDescent="0.25">
      <c r="A170" s="7"/>
      <c r="B170" s="22" t="s">
        <v>868</v>
      </c>
      <c r="C170" s="226" t="s">
        <v>871</v>
      </c>
      <c r="D170" s="5" t="s">
        <v>48</v>
      </c>
      <c r="E170" s="28"/>
      <c r="F170" s="6" t="s">
        <v>872</v>
      </c>
      <c r="H170"/>
    </row>
    <row r="171" spans="1:8" ht="16.5" x14ac:dyDescent="0.25">
      <c r="A171" s="7"/>
      <c r="B171" s="22"/>
      <c r="C171" s="226" t="s">
        <v>871</v>
      </c>
      <c r="D171" s="5" t="s">
        <v>48</v>
      </c>
      <c r="E171" s="42">
        <f>MIN((0.6*E17)/(E61^(3/2)),0.6*E15)</f>
        <v>210</v>
      </c>
      <c r="F171" s="6"/>
      <c r="H171"/>
    </row>
    <row r="172" spans="1:8" ht="30" x14ac:dyDescent="0.25">
      <c r="A172" s="7"/>
      <c r="B172" s="22" t="s">
        <v>868</v>
      </c>
      <c r="C172" s="226" t="s">
        <v>873</v>
      </c>
      <c r="D172" s="5" t="s">
        <v>48</v>
      </c>
      <c r="E172" s="42" t="s">
        <v>874</v>
      </c>
      <c r="F172" s="6" t="s">
        <v>875</v>
      </c>
      <c r="H172"/>
    </row>
    <row r="173" spans="1:8" ht="16.5" x14ac:dyDescent="0.25">
      <c r="A173" s="7"/>
      <c r="B173" s="22"/>
      <c r="C173" s="226" t="s">
        <v>873</v>
      </c>
      <c r="D173" s="5" t="s">
        <v>48</v>
      </c>
      <c r="E173" s="42">
        <f>MAX(E169,E171)</f>
        <v>210</v>
      </c>
      <c r="F173" s="6"/>
      <c r="H173"/>
    </row>
    <row r="174" spans="1:8" x14ac:dyDescent="0.25">
      <c r="A174" s="7"/>
      <c r="B174" s="22"/>
      <c r="C174" s="226"/>
      <c r="D174" s="5"/>
      <c r="E174" s="42"/>
      <c r="F174" s="6"/>
      <c r="H174"/>
    </row>
    <row r="175" spans="1:8" ht="16.5" customHeight="1" x14ac:dyDescent="0.25">
      <c r="A175" s="7"/>
      <c r="B175" s="33" t="s">
        <v>876</v>
      </c>
      <c r="C175" s="5" t="s">
        <v>877</v>
      </c>
      <c r="D175" s="5" t="s">
        <v>7</v>
      </c>
      <c r="E175" s="23"/>
      <c r="F175" s="6" t="s">
        <v>875</v>
      </c>
      <c r="H175"/>
    </row>
    <row r="176" spans="1:8" x14ac:dyDescent="0.25">
      <c r="A176" s="7"/>
      <c r="B176" s="22"/>
      <c r="C176" s="5" t="s">
        <v>877</v>
      </c>
      <c r="D176" s="5" t="s">
        <v>7</v>
      </c>
      <c r="E176" s="229">
        <f>E173*E167/10^6</f>
        <v>393.99130672173993</v>
      </c>
      <c r="F176" s="6"/>
      <c r="H176"/>
    </row>
    <row r="177" spans="1:8" ht="18" x14ac:dyDescent="0.25">
      <c r="A177" s="7"/>
      <c r="B177" s="69" t="s">
        <v>878</v>
      </c>
      <c r="C177" s="24" t="s">
        <v>879</v>
      </c>
      <c r="D177" s="24" t="s">
        <v>7</v>
      </c>
      <c r="E177" s="44">
        <f>E38*E176</f>
        <v>354.59217604956592</v>
      </c>
      <c r="F177" s="6"/>
      <c r="H177"/>
    </row>
    <row r="178" spans="1:8" x14ac:dyDescent="0.25">
      <c r="A178" s="7"/>
      <c r="B178" s="33"/>
      <c r="C178" s="5"/>
      <c r="D178" s="5"/>
      <c r="E178" s="25"/>
      <c r="F178" s="6"/>
      <c r="H178"/>
    </row>
    <row r="179" spans="1:8" x14ac:dyDescent="0.25">
      <c r="A179" s="11">
        <v>5</v>
      </c>
      <c r="B179" s="59" t="s">
        <v>105</v>
      </c>
      <c r="C179" s="4"/>
      <c r="D179" s="4"/>
      <c r="E179" s="36"/>
      <c r="F179" s="12"/>
      <c r="H179"/>
    </row>
    <row r="180" spans="1:8" x14ac:dyDescent="0.25">
      <c r="A180" s="13" t="s">
        <v>880</v>
      </c>
      <c r="B180" s="67" t="s">
        <v>881</v>
      </c>
      <c r="C180" s="5"/>
      <c r="D180" s="5"/>
      <c r="E180" s="23"/>
      <c r="F180" s="6" t="s">
        <v>882</v>
      </c>
      <c r="H180"/>
    </row>
    <row r="181" spans="1:8" x14ac:dyDescent="0.25">
      <c r="A181" s="28"/>
      <c r="B181" s="33" t="s">
        <v>883</v>
      </c>
      <c r="C181" s="1" t="s">
        <v>884</v>
      </c>
      <c r="D181" s="1" t="s">
        <v>12</v>
      </c>
      <c r="E181" s="35" t="str">
        <f>IF(E4&lt;=0,"φc Pn","φt Pn")</f>
        <v>φc Pn</v>
      </c>
      <c r="F181" s="6" t="s">
        <v>882</v>
      </c>
    </row>
    <row r="182" spans="1:8" x14ac:dyDescent="0.25">
      <c r="A182" s="28"/>
      <c r="B182" s="33"/>
      <c r="C182" s="1" t="s">
        <v>884</v>
      </c>
      <c r="D182" s="1" t="s">
        <v>12</v>
      </c>
      <c r="E182" s="230">
        <f>IF(E4&lt;=0,E109,E68)</f>
        <v>4745.7605562517892</v>
      </c>
      <c r="F182" s="6"/>
    </row>
    <row r="183" spans="1:8" ht="30" x14ac:dyDescent="0.25">
      <c r="A183" s="28"/>
      <c r="B183" s="33" t="s">
        <v>850</v>
      </c>
      <c r="C183" s="1" t="s">
        <v>885</v>
      </c>
      <c r="D183" s="1" t="s">
        <v>7</v>
      </c>
      <c r="E183" s="35" t="s">
        <v>851</v>
      </c>
      <c r="F183" s="6" t="s">
        <v>882</v>
      </c>
    </row>
    <row r="184" spans="1:8" x14ac:dyDescent="0.25">
      <c r="A184" s="28"/>
      <c r="B184" s="33"/>
      <c r="C184" s="1" t="s">
        <v>885</v>
      </c>
      <c r="D184" s="1" t="s">
        <v>7</v>
      </c>
      <c r="E184" s="230">
        <f>E145</f>
        <v>387.21247720098791</v>
      </c>
      <c r="F184" s="6"/>
    </row>
    <row r="185" spans="1:8" ht="30" x14ac:dyDescent="0.25">
      <c r="A185" s="28"/>
      <c r="B185" s="33" t="s">
        <v>850</v>
      </c>
      <c r="C185" s="1" t="s">
        <v>886</v>
      </c>
      <c r="D185" s="1" t="s">
        <v>7</v>
      </c>
      <c r="E185" s="35" t="s">
        <v>853</v>
      </c>
      <c r="F185" s="6" t="s">
        <v>882</v>
      </c>
    </row>
    <row r="186" spans="1:8" x14ac:dyDescent="0.25">
      <c r="A186" s="28"/>
      <c r="B186" s="33"/>
      <c r="C186" s="1" t="s">
        <v>886</v>
      </c>
      <c r="D186" s="1" t="s">
        <v>7</v>
      </c>
      <c r="E186" s="230">
        <f>E148</f>
        <v>387.21247720098791</v>
      </c>
      <c r="F186" s="6"/>
    </row>
    <row r="187" spans="1:8" x14ac:dyDescent="0.25">
      <c r="A187" s="28"/>
      <c r="B187" s="33"/>
      <c r="F187" s="6"/>
    </row>
    <row r="188" spans="1:8" x14ac:dyDescent="0.25">
      <c r="A188" s="28"/>
      <c r="B188" s="33" t="s">
        <v>89</v>
      </c>
      <c r="C188" s="1" t="s">
        <v>887</v>
      </c>
      <c r="D188" s="1" t="s">
        <v>236</v>
      </c>
      <c r="E188" s="46">
        <f>ABS(E4)/E182</f>
        <v>6.8482173963004489E-2</v>
      </c>
      <c r="F188" s="6" t="s">
        <v>882</v>
      </c>
    </row>
    <row r="189" spans="1:8" x14ac:dyDescent="0.25">
      <c r="A189" s="28"/>
      <c r="B189" s="33"/>
      <c r="F189" s="6"/>
    </row>
    <row r="190" spans="1:8" ht="111" customHeight="1" x14ac:dyDescent="0.25">
      <c r="A190" s="28"/>
      <c r="B190" s="33" t="s">
        <v>888</v>
      </c>
      <c r="C190" s="1" t="s">
        <v>139</v>
      </c>
      <c r="D190" s="1" t="s">
        <v>236</v>
      </c>
      <c r="F190" s="16" t="s">
        <v>889</v>
      </c>
    </row>
    <row r="191" spans="1:8" x14ac:dyDescent="0.25">
      <c r="A191"/>
      <c r="B191" s="70" t="s">
        <v>199</v>
      </c>
      <c r="C191" s="62" t="s">
        <v>139</v>
      </c>
      <c r="D191" s="65"/>
      <c r="E191" s="64">
        <f>IF(E188&gt;=0.2,(ABS(E4)/E182)+8/9*(ABS(E8)/E184+ABS(E9)/E186),(ABS(E4)/(2*E182))+(ABS(E8)/E184+ABS(E9)/E186))</f>
        <v>7.1946483526411795E-2</v>
      </c>
      <c r="F191" s="80" t="str">
        <f>IF(E188&gt;=0.2,FIXED(ABS(E4)/E182,2)&amp;" + "&amp;FIXED(8/9*ABS(E8)/E184,2)&amp;" + "&amp;FIXED(8/9*ABS(E9)/E186,2),FIXED(ABS(E4)/(2*E182),2)&amp;" + "&amp;FIXED(ABS(E8)/E184,2)&amp;" + "&amp;FIXED(ABS(E9)/E186,2))</f>
        <v>0.03 + 0.03 + 0.01</v>
      </c>
    </row>
    <row r="192" spans="1:8" x14ac:dyDescent="0.25">
      <c r="A192"/>
      <c r="B192" s="33"/>
      <c r="C192" s="5"/>
      <c r="D192" s="5"/>
      <c r="E192" s="28" t="str">
        <f>IF(E191&lt;=1,"PASS","FAIL")</f>
        <v>PASS</v>
      </c>
      <c r="F192" s="80"/>
    </row>
    <row r="193" spans="1:11" x14ac:dyDescent="0.25">
      <c r="A193"/>
      <c r="B193" s="33"/>
      <c r="C193" s="5"/>
      <c r="D193" s="5"/>
      <c r="E193" s="28"/>
      <c r="F193" s="80"/>
    </row>
    <row r="194" spans="1:11" ht="30" x14ac:dyDescent="0.25">
      <c r="A194" s="13" t="s">
        <v>890</v>
      </c>
      <c r="B194" s="67" t="s">
        <v>891</v>
      </c>
      <c r="C194" s="5"/>
      <c r="D194" s="5"/>
      <c r="E194" s="23"/>
      <c r="F194" s="6"/>
      <c r="H194"/>
      <c r="I194" s="81"/>
      <c r="J194" s="81"/>
      <c r="K194" s="81"/>
    </row>
    <row r="195" spans="1:11" ht="30" x14ac:dyDescent="0.25">
      <c r="B195" s="33" t="s">
        <v>375</v>
      </c>
      <c r="C195" s="1" t="s">
        <v>892</v>
      </c>
      <c r="D195" s="1" t="s">
        <v>12</v>
      </c>
      <c r="E195" s="35" t="s">
        <v>861</v>
      </c>
      <c r="F195" s="6"/>
    </row>
    <row r="196" spans="1:11" x14ac:dyDescent="0.25">
      <c r="B196" s="33"/>
      <c r="C196" s="1" t="s">
        <v>892</v>
      </c>
      <c r="D196" s="1" t="s">
        <v>12</v>
      </c>
      <c r="E196" s="230">
        <f>E158</f>
        <v>1026.0190279211977</v>
      </c>
      <c r="F196" s="6"/>
    </row>
    <row r="197" spans="1:11" ht="30" x14ac:dyDescent="0.25">
      <c r="B197" s="33" t="s">
        <v>376</v>
      </c>
      <c r="C197" s="1" t="s">
        <v>893</v>
      </c>
      <c r="D197" s="1" t="s">
        <v>12</v>
      </c>
      <c r="E197" s="35" t="s">
        <v>862</v>
      </c>
      <c r="F197" s="6"/>
    </row>
    <row r="198" spans="1:11" x14ac:dyDescent="0.25">
      <c r="B198" s="33"/>
      <c r="C198" s="1" t="s">
        <v>893</v>
      </c>
      <c r="D198" s="1" t="s">
        <v>12</v>
      </c>
      <c r="E198" s="230">
        <f>E161</f>
        <v>1026.0190279211977</v>
      </c>
      <c r="F198" s="6"/>
    </row>
    <row r="199" spans="1:11" ht="18" x14ac:dyDescent="0.25">
      <c r="B199" s="33" t="s">
        <v>878</v>
      </c>
      <c r="C199" s="1" t="s">
        <v>894</v>
      </c>
      <c r="D199" s="1" t="s">
        <v>7</v>
      </c>
      <c r="E199" s="35" t="s">
        <v>879</v>
      </c>
      <c r="F199" s="6"/>
    </row>
    <row r="200" spans="1:11" x14ac:dyDescent="0.25">
      <c r="B200" s="33"/>
      <c r="C200" s="1" t="s">
        <v>894</v>
      </c>
      <c r="D200" s="1" t="s">
        <v>7</v>
      </c>
      <c r="E200" s="230">
        <f>E177</f>
        <v>354.59217604956592</v>
      </c>
      <c r="F200" s="6"/>
    </row>
    <row r="201" spans="1:11" x14ac:dyDescent="0.25">
      <c r="B201" s="33"/>
      <c r="E201" s="45"/>
      <c r="F201" s="6"/>
    </row>
    <row r="202" spans="1:11" x14ac:dyDescent="0.25">
      <c r="B202" s="33" t="s">
        <v>89</v>
      </c>
      <c r="C202" s="1" t="s">
        <v>895</v>
      </c>
      <c r="D202" s="1" t="s">
        <v>236</v>
      </c>
      <c r="E202" s="45">
        <f>ABS(E7)/E200</f>
        <v>7.8963953215048038E-2</v>
      </c>
      <c r="F202" s="6"/>
    </row>
    <row r="203" spans="1:11" ht="88.5" customHeight="1" x14ac:dyDescent="0.25">
      <c r="A203" s="28"/>
      <c r="B203" s="33" t="s">
        <v>888</v>
      </c>
      <c r="C203" s="1" t="s">
        <v>140</v>
      </c>
      <c r="D203" s="1" t="s">
        <v>236</v>
      </c>
      <c r="F203" s="16" t="s">
        <v>889</v>
      </c>
    </row>
    <row r="204" spans="1:11" x14ac:dyDescent="0.25">
      <c r="B204" s="33"/>
      <c r="C204" s="62" t="s">
        <v>140</v>
      </c>
      <c r="D204" s="65"/>
      <c r="E204" s="64">
        <f>IF(E202&lt;=0.2,E191,ABS(E4)/(E182)+(ABS(E8)/E184+ABS(E9)/E186)+(ABS(E5)/E196+ABS(E6)/E198+ABS(E7)/E200)^2)</f>
        <v>7.1946483526411795E-2</v>
      </c>
      <c r="F204" s="106" t="str">
        <f>IF(E202&lt;=0.2,F191,FIXED(ABS(E4)/E182,2)&amp;"+("&amp;FIXED(ABS(E8)/E184,2)&amp;"+"&amp;FIXED(ABS(E9)/E186,2)&amp;")+("&amp;FIXED(ABS(E5)/E196,2)&amp;"+"&amp;FIXED(ABS(E6)/E198,2)&amp;"+"&amp;FIXED(ABS(E7)/E200,2)&amp;")^2")</f>
        <v>0.03 + 0.03 + 0.01</v>
      </c>
    </row>
    <row r="205" spans="1:11" x14ac:dyDescent="0.25">
      <c r="B205" s="33"/>
      <c r="E205" s="28" t="str">
        <f>IF(E204&lt;=1,"PASS","FAIL")</f>
        <v>PASS</v>
      </c>
      <c r="F205" s="6"/>
    </row>
    <row r="206" spans="1:11" x14ac:dyDescent="0.25">
      <c r="A206" s="71"/>
      <c r="B206" s="72"/>
      <c r="C206" s="73"/>
      <c r="D206" s="73"/>
      <c r="E206" s="74"/>
      <c r="F206" s="75"/>
    </row>
    <row r="207" spans="1:11" ht="15.75" thickBot="1" x14ac:dyDescent="0.3">
      <c r="A207" s="50">
        <v>6</v>
      </c>
      <c r="B207" s="66" t="s">
        <v>192</v>
      </c>
      <c r="D207" s="82" t="s">
        <v>172</v>
      </c>
      <c r="E207" s="83" t="s">
        <v>216</v>
      </c>
      <c r="F207" s="6"/>
    </row>
    <row r="208" spans="1:11" x14ac:dyDescent="0.25">
      <c r="B208" s="76" t="s">
        <v>193</v>
      </c>
      <c r="C208" s="77" t="s">
        <v>209</v>
      </c>
      <c r="D208" s="78">
        <f>E69</f>
        <v>0</v>
      </c>
      <c r="E208" s="79" t="str">
        <f>E70</f>
        <v>NOT APPLICABLE</v>
      </c>
      <c r="F208" s="6"/>
      <c r="I208" s="93" t="s">
        <v>309</v>
      </c>
      <c r="J208" s="94" t="s">
        <v>308</v>
      </c>
      <c r="K208" s="95" t="s">
        <v>307</v>
      </c>
    </row>
    <row r="209" spans="1:12" x14ac:dyDescent="0.25">
      <c r="B209" s="76" t="s">
        <v>200</v>
      </c>
      <c r="C209" s="77" t="s">
        <v>208</v>
      </c>
      <c r="D209" s="78">
        <f>E110</f>
        <v>6.8482173963004489E-2</v>
      </c>
      <c r="E209" s="79" t="str">
        <f>E111</f>
        <v>PASS</v>
      </c>
      <c r="F209" s="6"/>
      <c r="I209" s="84" t="str">
        <f t="shared" ref="I209:I214" si="1">C4</f>
        <v>P</v>
      </c>
      <c r="J209" s="77">
        <v>-325</v>
      </c>
      <c r="K209" s="89">
        <f>-E109</f>
        <v>-4745.7605562517892</v>
      </c>
      <c r="L209" s="88">
        <f>E68</f>
        <v>3420.0634264039923</v>
      </c>
    </row>
    <row r="210" spans="1:12" x14ac:dyDescent="0.25">
      <c r="B210" s="76" t="s">
        <v>194</v>
      </c>
      <c r="C210" s="77" t="s">
        <v>896</v>
      </c>
      <c r="D210" s="78">
        <f>E146</f>
        <v>3.1507249167664148E-2</v>
      </c>
      <c r="E210" s="79" t="str">
        <f>E147</f>
        <v>PASS</v>
      </c>
      <c r="F210" s="6"/>
      <c r="I210" s="84" t="str">
        <f t="shared" si="1"/>
        <v>Vy</v>
      </c>
      <c r="J210" s="77">
        <v>-149</v>
      </c>
      <c r="K210" s="89">
        <f>E158</f>
        <v>1026.0190279211977</v>
      </c>
      <c r="L210" s="88"/>
    </row>
    <row r="211" spans="1:12" x14ac:dyDescent="0.25">
      <c r="B211" s="76" t="s">
        <v>195</v>
      </c>
      <c r="C211" s="77" t="s">
        <v>897</v>
      </c>
      <c r="D211" s="78">
        <f>E149</f>
        <v>6.1981473772454061E-3</v>
      </c>
      <c r="E211" s="79" t="str">
        <f>E150</f>
        <v>PASS</v>
      </c>
      <c r="F211" s="6"/>
      <c r="I211" s="84" t="str">
        <f t="shared" si="1"/>
        <v>Vz</v>
      </c>
      <c r="J211" s="77">
        <v>-76</v>
      </c>
      <c r="K211" s="89">
        <f>E161</f>
        <v>1026.0190279211977</v>
      </c>
      <c r="L211" s="88"/>
    </row>
    <row r="212" spans="1:12" x14ac:dyDescent="0.25">
      <c r="B212" s="76" t="s">
        <v>196</v>
      </c>
      <c r="C212" s="77" t="s">
        <v>898</v>
      </c>
      <c r="D212" s="78">
        <f>E159</f>
        <v>0.14522147830132034</v>
      </c>
      <c r="E212" s="79" t="str">
        <f>E160</f>
        <v>PASS</v>
      </c>
      <c r="F212" s="6"/>
      <c r="I212" s="84" t="str">
        <f t="shared" si="1"/>
        <v>T</v>
      </c>
      <c r="J212" s="77">
        <v>-28</v>
      </c>
      <c r="K212" s="89">
        <f>E177</f>
        <v>354.59217604956592</v>
      </c>
      <c r="L212" s="88"/>
    </row>
    <row r="213" spans="1:12" x14ac:dyDescent="0.25">
      <c r="B213" s="76" t="s">
        <v>197</v>
      </c>
      <c r="C213" s="77" t="s">
        <v>899</v>
      </c>
      <c r="D213" s="78">
        <f>E162</f>
        <v>7.4072700341613062E-2</v>
      </c>
      <c r="E213" s="79" t="str">
        <f>E163</f>
        <v>PASS</v>
      </c>
      <c r="F213" s="6"/>
      <c r="I213" s="84" t="str">
        <f t="shared" si="1"/>
        <v>Mz</v>
      </c>
      <c r="J213" s="77">
        <v>-12.2</v>
      </c>
      <c r="K213" s="89">
        <f>E145</f>
        <v>387.21247720098791</v>
      </c>
      <c r="L213" s="88"/>
    </row>
    <row r="214" spans="1:12" ht="30.75" thickBot="1" x14ac:dyDescent="0.3">
      <c r="B214" s="76" t="s">
        <v>900</v>
      </c>
      <c r="C214" s="77" t="s">
        <v>139</v>
      </c>
      <c r="D214" s="78">
        <f>E191</f>
        <v>7.1946483526411795E-2</v>
      </c>
      <c r="E214" s="79" t="str">
        <f>E192</f>
        <v>PASS</v>
      </c>
      <c r="F214" s="6"/>
      <c r="I214" s="90" t="str">
        <f t="shared" si="1"/>
        <v>My</v>
      </c>
      <c r="J214" s="91">
        <v>-2.4</v>
      </c>
      <c r="K214" s="92">
        <f>E148</f>
        <v>387.21247720098791</v>
      </c>
      <c r="L214" s="88"/>
    </row>
    <row r="215" spans="1:12" x14ac:dyDescent="0.25">
      <c r="B215" s="76" t="s">
        <v>201</v>
      </c>
      <c r="C215" s="77" t="s">
        <v>140</v>
      </c>
      <c r="D215" s="78">
        <f>E204</f>
        <v>7.1946483526411795E-2</v>
      </c>
      <c r="E215" s="79" t="str">
        <f>E205</f>
        <v>PASS</v>
      </c>
      <c r="F215" s="6"/>
    </row>
    <row r="216" spans="1:12" x14ac:dyDescent="0.25">
      <c r="F216" s="6"/>
    </row>
    <row r="217" spans="1:12" ht="15.75" thickBot="1" x14ac:dyDescent="0.3">
      <c r="F217" s="6"/>
      <c r="L217" s="27"/>
    </row>
    <row r="218" spans="1:12" x14ac:dyDescent="0.25">
      <c r="A218" s="51"/>
      <c r="B218" s="61"/>
      <c r="C218" s="51"/>
      <c r="D218" s="51"/>
      <c r="E218" s="52"/>
      <c r="F218" s="51"/>
    </row>
    <row r="227" spans="13:13" x14ac:dyDescent="0.25">
      <c r="M227" s="27"/>
    </row>
  </sheetData>
  <conditionalFormatting sqref="E164 E170:E174 E176 E208:E215">
    <cfRule type="containsText" dxfId="71" priority="37" operator="containsText" text="NOT APPLICABLE">
      <formula>NOT(ISERROR(SEARCH("NOT APPLICABLE",E164)))</formula>
    </cfRule>
    <cfRule type="containsText" dxfId="70" priority="38" operator="containsText" text="FAIL">
      <formula>NOT(ISERROR(SEARCH("FAIL",E164)))</formula>
    </cfRule>
    <cfRule type="containsText" dxfId="69" priority="39" operator="containsText" text="PASS">
      <formula>NOT(ISERROR(SEARCH("PASS",E164)))</formula>
    </cfRule>
  </conditionalFormatting>
  <conditionalFormatting sqref="E111">
    <cfRule type="containsText" dxfId="68" priority="31" operator="containsText" text="NOT APPLICABLE">
      <formula>NOT(ISERROR(SEARCH("NOT APPLICABLE",E111)))</formula>
    </cfRule>
    <cfRule type="containsText" dxfId="67" priority="32" operator="containsText" text="FAIL">
      <formula>NOT(ISERROR(SEARCH("FAIL",E111)))</formula>
    </cfRule>
    <cfRule type="containsText" dxfId="66" priority="33" operator="containsText" text="PASS">
      <formula>NOT(ISERROR(SEARCH("PASS",E111)))</formula>
    </cfRule>
  </conditionalFormatting>
  <conditionalFormatting sqref="E70">
    <cfRule type="containsText" dxfId="65" priority="34" operator="containsText" text="NOT APPLICABLE">
      <formula>NOT(ISERROR(SEARCH("NOT APPLICABLE",E70)))</formula>
    </cfRule>
    <cfRule type="containsText" dxfId="64" priority="35" operator="containsText" text="FAIL">
      <formula>NOT(ISERROR(SEARCH("FAIL",E70)))</formula>
    </cfRule>
    <cfRule type="containsText" dxfId="63" priority="36" operator="containsText" text="PASS">
      <formula>NOT(ISERROR(SEARCH("PASS",E70)))</formula>
    </cfRule>
  </conditionalFormatting>
  <conditionalFormatting sqref="D208:D215">
    <cfRule type="expression" dxfId="62" priority="25">
      <formula>D208=0</formula>
    </cfRule>
    <cfRule type="expression" dxfId="61" priority="26">
      <formula>D208&lt;=1</formula>
    </cfRule>
    <cfRule type="expression" dxfId="60" priority="27">
      <formula>D208&gt;1</formula>
    </cfRule>
  </conditionalFormatting>
  <conditionalFormatting sqref="E51:E52">
    <cfRule type="containsText" dxfId="59" priority="22" operator="containsText" text="NOT APPLICABLE">
      <formula>NOT(ISERROR(SEARCH("NOT APPLICABLE",E51)))</formula>
    </cfRule>
    <cfRule type="containsText" dxfId="58" priority="23" operator="containsText" text="FAIL">
      <formula>NOT(ISERROR(SEARCH("FAIL",E51)))</formula>
    </cfRule>
    <cfRule type="containsText" dxfId="57" priority="24" operator="containsText" text="PASS">
      <formula>NOT(ISERROR(SEARCH("PASS",E51)))</formula>
    </cfRule>
  </conditionalFormatting>
  <conditionalFormatting sqref="E193">
    <cfRule type="containsText" dxfId="56" priority="19" operator="containsText" text="NOT APPLICABLE">
      <formula>NOT(ISERROR(SEARCH("NOT APPLICABLE",E193)))</formula>
    </cfRule>
    <cfRule type="containsText" dxfId="55" priority="20" operator="containsText" text="FAIL">
      <formula>NOT(ISERROR(SEARCH("FAIL",E193)))</formula>
    </cfRule>
    <cfRule type="containsText" dxfId="54" priority="21" operator="containsText" text="PASS">
      <formula>NOT(ISERROR(SEARCH("PASS",E193)))</formula>
    </cfRule>
  </conditionalFormatting>
  <conditionalFormatting sqref="E147">
    <cfRule type="containsText" dxfId="53" priority="16" operator="containsText" text="NOT APPLICABLE">
      <formula>NOT(ISERROR(SEARCH("NOT APPLICABLE",E147)))</formula>
    </cfRule>
    <cfRule type="containsText" dxfId="52" priority="17" operator="containsText" text="FAIL">
      <formula>NOT(ISERROR(SEARCH("FAIL",E147)))</formula>
    </cfRule>
    <cfRule type="containsText" dxfId="51" priority="18" operator="containsText" text="PASS">
      <formula>NOT(ISERROR(SEARCH("PASS",E147)))</formula>
    </cfRule>
  </conditionalFormatting>
  <conditionalFormatting sqref="E150">
    <cfRule type="containsText" dxfId="50" priority="13" operator="containsText" text="NOT APPLICABLE">
      <formula>NOT(ISERROR(SEARCH("NOT APPLICABLE",E150)))</formula>
    </cfRule>
    <cfRule type="containsText" dxfId="49" priority="14" operator="containsText" text="FAIL">
      <formula>NOT(ISERROR(SEARCH("FAIL",E150)))</formula>
    </cfRule>
    <cfRule type="containsText" dxfId="48" priority="15" operator="containsText" text="PASS">
      <formula>NOT(ISERROR(SEARCH("PASS",E150)))</formula>
    </cfRule>
  </conditionalFormatting>
  <conditionalFormatting sqref="E160">
    <cfRule type="containsText" dxfId="47" priority="10" operator="containsText" text="NOT APPLICABLE">
      <formula>NOT(ISERROR(SEARCH("NOT APPLICABLE",E160)))</formula>
    </cfRule>
    <cfRule type="containsText" dxfId="46" priority="11" operator="containsText" text="FAIL">
      <formula>NOT(ISERROR(SEARCH("FAIL",E160)))</formula>
    </cfRule>
    <cfRule type="containsText" dxfId="45" priority="12" operator="containsText" text="PASS">
      <formula>NOT(ISERROR(SEARCH("PASS",E160)))</formula>
    </cfRule>
  </conditionalFormatting>
  <conditionalFormatting sqref="E163">
    <cfRule type="containsText" dxfId="44" priority="7" operator="containsText" text="NOT APPLICABLE">
      <formula>NOT(ISERROR(SEARCH("NOT APPLICABLE",E163)))</formula>
    </cfRule>
    <cfRule type="containsText" dxfId="43" priority="8" operator="containsText" text="FAIL">
      <formula>NOT(ISERROR(SEARCH("FAIL",E163)))</formula>
    </cfRule>
    <cfRule type="containsText" dxfId="42" priority="9" operator="containsText" text="PASS">
      <formula>NOT(ISERROR(SEARCH("PASS",E163)))</formula>
    </cfRule>
  </conditionalFormatting>
  <conditionalFormatting sqref="E192">
    <cfRule type="containsText" dxfId="41" priority="4" operator="containsText" text="NOT APPLICABLE">
      <formula>NOT(ISERROR(SEARCH("NOT APPLICABLE",E192)))</formula>
    </cfRule>
    <cfRule type="containsText" dxfId="40" priority="5" operator="containsText" text="FAIL">
      <formula>NOT(ISERROR(SEARCH("FAIL",E192)))</formula>
    </cfRule>
    <cfRule type="containsText" dxfId="39" priority="6" operator="containsText" text="PASS">
      <formula>NOT(ISERROR(SEARCH("PASS",E192)))</formula>
    </cfRule>
  </conditionalFormatting>
  <conditionalFormatting sqref="E205">
    <cfRule type="containsText" dxfId="38" priority="1" operator="containsText" text="NOT APPLICABLE">
      <formula>NOT(ISERROR(SEARCH("NOT APPLICABLE",E205)))</formula>
    </cfRule>
    <cfRule type="containsText" dxfId="37" priority="2" operator="containsText" text="FAIL">
      <formula>NOT(ISERROR(SEARCH("FAIL",E205)))</formula>
    </cfRule>
    <cfRule type="containsText" dxfId="36" priority="3" operator="containsText" text="PASS">
      <formula>NOT(ISERROR(SEARCH("PASS",E205)))</formula>
    </cfRule>
  </conditionalFormatting>
  <dataValidations count="1">
    <dataValidation type="list" allowBlank="1" showInputMessage="1" showErrorMessage="1" sqref="E20">
      <formula1>$Q$2:$Q$3</formula1>
    </dataValidation>
  </dataValidations>
  <pageMargins left="0.7" right="0.7" top="0.75" bottom="0.75" header="0.3" footer="0.3"/>
  <pageSetup paperSize="9" orientation="portrait" horizontalDpi="30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'NB-LIB'!$A$2:$A$15</xm:f>
          </x14:formula1>
          <xm:sqref>E12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R311"/>
  <sheetViews>
    <sheetView zoomScale="70" zoomScaleNormal="70" workbookViewId="0">
      <pane xSplit="1" ySplit="1" topLeftCell="B2" activePane="bottomRight" state="frozen"/>
      <selection activeCell="E21" sqref="E21"/>
      <selection pane="topRight" activeCell="E21" sqref="E21"/>
      <selection pane="bottomLeft" activeCell="E21" sqref="E21"/>
      <selection pane="bottomRight" activeCell="R16" sqref="R16"/>
    </sheetView>
  </sheetViews>
  <sheetFormatPr defaultRowHeight="15" x14ac:dyDescent="0.25"/>
  <cols>
    <col min="1" max="1" width="5.28515625" style="1" customWidth="1"/>
    <col min="2" max="2" width="37.28515625" style="60" customWidth="1"/>
    <col min="3" max="3" width="10.5703125" style="1" customWidth="1"/>
    <col min="4" max="4" width="8" style="1" customWidth="1"/>
    <col min="5" max="5" width="31.5703125" style="35" customWidth="1"/>
    <col min="6" max="6" width="17.85546875" style="1" customWidth="1"/>
    <col min="7" max="7" width="11" style="1" customWidth="1"/>
    <col min="8" max="8" width="11" style="1" bestFit="1" customWidth="1"/>
    <col min="9" max="16384" width="9.140625" style="1"/>
  </cols>
  <sheetData>
    <row r="1" spans="1:18" s="2" customFormat="1" ht="30" x14ac:dyDescent="0.25">
      <c r="A1" s="8" t="s">
        <v>0</v>
      </c>
      <c r="B1" s="9" t="s">
        <v>1</v>
      </c>
      <c r="C1" s="9" t="s">
        <v>3</v>
      </c>
      <c r="D1" s="9" t="s">
        <v>2</v>
      </c>
      <c r="E1" s="9" t="s">
        <v>210</v>
      </c>
      <c r="F1" s="10" t="s">
        <v>720</v>
      </c>
      <c r="G1" s="2" t="s">
        <v>28</v>
      </c>
      <c r="Q1" s="2" t="s">
        <v>721</v>
      </c>
      <c r="R1" s="2" t="s">
        <v>31</v>
      </c>
    </row>
    <row r="2" spans="1:18" x14ac:dyDescent="0.25">
      <c r="A2" s="11">
        <v>1</v>
      </c>
      <c r="B2" s="59" t="s">
        <v>9</v>
      </c>
      <c r="C2" s="4"/>
      <c r="D2" s="4"/>
      <c r="E2" s="36"/>
      <c r="F2" s="12"/>
      <c r="G2" s="1" t="s">
        <v>39</v>
      </c>
      <c r="Q2" s="1" t="s">
        <v>722</v>
      </c>
      <c r="R2" s="1">
        <v>0.93</v>
      </c>
    </row>
    <row r="3" spans="1:18" x14ac:dyDescent="0.25">
      <c r="A3" s="32"/>
      <c r="B3" s="68" t="s">
        <v>128</v>
      </c>
      <c r="C3" s="5"/>
      <c r="D3" s="5"/>
      <c r="E3" s="37">
        <v>1</v>
      </c>
      <c r="F3" s="6"/>
      <c r="G3" s="1" t="s">
        <v>40</v>
      </c>
      <c r="Q3" s="1" t="s">
        <v>723</v>
      </c>
      <c r="R3" s="1">
        <v>1</v>
      </c>
    </row>
    <row r="4" spans="1:18" x14ac:dyDescent="0.25">
      <c r="A4" s="7"/>
      <c r="B4" s="68" t="s">
        <v>10</v>
      </c>
      <c r="C4" s="5" t="s">
        <v>11</v>
      </c>
      <c r="D4" s="5" t="s">
        <v>12</v>
      </c>
      <c r="E4" s="31">
        <f t="shared" ref="E4:E9" si="0">I302</f>
        <v>-586.5</v>
      </c>
      <c r="F4" s="6" t="s">
        <v>129</v>
      </c>
      <c r="G4" s="1" t="s">
        <v>40</v>
      </c>
    </row>
    <row r="5" spans="1:18" x14ac:dyDescent="0.25">
      <c r="A5" s="7"/>
      <c r="B5" s="68" t="s">
        <v>631</v>
      </c>
      <c r="C5" s="5" t="s">
        <v>377</v>
      </c>
      <c r="D5" s="5" t="s">
        <v>12</v>
      </c>
      <c r="E5" s="31">
        <f t="shared" si="0"/>
        <v>-52.28</v>
      </c>
      <c r="F5" s="6" t="s">
        <v>724</v>
      </c>
      <c r="G5" s="1" t="s">
        <v>40</v>
      </c>
    </row>
    <row r="6" spans="1:18" x14ac:dyDescent="0.25">
      <c r="A6" s="7"/>
      <c r="B6" s="68" t="s">
        <v>632</v>
      </c>
      <c r="C6" s="5" t="s">
        <v>378</v>
      </c>
      <c r="D6" s="5" t="s">
        <v>12</v>
      </c>
      <c r="E6" s="31">
        <f t="shared" si="0"/>
        <v>-81.430000000000007</v>
      </c>
      <c r="F6" s="6" t="s">
        <v>725</v>
      </c>
      <c r="G6" s="1" t="s">
        <v>40</v>
      </c>
    </row>
    <row r="7" spans="1:18" x14ac:dyDescent="0.25">
      <c r="A7" s="7"/>
      <c r="B7" s="68" t="s">
        <v>15</v>
      </c>
      <c r="C7" s="5" t="s">
        <v>16</v>
      </c>
      <c r="D7" s="5" t="s">
        <v>7</v>
      </c>
      <c r="E7" s="31">
        <f t="shared" si="0"/>
        <v>-10</v>
      </c>
      <c r="F7" s="6"/>
      <c r="G7" s="1" t="s">
        <v>40</v>
      </c>
    </row>
    <row r="8" spans="1:18" x14ac:dyDescent="0.25">
      <c r="A8" s="7"/>
      <c r="B8" s="68" t="s">
        <v>17</v>
      </c>
      <c r="C8" s="5" t="s">
        <v>379</v>
      </c>
      <c r="D8" s="5" t="s">
        <v>7</v>
      </c>
      <c r="E8" s="31">
        <f t="shared" si="0"/>
        <v>-155.16999999999999</v>
      </c>
      <c r="F8" s="6" t="s">
        <v>725</v>
      </c>
      <c r="G8" s="1" t="s">
        <v>40</v>
      </c>
    </row>
    <row r="9" spans="1:18" x14ac:dyDescent="0.25">
      <c r="A9" s="7"/>
      <c r="B9" s="68" t="s">
        <v>19</v>
      </c>
      <c r="C9" s="5" t="s">
        <v>374</v>
      </c>
      <c r="D9" s="5" t="s">
        <v>7</v>
      </c>
      <c r="E9" s="31">
        <f t="shared" si="0"/>
        <v>-44.4</v>
      </c>
      <c r="F9" s="6" t="s">
        <v>724</v>
      </c>
      <c r="G9" s="1" t="s">
        <v>40</v>
      </c>
    </row>
    <row r="10" spans="1:18" x14ac:dyDescent="0.25">
      <c r="A10" s="7"/>
      <c r="B10" s="68"/>
      <c r="C10" s="5"/>
      <c r="D10" s="5"/>
      <c r="E10" s="38"/>
      <c r="F10" s="6"/>
    </row>
    <row r="11" spans="1:18" x14ac:dyDescent="0.25">
      <c r="A11" s="11">
        <v>2</v>
      </c>
      <c r="B11" s="59" t="s">
        <v>24</v>
      </c>
      <c r="C11" s="4"/>
      <c r="D11" s="4"/>
      <c r="E11" s="36"/>
      <c r="F11" s="12"/>
    </row>
    <row r="12" spans="1:18" x14ac:dyDescent="0.25">
      <c r="A12" s="7"/>
      <c r="B12" s="68" t="s">
        <v>217</v>
      </c>
      <c r="C12" s="5"/>
      <c r="D12" s="5"/>
      <c r="E12" s="31" t="s">
        <v>994</v>
      </c>
      <c r="F12" s="6" t="s">
        <v>630</v>
      </c>
      <c r="G12" s="1" t="s">
        <v>40</v>
      </c>
    </row>
    <row r="13" spans="1:18" x14ac:dyDescent="0.25">
      <c r="A13" s="7"/>
      <c r="B13" s="68" t="s">
        <v>225</v>
      </c>
      <c r="C13" s="5" t="s">
        <v>223</v>
      </c>
      <c r="D13" s="5" t="s">
        <v>8</v>
      </c>
      <c r="E13" s="23">
        <f>VLOOKUP($E$12,'RHS-LIB'!$A$2:$E$19,3,FALSE)</f>
        <v>300</v>
      </c>
      <c r="F13" s="6" t="s">
        <v>705</v>
      </c>
      <c r="G13" s="1" t="s">
        <v>40</v>
      </c>
      <c r="I13" s="5"/>
    </row>
    <row r="14" spans="1:18" x14ac:dyDescent="0.25">
      <c r="A14" s="7"/>
      <c r="B14" s="68" t="s">
        <v>226</v>
      </c>
      <c r="C14" s="5" t="s">
        <v>229</v>
      </c>
      <c r="D14" s="5" t="s">
        <v>8</v>
      </c>
      <c r="E14" s="23">
        <f>VLOOKUP($E$12,'RHS-LIB'!$A$2:$E$19,4,FALSE)</f>
        <v>200</v>
      </c>
      <c r="F14" s="6" t="s">
        <v>705</v>
      </c>
      <c r="I14" s="5"/>
    </row>
    <row r="15" spans="1:18" x14ac:dyDescent="0.25">
      <c r="A15" s="7"/>
      <c r="B15" s="68" t="s">
        <v>227</v>
      </c>
      <c r="C15" s="5" t="s">
        <v>230</v>
      </c>
      <c r="D15" s="5" t="s">
        <v>8</v>
      </c>
      <c r="E15" s="23">
        <f>VLOOKUP($E$12,'RHS-LIB'!$A$2:$E$19,5,FALSE)</f>
        <v>8</v>
      </c>
      <c r="F15" s="6" t="s">
        <v>705</v>
      </c>
      <c r="G15" s="1" t="s">
        <v>40</v>
      </c>
      <c r="I15" s="5"/>
    </row>
    <row r="16" spans="1:18" x14ac:dyDescent="0.25">
      <c r="A16" s="7"/>
      <c r="B16" s="68" t="s">
        <v>228</v>
      </c>
      <c r="C16" s="5" t="s">
        <v>231</v>
      </c>
      <c r="D16" s="5" t="s">
        <v>8</v>
      </c>
      <c r="E16" s="23">
        <f>VLOOKUP($E$12,'RHS-LIB'!$A$2:$E$19,5,FALSE)</f>
        <v>8</v>
      </c>
      <c r="F16" s="6" t="s">
        <v>705</v>
      </c>
      <c r="I16" s="5"/>
    </row>
    <row r="17" spans="1:11" x14ac:dyDescent="0.25">
      <c r="A17" s="7"/>
      <c r="B17" s="68" t="s">
        <v>44</v>
      </c>
      <c r="C17" s="5" t="s">
        <v>45</v>
      </c>
      <c r="D17" s="5" t="s">
        <v>48</v>
      </c>
      <c r="E17" s="40">
        <f>VLOOKUP($E$12,'RHS-LIB'!$A$2:$W$19,22,FALSE)</f>
        <v>350</v>
      </c>
      <c r="F17" s="6" t="s">
        <v>705</v>
      </c>
      <c r="G17" s="1" t="s">
        <v>40</v>
      </c>
      <c r="I17" s="5"/>
    </row>
    <row r="18" spans="1:11" x14ac:dyDescent="0.25">
      <c r="A18" s="7"/>
      <c r="B18" s="68" t="s">
        <v>46</v>
      </c>
      <c r="C18" s="5" t="s">
        <v>47</v>
      </c>
      <c r="D18" s="5" t="s">
        <v>48</v>
      </c>
      <c r="E18" s="40">
        <f>VLOOKUP($E$12,'RHS-LIB'!$A$2:$W$19,23,FALSE)</f>
        <v>490</v>
      </c>
      <c r="F18" s="6" t="s">
        <v>705</v>
      </c>
      <c r="G18" s="1" t="s">
        <v>40</v>
      </c>
      <c r="I18" s="5"/>
    </row>
    <row r="19" spans="1:11" x14ac:dyDescent="0.25">
      <c r="A19" s="7"/>
      <c r="B19" s="68" t="s">
        <v>726</v>
      </c>
      <c r="C19" s="5" t="s">
        <v>727</v>
      </c>
      <c r="D19" s="5" t="s">
        <v>48</v>
      </c>
      <c r="E19" s="53">
        <v>210000</v>
      </c>
      <c r="F19" s="6"/>
      <c r="G19" s="1" t="s">
        <v>40</v>
      </c>
      <c r="I19" s="5"/>
    </row>
    <row r="20" spans="1:11" x14ac:dyDescent="0.25">
      <c r="A20" s="7"/>
      <c r="B20" s="68" t="s">
        <v>270</v>
      </c>
      <c r="C20" s="5" t="s">
        <v>271</v>
      </c>
      <c r="D20" s="5" t="s">
        <v>236</v>
      </c>
      <c r="E20" s="31">
        <v>0.99</v>
      </c>
      <c r="F20" s="6"/>
      <c r="G20" s="1" t="s">
        <v>40</v>
      </c>
      <c r="I20" s="5"/>
    </row>
    <row r="21" spans="1:11" x14ac:dyDescent="0.25">
      <c r="A21" s="7"/>
      <c r="B21" s="68" t="s">
        <v>728</v>
      </c>
      <c r="C21" s="5" t="s">
        <v>729</v>
      </c>
      <c r="D21" s="5" t="s">
        <v>48</v>
      </c>
      <c r="E21" s="40">
        <f>VLOOKUP($E$12,'RHS-LIB'!$A$2:$AD$19,30,FALSE)</f>
        <v>40</v>
      </c>
      <c r="F21" s="6" t="s">
        <v>705</v>
      </c>
      <c r="I21" s="5"/>
    </row>
    <row r="22" spans="1:11" x14ac:dyDescent="0.25">
      <c r="A22" s="7"/>
      <c r="B22" s="68" t="s">
        <v>730</v>
      </c>
      <c r="C22" s="14" t="s">
        <v>236</v>
      </c>
      <c r="D22" s="5" t="s">
        <v>236</v>
      </c>
      <c r="E22" s="220" t="s">
        <v>723</v>
      </c>
      <c r="F22" s="6"/>
      <c r="G22" s="27"/>
      <c r="H22"/>
      <c r="I22" s="5"/>
    </row>
    <row r="23" spans="1:11" x14ac:dyDescent="0.25">
      <c r="A23" s="7"/>
      <c r="B23" s="68" t="s">
        <v>4</v>
      </c>
      <c r="C23" s="5" t="s">
        <v>5</v>
      </c>
      <c r="D23" s="5" t="s">
        <v>8</v>
      </c>
      <c r="E23" s="39">
        <v>3000</v>
      </c>
      <c r="F23" s="6"/>
      <c r="G23" s="1" t="s">
        <v>40</v>
      </c>
      <c r="I23" s="5"/>
    </row>
    <row r="24" spans="1:11" customFormat="1" x14ac:dyDescent="0.25">
      <c r="A24" s="7"/>
      <c r="B24" s="68" t="s">
        <v>232</v>
      </c>
      <c r="C24" s="5" t="s">
        <v>169</v>
      </c>
      <c r="D24" s="5" t="s">
        <v>236</v>
      </c>
      <c r="E24" s="39">
        <v>1</v>
      </c>
      <c r="F24" s="6"/>
      <c r="G24" s="1" t="s">
        <v>40</v>
      </c>
      <c r="H24" s="1"/>
      <c r="I24" s="5"/>
      <c r="J24" s="1"/>
      <c r="K24" s="1"/>
    </row>
    <row r="25" spans="1:11" customFormat="1" x14ac:dyDescent="0.25">
      <c r="A25" s="7"/>
      <c r="B25" s="68" t="s">
        <v>233</v>
      </c>
      <c r="C25" s="5" t="s">
        <v>168</v>
      </c>
      <c r="D25" s="5" t="s">
        <v>236</v>
      </c>
      <c r="E25" s="39">
        <v>1</v>
      </c>
      <c r="F25" s="6"/>
      <c r="G25" s="1" t="s">
        <v>40</v>
      </c>
      <c r="H25" s="1"/>
      <c r="I25" s="5"/>
      <c r="J25" s="1"/>
      <c r="K25" s="1"/>
    </row>
    <row r="26" spans="1:11" customFormat="1" x14ac:dyDescent="0.25">
      <c r="A26" s="7"/>
      <c r="B26" s="68" t="s">
        <v>234</v>
      </c>
      <c r="C26" s="5" t="s">
        <v>260</v>
      </c>
      <c r="D26" s="5" t="s">
        <v>8</v>
      </c>
      <c r="E26" s="47">
        <f>E24*E23</f>
        <v>3000</v>
      </c>
      <c r="F26" s="6"/>
      <c r="G26" s="1"/>
      <c r="H26" s="1"/>
      <c r="I26" s="5"/>
      <c r="J26" s="1"/>
      <c r="K26" s="1"/>
    </row>
    <row r="27" spans="1:11" customFormat="1" x14ac:dyDescent="0.25">
      <c r="A27" s="7"/>
      <c r="B27" s="68" t="s">
        <v>235</v>
      </c>
      <c r="C27" s="5" t="s">
        <v>261</v>
      </c>
      <c r="D27" s="5" t="s">
        <v>8</v>
      </c>
      <c r="E27" s="47">
        <f>E25*E23</f>
        <v>3000</v>
      </c>
      <c r="F27" s="6"/>
      <c r="G27" s="1"/>
      <c r="H27" s="1"/>
      <c r="I27" s="5"/>
      <c r="J27" s="1"/>
      <c r="K27" s="1"/>
    </row>
    <row r="28" spans="1:11" x14ac:dyDescent="0.25">
      <c r="A28" s="7"/>
      <c r="B28" s="68" t="s">
        <v>33</v>
      </c>
      <c r="C28" s="5" t="s">
        <v>731</v>
      </c>
      <c r="D28" s="5" t="s">
        <v>34</v>
      </c>
      <c r="E28" s="23">
        <f>VLOOKUP($E$12,'RHS-LIB'!$A$2:$F$19,6,FALSE)*10^2</f>
        <v>7579.1857894892401</v>
      </c>
      <c r="F28" s="6" t="s">
        <v>705</v>
      </c>
      <c r="G28" s="23">
        <f>(2*E14*E50)+(2*(E13-2*E50)*E51)</f>
        <v>7744</v>
      </c>
      <c r="I28" s="5"/>
    </row>
    <row r="29" spans="1:11" x14ac:dyDescent="0.25">
      <c r="A29" s="7"/>
      <c r="B29" s="68" t="s">
        <v>732</v>
      </c>
      <c r="C29" s="5" t="s">
        <v>221</v>
      </c>
      <c r="D29" s="5" t="s">
        <v>237</v>
      </c>
      <c r="E29" s="23">
        <f>VLOOKUP($E$12,'RHS-LIB'!$A$2:$G$19,7,FALSE)</f>
        <v>59.496608447490537</v>
      </c>
      <c r="F29" s="6" t="s">
        <v>705</v>
      </c>
      <c r="G29" s="23">
        <f>E28/10^6*7850</f>
        <v>59.496608447490537</v>
      </c>
      <c r="I29" s="5"/>
    </row>
    <row r="30" spans="1:11" x14ac:dyDescent="0.25">
      <c r="A30" s="7"/>
      <c r="B30" s="68" t="s">
        <v>733</v>
      </c>
      <c r="C30" s="5" t="s">
        <v>901</v>
      </c>
      <c r="D30" s="5" t="s">
        <v>35</v>
      </c>
      <c r="E30" s="40">
        <f>VLOOKUP($E$12,'RHS-LIB'!$A$2:$H$19,8,FALSE)*10^4</f>
        <v>95122482.899227932</v>
      </c>
      <c r="F30" s="6" t="s">
        <v>705</v>
      </c>
      <c r="G30" s="40">
        <f>(E14*E13^3/12)-((E14-2*E51)*(E13-2*E50)^3/12)</f>
        <v>98770005.333333313</v>
      </c>
      <c r="I30" s="5"/>
    </row>
    <row r="31" spans="1:11" x14ac:dyDescent="0.25">
      <c r="A31" s="7"/>
      <c r="B31" s="68" t="s">
        <v>733</v>
      </c>
      <c r="C31" s="5" t="s">
        <v>902</v>
      </c>
      <c r="D31" s="5" t="s">
        <v>35</v>
      </c>
      <c r="E31" s="40">
        <f>VLOOKUP($E$12,'RHS-LIB'!$A$2:$I$19,9,FALSE)*10^4</f>
        <v>50947891.127128556</v>
      </c>
      <c r="F31" s="6" t="s">
        <v>705</v>
      </c>
      <c r="G31" s="40">
        <f>(E13*E14^3/12)-((E13-2*E50)*(E14-2*E51)^3/12)</f>
        <v>52568405.333333343</v>
      </c>
      <c r="I31" s="5"/>
    </row>
    <row r="32" spans="1:11" x14ac:dyDescent="0.25">
      <c r="A32" s="7"/>
      <c r="B32" s="68" t="s">
        <v>735</v>
      </c>
      <c r="C32" s="5" t="s">
        <v>903</v>
      </c>
      <c r="D32" s="5" t="s">
        <v>8</v>
      </c>
      <c r="E32" s="23">
        <f>VLOOKUP($E$12,'RHS-LIB'!$A$2:$J$19,10,FALSE)*10</f>
        <v>112.02896207161456</v>
      </c>
      <c r="F32" s="6" t="s">
        <v>705</v>
      </c>
      <c r="G32" s="23">
        <f>SQRT(E30/E28)</f>
        <v>112.02896207161454</v>
      </c>
      <c r="I32" s="5"/>
    </row>
    <row r="33" spans="1:9" x14ac:dyDescent="0.25">
      <c r="A33" s="7"/>
      <c r="B33" s="68" t="s">
        <v>735</v>
      </c>
      <c r="C33" s="5" t="s">
        <v>904</v>
      </c>
      <c r="D33" s="5" t="s">
        <v>8</v>
      </c>
      <c r="E33" s="23">
        <f>VLOOKUP($E$12,'RHS-LIB'!$A$2:$K$19,11,FALSE)*10</f>
        <v>81.988290169673249</v>
      </c>
      <c r="F33" s="6" t="s">
        <v>705</v>
      </c>
      <c r="G33" s="23">
        <f>SQRT(E31/E28)</f>
        <v>81.988290169673263</v>
      </c>
      <c r="I33" s="5"/>
    </row>
    <row r="34" spans="1:9" x14ac:dyDescent="0.25">
      <c r="A34" s="7"/>
      <c r="B34" s="68" t="s">
        <v>737</v>
      </c>
      <c r="C34" s="5" t="s">
        <v>905</v>
      </c>
      <c r="D34" s="5" t="s">
        <v>36</v>
      </c>
      <c r="E34" s="40">
        <f>VLOOKUP($E$12,'RHS-LIB'!$A$2:$L$19,12,FALSE)*10^3</f>
        <v>634149.88599485287</v>
      </c>
      <c r="F34" s="6" t="s">
        <v>705</v>
      </c>
      <c r="G34" s="40">
        <f>((E14*E13^3)-((E14-2*E51)*(E13-2*E50)^3))/(6*E13)</f>
        <v>658466.70222222223</v>
      </c>
      <c r="I34" s="5"/>
    </row>
    <row r="35" spans="1:9" x14ac:dyDescent="0.25">
      <c r="A35" s="7"/>
      <c r="B35" s="68" t="s">
        <v>737</v>
      </c>
      <c r="C35" s="5" t="s">
        <v>906</v>
      </c>
      <c r="D35" s="5" t="s">
        <v>36</v>
      </c>
      <c r="E35" s="40">
        <f>VLOOKUP($E$12,'RHS-LIB'!$A$2:$M$19,13,FALSE)*10^3</f>
        <v>509478.91127128561</v>
      </c>
      <c r="F35" s="6" t="s">
        <v>705</v>
      </c>
      <c r="G35" s="40">
        <f>((E13*E14^3)-((E13-2*E50)*(E14-2*E51)^3))/(6*E14)</f>
        <v>525684.05333333334</v>
      </c>
      <c r="I35" s="5"/>
    </row>
    <row r="36" spans="1:9" x14ac:dyDescent="0.25">
      <c r="A36" s="7"/>
      <c r="B36" s="68" t="s">
        <v>739</v>
      </c>
      <c r="C36" s="5" t="s">
        <v>907</v>
      </c>
      <c r="D36" s="5" t="s">
        <v>36</v>
      </c>
      <c r="E36" s="40">
        <f>VLOOKUP($E$12,'RHS-LIB'!$A$2:$N$19,14,FALSE)*10^3</f>
        <v>765349.56245822483</v>
      </c>
      <c r="F36" s="6" t="s">
        <v>705</v>
      </c>
      <c r="G36" s="40">
        <f>(E14*E13^2/4)-((E14-2*E51)*(E13-2*E50)^2/4)</f>
        <v>789824</v>
      </c>
      <c r="I36" s="5"/>
    </row>
    <row r="37" spans="1:9" x14ac:dyDescent="0.25">
      <c r="A37" s="7"/>
      <c r="B37" s="68" t="s">
        <v>739</v>
      </c>
      <c r="C37" s="5" t="s">
        <v>907</v>
      </c>
      <c r="D37" s="5" t="s">
        <v>36</v>
      </c>
      <c r="E37" s="40">
        <f>VLOOKUP($E$12,'RHS-LIB'!$A$2:$O$19,15,FALSE)*10^3</f>
        <v>579990.2729837629</v>
      </c>
      <c r="F37" s="6" t="s">
        <v>705</v>
      </c>
      <c r="G37" s="40">
        <f>(E13*E14^2/4)-((E13-2*E50)*(E14-2*E51)^2/4)</f>
        <v>596224</v>
      </c>
      <c r="I37" s="5"/>
    </row>
    <row r="38" spans="1:9" x14ac:dyDescent="0.25">
      <c r="A38" s="7"/>
      <c r="B38" s="68" t="s">
        <v>638</v>
      </c>
      <c r="C38" s="14" t="s">
        <v>639</v>
      </c>
      <c r="D38" s="5" t="s">
        <v>236</v>
      </c>
      <c r="E38" s="23">
        <f>($E$28*$E$13/($E$14+$E$13))/$E$28</f>
        <v>0.6</v>
      </c>
      <c r="F38" s="6"/>
      <c r="G38" s="23"/>
    </row>
    <row r="39" spans="1:9" x14ac:dyDescent="0.25">
      <c r="A39" s="7"/>
      <c r="B39" s="68"/>
      <c r="C39" s="5"/>
      <c r="D39" s="5"/>
      <c r="E39" s="23"/>
      <c r="F39" s="6"/>
    </row>
    <row r="40" spans="1:9" x14ac:dyDescent="0.25">
      <c r="A40" s="11">
        <v>3</v>
      </c>
      <c r="B40" s="59" t="s">
        <v>42</v>
      </c>
      <c r="C40" s="4"/>
      <c r="D40" s="4"/>
      <c r="E40" s="36"/>
      <c r="F40" s="12"/>
    </row>
    <row r="41" spans="1:9" x14ac:dyDescent="0.25">
      <c r="A41" s="17"/>
      <c r="B41" s="68" t="s">
        <v>741</v>
      </c>
      <c r="C41" s="21" t="s">
        <v>742</v>
      </c>
      <c r="D41" s="17"/>
      <c r="E41" s="23">
        <v>0.75</v>
      </c>
      <c r="F41" s="6" t="s">
        <v>743</v>
      </c>
      <c r="H41"/>
    </row>
    <row r="42" spans="1:9" x14ac:dyDescent="0.25">
      <c r="A42" s="17"/>
      <c r="B42" s="68" t="s">
        <v>744</v>
      </c>
      <c r="C42" s="21" t="s">
        <v>745</v>
      </c>
      <c r="D42" s="17"/>
      <c r="E42" s="23">
        <v>0.9</v>
      </c>
      <c r="F42" s="6" t="s">
        <v>746</v>
      </c>
      <c r="H42"/>
    </row>
    <row r="43" spans="1:9" x14ac:dyDescent="0.25">
      <c r="A43" s="17"/>
      <c r="B43" s="68" t="s">
        <v>747</v>
      </c>
      <c r="C43" s="21" t="s">
        <v>748</v>
      </c>
      <c r="D43" s="17"/>
      <c r="E43" s="23">
        <v>0.9</v>
      </c>
      <c r="F43" s="18" t="s">
        <v>749</v>
      </c>
      <c r="H43"/>
    </row>
    <row r="44" spans="1:9" x14ac:dyDescent="0.25">
      <c r="A44" s="17"/>
      <c r="B44" s="68" t="s">
        <v>750</v>
      </c>
      <c r="C44" s="21" t="s">
        <v>751</v>
      </c>
      <c r="D44" s="17"/>
      <c r="E44" s="23">
        <v>0.9</v>
      </c>
      <c r="F44" s="6" t="s">
        <v>752</v>
      </c>
      <c r="H44"/>
    </row>
    <row r="45" spans="1:9" x14ac:dyDescent="0.25">
      <c r="A45" s="17"/>
      <c r="B45" s="68" t="s">
        <v>753</v>
      </c>
      <c r="C45" s="21" t="s">
        <v>754</v>
      </c>
      <c r="D45" s="17"/>
      <c r="E45" s="23">
        <v>0.9</v>
      </c>
      <c r="F45" s="6" t="s">
        <v>755</v>
      </c>
      <c r="H45"/>
    </row>
    <row r="46" spans="1:9" x14ac:dyDescent="0.25">
      <c r="A46" s="20"/>
      <c r="B46" s="68"/>
      <c r="C46" s="17"/>
      <c r="D46" s="17"/>
      <c r="E46" s="43"/>
      <c r="F46" s="18"/>
      <c r="H46"/>
    </row>
    <row r="47" spans="1:9" x14ac:dyDescent="0.25">
      <c r="A47" s="11">
        <v>4</v>
      </c>
      <c r="B47" s="59" t="s">
        <v>41</v>
      </c>
      <c r="C47" s="4"/>
      <c r="D47" s="4"/>
      <c r="E47" s="36"/>
      <c r="F47" s="12"/>
      <c r="H47"/>
    </row>
    <row r="48" spans="1:9" x14ac:dyDescent="0.25">
      <c r="A48" s="13" t="s">
        <v>756</v>
      </c>
      <c r="B48" s="67" t="s">
        <v>757</v>
      </c>
      <c r="C48" s="5"/>
      <c r="D48" s="5"/>
      <c r="E48" s="41"/>
      <c r="F48" s="6"/>
      <c r="H48"/>
    </row>
    <row r="49" spans="1:9" x14ac:dyDescent="0.25">
      <c r="A49" s="7"/>
      <c r="B49" s="33" t="s">
        <v>758</v>
      </c>
      <c r="C49" s="14" t="s">
        <v>31</v>
      </c>
      <c r="D49" s="5" t="s">
        <v>8</v>
      </c>
      <c r="E49" s="23" t="str">
        <f>VLOOKUP(E22,Q2:R3,2,FALSE)&amp;" * t"</f>
        <v>1 * t</v>
      </c>
      <c r="F49" s="6" t="s">
        <v>759</v>
      </c>
      <c r="G49" s="27"/>
      <c r="H49"/>
    </row>
    <row r="50" spans="1:9" x14ac:dyDescent="0.25">
      <c r="A50" s="7"/>
      <c r="B50" s="33"/>
      <c r="C50" s="14" t="s">
        <v>230</v>
      </c>
      <c r="D50" s="5" t="s">
        <v>8</v>
      </c>
      <c r="E50" s="23">
        <f>VLOOKUP(E22,Q2:R3,2,FALSE)*E15</f>
        <v>8</v>
      </c>
      <c r="F50" s="6"/>
      <c r="G50" s="27"/>
      <c r="H50"/>
    </row>
    <row r="51" spans="1:9" x14ac:dyDescent="0.25">
      <c r="A51" s="7"/>
      <c r="B51" s="33"/>
      <c r="C51" s="14" t="s">
        <v>231</v>
      </c>
      <c r="D51" s="5" t="s">
        <v>8</v>
      </c>
      <c r="E51" s="23">
        <f>VLOOKUP(E22,Q2:R3,2,FALSE)*E16</f>
        <v>8</v>
      </c>
      <c r="F51" s="6"/>
      <c r="G51" s="27"/>
      <c r="H51"/>
    </row>
    <row r="52" spans="1:9" x14ac:dyDescent="0.25">
      <c r="A52" s="32"/>
      <c r="B52" s="33" t="s">
        <v>760</v>
      </c>
      <c r="C52" s="5" t="s">
        <v>731</v>
      </c>
      <c r="D52" s="5" t="s">
        <v>34</v>
      </c>
      <c r="E52" s="23">
        <f>(2*E50*((E14-4*E51)+(E13-4*E50)+3/2*PI()*E50))</f>
        <v>7579.1857894892401</v>
      </c>
      <c r="F52" s="6" t="s">
        <v>761</v>
      </c>
      <c r="G52" s="1">
        <f>(2*E14*E50)+(2*(E13-2*E50)*E51)</f>
        <v>7744</v>
      </c>
      <c r="H52"/>
    </row>
    <row r="53" spans="1:9" x14ac:dyDescent="0.25">
      <c r="A53" s="32"/>
      <c r="B53" s="33" t="s">
        <v>908</v>
      </c>
      <c r="C53" s="5" t="s">
        <v>909</v>
      </c>
      <c r="D53" s="5" t="s">
        <v>8</v>
      </c>
      <c r="E53" s="23">
        <f>(E13-2*E50)</f>
        <v>284</v>
      </c>
      <c r="F53" s="6"/>
      <c r="H53"/>
    </row>
    <row r="54" spans="1:9" x14ac:dyDescent="0.25">
      <c r="A54" s="32"/>
      <c r="B54" s="33" t="s">
        <v>910</v>
      </c>
      <c r="C54" s="5" t="s">
        <v>911</v>
      </c>
      <c r="D54" s="5" t="s">
        <v>8</v>
      </c>
      <c r="E54" s="23">
        <f>(E14-2*E51)</f>
        <v>184</v>
      </c>
      <c r="F54" s="6"/>
      <c r="H54" t="e">
        <f>(2*E18*((D18-4*E18)+(C18-4*E18)+3/2*PI()*E18))/10^2</f>
        <v>#VALUE!</v>
      </c>
    </row>
    <row r="55" spans="1:9" x14ac:dyDescent="0.25">
      <c r="A55" s="32"/>
      <c r="B55" s="33" t="s">
        <v>762</v>
      </c>
      <c r="C55" s="5" t="s">
        <v>763</v>
      </c>
      <c r="D55" s="5" t="s">
        <v>34</v>
      </c>
      <c r="E55" s="41"/>
      <c r="F55" s="6"/>
      <c r="H55"/>
    </row>
    <row r="56" spans="1:9" x14ac:dyDescent="0.25">
      <c r="A56" s="32"/>
      <c r="B56" s="221"/>
      <c r="C56" s="5" t="s">
        <v>763</v>
      </c>
      <c r="D56" s="5" t="s">
        <v>34</v>
      </c>
      <c r="E56" s="222">
        <f>E53*E54</f>
        <v>52256</v>
      </c>
      <c r="F56" s="6"/>
      <c r="H56"/>
    </row>
    <row r="57" spans="1:9" x14ac:dyDescent="0.25">
      <c r="A57" s="32"/>
      <c r="B57" s="223" t="s">
        <v>89</v>
      </c>
      <c r="C57" s="5" t="s">
        <v>764</v>
      </c>
      <c r="D57" s="5" t="s">
        <v>236</v>
      </c>
      <c r="E57" s="224">
        <f>E52/(E52+E56)</f>
        <v>0.12666770712727718</v>
      </c>
      <c r="F57" s="6"/>
      <c r="H57"/>
      <c r="I57" s="87"/>
    </row>
    <row r="58" spans="1:9" ht="30" x14ac:dyDescent="0.25">
      <c r="A58" s="32"/>
      <c r="B58" s="221"/>
      <c r="C58" s="5"/>
      <c r="D58" s="5"/>
      <c r="E58" s="225" t="str">
        <f>IF(E57&gt;=0.01," As &gt;= 1% of (As+Ac), Section is permitted"," As &lt; 1% of (As+Ac), Revise section" )</f>
        <v xml:space="preserve"> As &gt;= 1% of (As+Ac), Section is permitted</v>
      </c>
      <c r="F58" s="6"/>
      <c r="H58"/>
      <c r="I58" s="27"/>
    </row>
    <row r="59" spans="1:9" x14ac:dyDescent="0.25">
      <c r="A59" s="32"/>
      <c r="B59" s="221"/>
      <c r="C59" s="5"/>
      <c r="D59" s="5"/>
      <c r="E59" s="28" t="str">
        <f>IF(E57&gt;=0.01,"PASS","FAIL")</f>
        <v>PASS</v>
      </c>
      <c r="F59" s="6"/>
      <c r="H59"/>
    </row>
    <row r="60" spans="1:9" x14ac:dyDescent="0.25">
      <c r="A60" s="32"/>
      <c r="B60" s="221"/>
      <c r="C60" s="5"/>
      <c r="D60" s="5"/>
      <c r="E60" s="28"/>
      <c r="F60" s="6"/>
      <c r="H60"/>
    </row>
    <row r="61" spans="1:9" x14ac:dyDescent="0.25">
      <c r="A61" s="13" t="s">
        <v>765</v>
      </c>
      <c r="B61" s="67" t="s">
        <v>766</v>
      </c>
      <c r="C61" s="5"/>
      <c r="D61" s="5"/>
      <c r="E61" s="23"/>
      <c r="F61" s="6"/>
      <c r="H61"/>
    </row>
    <row r="62" spans="1:9" ht="45" customHeight="1" x14ac:dyDescent="0.25">
      <c r="A62" s="310"/>
      <c r="B62" s="311" t="s">
        <v>767</v>
      </c>
      <c r="C62" s="322" t="s">
        <v>997</v>
      </c>
      <c r="D62" s="96" t="s">
        <v>236</v>
      </c>
      <c r="E62" s="312"/>
      <c r="F62" s="313" t="s">
        <v>768</v>
      </c>
      <c r="G62" s="27"/>
      <c r="H62"/>
    </row>
    <row r="63" spans="1:9" x14ac:dyDescent="0.25">
      <c r="A63" s="310"/>
      <c r="B63" s="311"/>
      <c r="C63" s="322" t="s">
        <v>997</v>
      </c>
      <c r="D63" s="96" t="s">
        <v>236</v>
      </c>
      <c r="E63" s="312">
        <f>2.26*SQRT(E19/E17)</f>
        <v>55.35846818689982</v>
      </c>
      <c r="F63" s="313"/>
      <c r="G63" s="27"/>
      <c r="H63"/>
    </row>
    <row r="64" spans="1:9" ht="47.25" customHeight="1" x14ac:dyDescent="0.25">
      <c r="A64" s="310"/>
      <c r="B64" s="311" t="s">
        <v>769</v>
      </c>
      <c r="C64" s="315" t="s">
        <v>770</v>
      </c>
      <c r="D64" s="96" t="s">
        <v>236</v>
      </c>
      <c r="E64" s="312"/>
      <c r="F64" s="313" t="s">
        <v>768</v>
      </c>
      <c r="G64" s="27"/>
      <c r="H64"/>
    </row>
    <row r="65" spans="1:9" x14ac:dyDescent="0.25">
      <c r="A65" s="310"/>
      <c r="B65" s="311"/>
      <c r="C65" s="315" t="s">
        <v>770</v>
      </c>
      <c r="D65" s="96" t="s">
        <v>236</v>
      </c>
      <c r="E65" s="312">
        <f>3*SQRT(E19/E17)</f>
        <v>73.484692283495349</v>
      </c>
      <c r="F65" s="313"/>
      <c r="G65" s="27"/>
      <c r="H65"/>
    </row>
    <row r="66" spans="1:9" ht="45.75" customHeight="1" x14ac:dyDescent="0.25">
      <c r="A66" s="310"/>
      <c r="B66" s="311" t="s">
        <v>771</v>
      </c>
      <c r="C66" s="315" t="s">
        <v>772</v>
      </c>
      <c r="D66" s="96" t="s">
        <v>236</v>
      </c>
      <c r="E66" s="312"/>
      <c r="F66" s="313" t="s">
        <v>768</v>
      </c>
      <c r="G66" s="27"/>
      <c r="H66"/>
    </row>
    <row r="67" spans="1:9" x14ac:dyDescent="0.25">
      <c r="A67" s="310"/>
      <c r="B67" s="311"/>
      <c r="C67" s="315" t="s">
        <v>772</v>
      </c>
      <c r="D67" s="96" t="s">
        <v>236</v>
      </c>
      <c r="E67" s="312">
        <f>5*SQRT(E19/E17)</f>
        <v>122.4744871391589</v>
      </c>
      <c r="F67" s="313"/>
      <c r="G67" s="27"/>
      <c r="H67"/>
    </row>
    <row r="68" spans="1:9" x14ac:dyDescent="0.25">
      <c r="A68" s="310"/>
      <c r="B68" s="311" t="s">
        <v>89</v>
      </c>
      <c r="C68" s="315" t="s">
        <v>912</v>
      </c>
      <c r="D68" s="96" t="s">
        <v>236</v>
      </c>
      <c r="E68" s="312">
        <f>E14/E50</f>
        <v>25</v>
      </c>
      <c r="F68" s="313"/>
      <c r="G68" s="27"/>
      <c r="H68"/>
    </row>
    <row r="69" spans="1:9" x14ac:dyDescent="0.25">
      <c r="A69" s="310"/>
      <c r="B69" s="311" t="s">
        <v>89</v>
      </c>
      <c r="C69" s="315" t="s">
        <v>913</v>
      </c>
      <c r="D69" s="96" t="s">
        <v>236</v>
      </c>
      <c r="E69" s="312">
        <f>E13/E51</f>
        <v>37.5</v>
      </c>
      <c r="F69" s="313"/>
      <c r="G69" s="27"/>
      <c r="H69"/>
    </row>
    <row r="70" spans="1:9" x14ac:dyDescent="0.25">
      <c r="A70" s="310"/>
      <c r="B70" s="311" t="s">
        <v>773</v>
      </c>
      <c r="C70" s="315" t="s">
        <v>57</v>
      </c>
      <c r="D70" s="96" t="s">
        <v>236</v>
      </c>
      <c r="E70" s="323" t="s">
        <v>914</v>
      </c>
      <c r="F70" s="313" t="s">
        <v>768</v>
      </c>
      <c r="G70" s="27"/>
      <c r="H70"/>
    </row>
    <row r="71" spans="1:9" x14ac:dyDescent="0.25">
      <c r="A71" s="310"/>
      <c r="B71" s="311"/>
      <c r="C71" s="315" t="s">
        <v>57</v>
      </c>
      <c r="D71" s="96" t="s">
        <v>236</v>
      </c>
      <c r="E71" s="312">
        <f>MAX(E14/E50,E13/E51)</f>
        <v>37.5</v>
      </c>
      <c r="F71" s="313"/>
      <c r="G71" s="27"/>
      <c r="H71"/>
    </row>
    <row r="72" spans="1:9" x14ac:dyDescent="0.25">
      <c r="A72" s="7"/>
      <c r="B72" s="70" t="s">
        <v>774</v>
      </c>
      <c r="C72" s="62"/>
      <c r="D72" s="62" t="s">
        <v>236</v>
      </c>
      <c r="E72" s="64" t="str">
        <f>IF(E71&lt;=E63,"Compact",IF(E71&lt;=E65,"Non-Compact",IF(E71&lt;=E67,"Slender","Too slender")))</f>
        <v>Compact</v>
      </c>
      <c r="F72" s="6"/>
      <c r="H72"/>
    </row>
    <row r="73" spans="1:9" x14ac:dyDescent="0.25">
      <c r="A73" s="7"/>
      <c r="B73" s="33" t="s">
        <v>647</v>
      </c>
      <c r="C73" s="14"/>
      <c r="D73" s="5" t="s">
        <v>236</v>
      </c>
      <c r="E73" s="23">
        <f>IF(E71&lt;=E63,1,IF(E71&lt;=E65,2,IF(E71&lt;=E67,3,4)))</f>
        <v>1</v>
      </c>
      <c r="F73" s="6"/>
      <c r="G73" s="27"/>
      <c r="H73"/>
      <c r="I73"/>
    </row>
    <row r="74" spans="1:9" x14ac:dyDescent="0.25">
      <c r="A74" s="32"/>
      <c r="B74" s="33"/>
      <c r="C74" s="5"/>
      <c r="D74" s="5"/>
      <c r="E74" s="222"/>
      <c r="F74" s="6"/>
      <c r="H74"/>
    </row>
    <row r="75" spans="1:9" x14ac:dyDescent="0.25">
      <c r="A75" s="13" t="s">
        <v>775</v>
      </c>
      <c r="B75" s="67" t="s">
        <v>79</v>
      </c>
      <c r="C75" s="5"/>
      <c r="D75" s="5"/>
      <c r="E75" s="23"/>
      <c r="F75" s="6"/>
      <c r="H75"/>
    </row>
    <row r="76" spans="1:9" ht="36" customHeight="1" x14ac:dyDescent="0.25">
      <c r="A76" s="310"/>
      <c r="B76" s="311" t="s">
        <v>80</v>
      </c>
      <c r="C76" s="96" t="s">
        <v>824</v>
      </c>
      <c r="D76" s="96" t="s">
        <v>12</v>
      </c>
      <c r="E76" s="312"/>
      <c r="F76" s="313" t="s">
        <v>828</v>
      </c>
      <c r="H76"/>
    </row>
    <row r="77" spans="1:9" x14ac:dyDescent="0.25">
      <c r="A77" s="310"/>
      <c r="B77" s="311"/>
      <c r="C77" s="96" t="s">
        <v>824</v>
      </c>
      <c r="D77" s="96" t="s">
        <v>12</v>
      </c>
      <c r="E77" s="312">
        <f>((E17*E52)+(E87*E88))/10^3</f>
        <v>2652.7150263212343</v>
      </c>
      <c r="F77" s="313"/>
      <c r="H77"/>
    </row>
    <row r="78" spans="1:9" x14ac:dyDescent="0.25">
      <c r="A78" s="7"/>
      <c r="B78" s="69" t="s">
        <v>80</v>
      </c>
      <c r="C78" s="24" t="s">
        <v>829</v>
      </c>
      <c r="D78" s="24" t="s">
        <v>12</v>
      </c>
      <c r="E78" s="44">
        <f>E42*E77</f>
        <v>2387.4435236891109</v>
      </c>
      <c r="F78" s="6"/>
      <c r="G78" s="30"/>
      <c r="H78"/>
    </row>
    <row r="79" spans="1:9" x14ac:dyDescent="0.25">
      <c r="A79" s="7"/>
      <c r="B79" s="33"/>
      <c r="C79" s="62" t="s">
        <v>172</v>
      </c>
      <c r="D79" s="65"/>
      <c r="E79" s="64">
        <f>IF(E4&lt;0,0,ABS(E4/E78))</f>
        <v>0</v>
      </c>
      <c r="F79" s="55"/>
      <c r="H79"/>
    </row>
    <row r="80" spans="1:9" x14ac:dyDescent="0.25">
      <c r="A80" s="7"/>
      <c r="B80" s="33"/>
      <c r="C80" s="5"/>
      <c r="D80" s="5"/>
      <c r="E80" s="28" t="str">
        <f>IF(E4&lt;0,"NOT APPLICABLE",IF(E79&lt;=1,"PASS","FAIL"))</f>
        <v>NOT APPLICABLE</v>
      </c>
      <c r="F80" s="6"/>
      <c r="H80"/>
    </row>
    <row r="81" spans="1:8" x14ac:dyDescent="0.25">
      <c r="A81" s="13" t="s">
        <v>827</v>
      </c>
      <c r="B81" s="67" t="s">
        <v>43</v>
      </c>
      <c r="C81" s="5"/>
      <c r="D81" s="5"/>
      <c r="E81" s="23"/>
      <c r="F81" s="6"/>
      <c r="H81"/>
    </row>
    <row r="82" spans="1:8" ht="30" x14ac:dyDescent="0.25">
      <c r="A82" s="7"/>
      <c r="B82" s="22" t="s">
        <v>776</v>
      </c>
      <c r="C82" s="14" t="s">
        <v>777</v>
      </c>
      <c r="D82" s="5" t="s">
        <v>48</v>
      </c>
      <c r="E82" s="35" t="s">
        <v>778</v>
      </c>
      <c r="F82" s="6"/>
      <c r="G82" s="27"/>
      <c r="H82"/>
    </row>
    <row r="83" spans="1:8" ht="16.5" x14ac:dyDescent="0.25">
      <c r="A83" s="7"/>
      <c r="B83" s="22"/>
      <c r="C83" s="14" t="s">
        <v>777</v>
      </c>
      <c r="D83" s="5" t="s">
        <v>48</v>
      </c>
      <c r="E83" s="23">
        <f>0.85*E21</f>
        <v>34</v>
      </c>
      <c r="F83" s="6"/>
      <c r="G83" s="27"/>
      <c r="H83"/>
    </row>
    <row r="84" spans="1:8" ht="16.5" x14ac:dyDescent="0.25">
      <c r="A84" s="7"/>
      <c r="B84" s="22" t="s">
        <v>779</v>
      </c>
      <c r="C84" s="14" t="s">
        <v>780</v>
      </c>
      <c r="D84" s="5" t="s">
        <v>781</v>
      </c>
      <c r="E84" s="23">
        <v>2500</v>
      </c>
      <c r="F84" s="6" t="s">
        <v>782</v>
      </c>
      <c r="G84" s="27"/>
      <c r="H84"/>
    </row>
    <row r="85" spans="1:8" ht="20.25" customHeight="1" x14ac:dyDescent="0.25">
      <c r="A85" s="7"/>
      <c r="B85" s="22" t="s">
        <v>783</v>
      </c>
      <c r="C85" s="14" t="s">
        <v>784</v>
      </c>
      <c r="D85" s="5" t="s">
        <v>48</v>
      </c>
      <c r="E85" s="23"/>
      <c r="F85" s="6" t="s">
        <v>782</v>
      </c>
      <c r="G85" s="27"/>
      <c r="H85"/>
    </row>
    <row r="86" spans="1:8" ht="16.5" x14ac:dyDescent="0.25">
      <c r="A86" s="7"/>
      <c r="B86" s="22"/>
      <c r="C86" s="14" t="s">
        <v>784</v>
      </c>
      <c r="D86" s="5" t="s">
        <v>48</v>
      </c>
      <c r="E86" s="23">
        <f>0.043*E84^1.5*SQRT(E83)</f>
        <v>31341.366434793465</v>
      </c>
      <c r="F86" s="6"/>
      <c r="G86" s="27"/>
      <c r="H86"/>
    </row>
    <row r="87" spans="1:8" ht="30" x14ac:dyDescent="0.25">
      <c r="A87" s="7"/>
      <c r="B87" s="22" t="s">
        <v>785</v>
      </c>
      <c r="C87" s="14" t="s">
        <v>786</v>
      </c>
      <c r="D87" s="5" t="s">
        <v>34</v>
      </c>
      <c r="E87" s="23">
        <v>0</v>
      </c>
      <c r="F87" s="6"/>
      <c r="G87" s="27"/>
      <c r="H87"/>
    </row>
    <row r="88" spans="1:8" ht="16.5" x14ac:dyDescent="0.25">
      <c r="A88" s="7"/>
      <c r="B88" s="22" t="s">
        <v>787</v>
      </c>
      <c r="C88" s="14" t="s">
        <v>788</v>
      </c>
      <c r="D88" s="5" t="s">
        <v>34</v>
      </c>
      <c r="E88" s="23">
        <v>0</v>
      </c>
      <c r="F88" s="6"/>
      <c r="G88" s="27"/>
      <c r="H88"/>
    </row>
    <row r="89" spans="1:8" ht="30" x14ac:dyDescent="0.25">
      <c r="A89" s="7"/>
      <c r="B89" s="22" t="s">
        <v>915</v>
      </c>
      <c r="C89" s="5" t="s">
        <v>916</v>
      </c>
      <c r="D89" s="5" t="s">
        <v>35</v>
      </c>
      <c r="E89" s="40">
        <v>0</v>
      </c>
      <c r="F89" s="6"/>
      <c r="G89" s="27"/>
      <c r="H89"/>
    </row>
    <row r="90" spans="1:8" ht="30" x14ac:dyDescent="0.25">
      <c r="A90" s="7"/>
      <c r="B90" s="22" t="s">
        <v>917</v>
      </c>
      <c r="C90" s="5" t="s">
        <v>918</v>
      </c>
      <c r="D90" s="5" t="s">
        <v>35</v>
      </c>
      <c r="E90" s="40">
        <v>0</v>
      </c>
      <c r="F90" s="6"/>
      <c r="G90" s="27"/>
      <c r="H90"/>
    </row>
    <row r="91" spans="1:8" ht="30" x14ac:dyDescent="0.25">
      <c r="A91" s="7"/>
      <c r="B91" s="22" t="s">
        <v>919</v>
      </c>
      <c r="C91" s="5" t="s">
        <v>920</v>
      </c>
      <c r="D91" s="5" t="s">
        <v>35</v>
      </c>
      <c r="E91" s="40">
        <f>E54*E53^3/12</f>
        <v>351229994.66666669</v>
      </c>
      <c r="F91" s="6"/>
    </row>
    <row r="92" spans="1:8" ht="30" x14ac:dyDescent="0.25">
      <c r="A92" s="7"/>
      <c r="B92" s="22" t="s">
        <v>921</v>
      </c>
      <c r="C92" s="5" t="s">
        <v>922</v>
      </c>
      <c r="D92" s="5" t="s">
        <v>35</v>
      </c>
      <c r="E92" s="40">
        <f>E53*E54^3/12</f>
        <v>147431594.66666666</v>
      </c>
      <c r="F92" s="6"/>
    </row>
    <row r="93" spans="1:8" ht="16.5" x14ac:dyDescent="0.25">
      <c r="A93" s="7"/>
      <c r="B93" s="105"/>
      <c r="C93" s="226" t="s">
        <v>793</v>
      </c>
      <c r="D93" s="5" t="s">
        <v>236</v>
      </c>
      <c r="E93" s="23">
        <v>1</v>
      </c>
      <c r="F93" s="6" t="s">
        <v>794</v>
      </c>
      <c r="G93" s="27">
        <v>0.85</v>
      </c>
      <c r="H93"/>
    </row>
    <row r="94" spans="1:8" ht="36" customHeight="1" x14ac:dyDescent="0.25">
      <c r="A94" s="7"/>
      <c r="B94" s="22" t="s">
        <v>795</v>
      </c>
      <c r="C94" s="226" t="s">
        <v>796</v>
      </c>
      <c r="D94" s="5" t="s">
        <v>12</v>
      </c>
      <c r="E94" s="23"/>
      <c r="F94" s="6"/>
      <c r="G94" s="27"/>
      <c r="H94"/>
    </row>
    <row r="95" spans="1:8" x14ac:dyDescent="0.25">
      <c r="A95" s="7"/>
      <c r="B95" s="22"/>
      <c r="C95" s="226" t="s">
        <v>796</v>
      </c>
      <c r="D95" s="5" t="s">
        <v>12</v>
      </c>
      <c r="E95" s="23">
        <f>((E17*E52)+(E93*E83*(E56+E88*E19/E86)))/10^3</f>
        <v>4429.419026321234</v>
      </c>
      <c r="F95" s="6"/>
      <c r="G95" s="27"/>
      <c r="H95"/>
    </row>
    <row r="96" spans="1:8" ht="35.25" customHeight="1" x14ac:dyDescent="0.25">
      <c r="A96" s="7"/>
      <c r="B96" s="22" t="s">
        <v>797</v>
      </c>
      <c r="C96" s="226" t="s">
        <v>798</v>
      </c>
      <c r="D96" s="5" t="s">
        <v>12</v>
      </c>
      <c r="E96" s="23"/>
      <c r="F96" s="6" t="s">
        <v>799</v>
      </c>
      <c r="G96" s="27"/>
      <c r="H96"/>
    </row>
    <row r="97" spans="1:8" x14ac:dyDescent="0.25">
      <c r="A97" s="7"/>
      <c r="B97" s="22"/>
      <c r="C97" s="226" t="s">
        <v>798</v>
      </c>
      <c r="D97" s="5" t="s">
        <v>12</v>
      </c>
      <c r="E97" s="23">
        <f>((E17*E52)+(0.7*E83*(E56+E88*E19/E86)))/10^3</f>
        <v>3896.4078263212341</v>
      </c>
      <c r="F97" s="6"/>
      <c r="G97" s="27"/>
      <c r="H97"/>
    </row>
    <row r="98" spans="1:8" x14ac:dyDescent="0.25">
      <c r="A98" s="7"/>
      <c r="B98" s="22"/>
      <c r="C98" s="226"/>
      <c r="D98" s="5"/>
      <c r="E98" s="23"/>
      <c r="F98" s="6"/>
      <c r="G98" s="27"/>
      <c r="H98"/>
    </row>
    <row r="99" spans="1:8" ht="49.5" customHeight="1" x14ac:dyDescent="0.25">
      <c r="A99" s="7"/>
      <c r="B99" s="22" t="s">
        <v>800</v>
      </c>
      <c r="C99" s="226" t="s">
        <v>923</v>
      </c>
      <c r="D99" s="5" t="s">
        <v>48</v>
      </c>
      <c r="E99" s="23"/>
      <c r="F99" s="6" t="s">
        <v>802</v>
      </c>
      <c r="G99" s="27"/>
      <c r="H99"/>
    </row>
    <row r="100" spans="1:8" ht="16.5" x14ac:dyDescent="0.25">
      <c r="A100" s="7"/>
      <c r="B100" s="22"/>
      <c r="C100" s="226" t="s">
        <v>923</v>
      </c>
      <c r="D100" s="5" t="s">
        <v>48</v>
      </c>
      <c r="E100" s="40">
        <f>(9*E19)/(E68)^2</f>
        <v>3024</v>
      </c>
      <c r="F100" s="6"/>
      <c r="G100" s="27"/>
      <c r="H100"/>
    </row>
    <row r="101" spans="1:8" ht="49.5" customHeight="1" x14ac:dyDescent="0.25">
      <c r="A101" s="7"/>
      <c r="B101" s="22" t="s">
        <v>800</v>
      </c>
      <c r="C101" s="226" t="s">
        <v>924</v>
      </c>
      <c r="D101" s="5" t="s">
        <v>48</v>
      </c>
      <c r="E101" s="23"/>
      <c r="F101" s="6" t="s">
        <v>802</v>
      </c>
      <c r="G101" s="27"/>
      <c r="H101"/>
    </row>
    <row r="102" spans="1:8" ht="16.5" x14ac:dyDescent="0.25">
      <c r="A102" s="7"/>
      <c r="B102" s="22"/>
      <c r="C102" s="226" t="s">
        <v>924</v>
      </c>
      <c r="D102" s="5" t="s">
        <v>48</v>
      </c>
      <c r="E102" s="40">
        <f>(9*E19)/(E69)^2</f>
        <v>1344</v>
      </c>
      <c r="F102" s="6"/>
      <c r="G102" s="27"/>
      <c r="H102"/>
    </row>
    <row r="103" spans="1:8" ht="18" x14ac:dyDescent="0.25">
      <c r="A103" s="7"/>
      <c r="B103" s="22"/>
      <c r="C103" s="226" t="s">
        <v>801</v>
      </c>
      <c r="D103" s="5" t="s">
        <v>48</v>
      </c>
      <c r="E103" s="40" t="s">
        <v>925</v>
      </c>
      <c r="F103" s="6"/>
      <c r="G103" s="27"/>
      <c r="H103"/>
    </row>
    <row r="104" spans="1:8" ht="16.5" x14ac:dyDescent="0.25">
      <c r="A104" s="7"/>
      <c r="B104" s="22"/>
      <c r="C104" s="226" t="s">
        <v>801</v>
      </c>
      <c r="D104" s="5" t="s">
        <v>48</v>
      </c>
      <c r="E104" s="40">
        <f>MIN(E100,E102)</f>
        <v>1344</v>
      </c>
      <c r="F104" s="6"/>
      <c r="G104" s="27"/>
      <c r="H104"/>
    </row>
    <row r="105" spans="1:8" x14ac:dyDescent="0.25">
      <c r="A105" s="7"/>
      <c r="B105" s="22"/>
      <c r="C105" s="226"/>
      <c r="D105" s="5"/>
      <c r="E105" s="40"/>
      <c r="F105" s="6"/>
      <c r="G105" s="27"/>
      <c r="H105"/>
    </row>
    <row r="106" spans="1:8" ht="30" x14ac:dyDescent="0.25">
      <c r="A106" s="7"/>
      <c r="B106" s="22" t="s">
        <v>926</v>
      </c>
      <c r="C106" s="5" t="s">
        <v>901</v>
      </c>
      <c r="D106" s="5" t="s">
        <v>35</v>
      </c>
      <c r="E106" s="40">
        <f>E30</f>
        <v>95122482.899227932</v>
      </c>
      <c r="F106" s="6"/>
      <c r="G106" s="27"/>
      <c r="H106"/>
    </row>
    <row r="107" spans="1:8" ht="30" x14ac:dyDescent="0.25">
      <c r="A107" s="7"/>
      <c r="B107" s="22" t="s">
        <v>927</v>
      </c>
      <c r="C107" s="5" t="s">
        <v>902</v>
      </c>
      <c r="D107" s="5" t="s">
        <v>35</v>
      </c>
      <c r="E107" s="40">
        <f>E31</f>
        <v>50947891.127128556</v>
      </c>
      <c r="F107" s="6"/>
      <c r="G107" s="27"/>
      <c r="H107"/>
    </row>
    <row r="108" spans="1:8" ht="36.75" customHeight="1" x14ac:dyDescent="0.25">
      <c r="A108" s="7"/>
      <c r="B108" s="22" t="s">
        <v>804</v>
      </c>
      <c r="C108" s="226" t="s">
        <v>805</v>
      </c>
      <c r="D108" s="5" t="s">
        <v>236</v>
      </c>
      <c r="E108" s="23"/>
      <c r="F108" s="6" t="s">
        <v>806</v>
      </c>
      <c r="G108" s="27"/>
      <c r="H108"/>
    </row>
    <row r="109" spans="1:8" ht="16.5" x14ac:dyDescent="0.25">
      <c r="A109" s="7"/>
      <c r="B109" s="22"/>
      <c r="C109" s="226" t="s">
        <v>805</v>
      </c>
      <c r="D109" s="5" t="s">
        <v>236</v>
      </c>
      <c r="E109" s="23">
        <f>MIN(0.6+(2*(E52/(E52+E56))),0.9)</f>
        <v>0.85333541425455439</v>
      </c>
      <c r="F109" s="6"/>
      <c r="G109" s="27"/>
      <c r="H109"/>
    </row>
    <row r="110" spans="1:8" ht="30" x14ac:dyDescent="0.25">
      <c r="A110" s="7"/>
      <c r="B110" s="22" t="s">
        <v>807</v>
      </c>
      <c r="C110" s="226" t="s">
        <v>808</v>
      </c>
      <c r="D110" s="5" t="s">
        <v>809</v>
      </c>
      <c r="E110" s="23"/>
      <c r="F110" s="6" t="s">
        <v>810</v>
      </c>
      <c r="G110" s="27"/>
      <c r="H110"/>
    </row>
    <row r="111" spans="1:8" ht="16.5" x14ac:dyDescent="0.25">
      <c r="A111" s="7"/>
      <c r="B111" s="22"/>
      <c r="C111" s="226" t="s">
        <v>928</v>
      </c>
      <c r="D111" s="5" t="s">
        <v>809</v>
      </c>
      <c r="E111" s="97">
        <f>(E19*(E106))+(E19*(E89))+(E109*E86*(E91))</f>
        <v>29369261513107.094</v>
      </c>
      <c r="F111" s="6"/>
      <c r="G111" s="27"/>
      <c r="H111"/>
    </row>
    <row r="112" spans="1:8" ht="16.5" x14ac:dyDescent="0.25">
      <c r="A112" s="7"/>
      <c r="B112" s="22"/>
      <c r="C112" s="226" t="s">
        <v>929</v>
      </c>
      <c r="D112" s="5" t="s">
        <v>809</v>
      </c>
      <c r="E112" s="97">
        <f>(E19*(E107))+(E19*(E90))+(E109*E86*(E92))</f>
        <v>14642070598437.461</v>
      </c>
      <c r="F112" s="6"/>
      <c r="G112" s="27"/>
      <c r="H112"/>
    </row>
    <row r="113" spans="1:9" ht="35.25" customHeight="1" x14ac:dyDescent="0.25">
      <c r="A113" s="7"/>
      <c r="B113" s="22" t="s">
        <v>811</v>
      </c>
      <c r="C113" s="226" t="s">
        <v>812</v>
      </c>
      <c r="D113" s="5" t="s">
        <v>12</v>
      </c>
      <c r="E113" s="23"/>
      <c r="F113" s="6"/>
      <c r="G113" s="27"/>
      <c r="H113"/>
    </row>
    <row r="114" spans="1:9" x14ac:dyDescent="0.25">
      <c r="A114" s="7"/>
      <c r="B114" s="22"/>
      <c r="C114" s="1" t="s">
        <v>930</v>
      </c>
      <c r="D114" s="5" t="s">
        <v>12</v>
      </c>
      <c r="E114" s="145">
        <f>((PI()^2*E111)/E26^2)/10^3</f>
        <v>32206.999187389563</v>
      </c>
      <c r="F114" s="6"/>
      <c r="G114" s="27"/>
      <c r="H114"/>
    </row>
    <row r="115" spans="1:9" x14ac:dyDescent="0.25">
      <c r="A115" s="7"/>
      <c r="B115" s="22"/>
      <c r="C115" s="226" t="s">
        <v>931</v>
      </c>
      <c r="D115" s="5" t="s">
        <v>12</v>
      </c>
      <c r="E115" s="23">
        <f>((PI()^2*E112)/E27^2)/10^3</f>
        <v>16056.827157711052</v>
      </c>
      <c r="F115" s="6"/>
      <c r="G115" s="27"/>
      <c r="H115"/>
    </row>
    <row r="116" spans="1:9" x14ac:dyDescent="0.25">
      <c r="A116" s="7"/>
      <c r="B116" s="22"/>
      <c r="C116" s="226" t="s">
        <v>812</v>
      </c>
      <c r="D116" s="5" t="s">
        <v>12</v>
      </c>
      <c r="E116" s="23">
        <f>MIN(E114,E115)</f>
        <v>16056.827157711052</v>
      </c>
      <c r="F116" s="6"/>
      <c r="G116" s="27"/>
      <c r="H116"/>
    </row>
    <row r="117" spans="1:9" ht="45" x14ac:dyDescent="0.25">
      <c r="A117" s="7"/>
      <c r="B117" s="227" t="s">
        <v>813</v>
      </c>
      <c r="C117" s="154" t="s">
        <v>814</v>
      </c>
      <c r="D117" s="15" t="s">
        <v>12</v>
      </c>
      <c r="E117" s="25">
        <f>IF($E$73=1,E119,IF($E$73=2,E121,IF($E$73=3,E123,0)))</f>
        <v>4429.419026321234</v>
      </c>
      <c r="F117" s="80" t="s">
        <v>815</v>
      </c>
      <c r="G117" s="27"/>
      <c r="H117"/>
    </row>
    <row r="118" spans="1:9" x14ac:dyDescent="0.25">
      <c r="A118" s="7"/>
      <c r="B118" s="105" t="s">
        <v>816</v>
      </c>
      <c r="C118" s="228" t="s">
        <v>814</v>
      </c>
      <c r="D118" s="5" t="s">
        <v>12</v>
      </c>
      <c r="E118" s="23" t="s">
        <v>796</v>
      </c>
      <c r="F118" s="6" t="s">
        <v>817</v>
      </c>
      <c r="G118" s="27"/>
      <c r="H118"/>
    </row>
    <row r="119" spans="1:9" x14ac:dyDescent="0.25">
      <c r="A119" s="7"/>
      <c r="B119" s="105"/>
      <c r="C119" s="228" t="s">
        <v>814</v>
      </c>
      <c r="D119" s="5" t="s">
        <v>12</v>
      </c>
      <c r="E119" s="23">
        <f>E95</f>
        <v>4429.419026321234</v>
      </c>
      <c r="F119" s="6"/>
      <c r="G119" s="27"/>
      <c r="H119"/>
    </row>
    <row r="120" spans="1:9" ht="41.25" customHeight="1" x14ac:dyDescent="0.25">
      <c r="A120" s="7"/>
      <c r="B120" s="105" t="s">
        <v>818</v>
      </c>
      <c r="C120" s="228" t="s">
        <v>814</v>
      </c>
      <c r="D120" s="5" t="s">
        <v>12</v>
      </c>
      <c r="E120" s="23"/>
      <c r="F120" s="6" t="s">
        <v>819</v>
      </c>
      <c r="G120" s="27"/>
      <c r="H120"/>
    </row>
    <row r="121" spans="1:9" x14ac:dyDescent="0.25">
      <c r="A121" s="7"/>
      <c r="B121" s="105"/>
      <c r="C121" s="228" t="s">
        <v>814</v>
      </c>
      <c r="D121" s="5" t="s">
        <v>12</v>
      </c>
      <c r="E121" s="23">
        <f>(E95-((E95-E97)*((E71-E63)/(E65-E63))^2))</f>
        <v>3912.0385290379309</v>
      </c>
      <c r="F121" s="6"/>
      <c r="G121" s="27"/>
      <c r="H121"/>
    </row>
    <row r="122" spans="1:9" ht="36" customHeight="1" x14ac:dyDescent="0.25">
      <c r="A122" s="7"/>
      <c r="B122" s="105" t="s">
        <v>820</v>
      </c>
      <c r="C122" s="228" t="s">
        <v>814</v>
      </c>
      <c r="D122" s="5" t="s">
        <v>12</v>
      </c>
      <c r="E122" s="23"/>
      <c r="F122" s="6" t="s">
        <v>821</v>
      </c>
      <c r="G122" s="27"/>
      <c r="H122"/>
    </row>
    <row r="123" spans="1:9" x14ac:dyDescent="0.25">
      <c r="A123" s="7"/>
      <c r="B123" s="22"/>
      <c r="C123" s="228" t="s">
        <v>814</v>
      </c>
      <c r="D123" s="5" t="s">
        <v>12</v>
      </c>
      <c r="E123" s="23">
        <f>((E104*E52)+(0.7*E83*(E56+E88*E19/E86)))/10^3</f>
        <v>11430.118501073539</v>
      </c>
      <c r="F123" s="6"/>
      <c r="G123" s="27"/>
      <c r="H123"/>
    </row>
    <row r="124" spans="1:9" x14ac:dyDescent="0.25">
      <c r="A124" s="7"/>
      <c r="B124" s="22"/>
      <c r="C124" s="228"/>
      <c r="D124" s="5"/>
      <c r="E124" s="23"/>
      <c r="F124" s="6"/>
      <c r="G124" s="27"/>
      <c r="H124"/>
    </row>
    <row r="125" spans="1:9" x14ac:dyDescent="0.25">
      <c r="A125" s="7"/>
      <c r="B125" s="22" t="s">
        <v>89</v>
      </c>
      <c r="C125" s="14" t="s">
        <v>822</v>
      </c>
      <c r="D125" s="5" t="s">
        <v>236</v>
      </c>
      <c r="E125" s="23">
        <f>E117/E116</f>
        <v>0.27585892174183813</v>
      </c>
      <c r="F125" s="6"/>
      <c r="G125" s="27"/>
      <c r="H125"/>
    </row>
    <row r="126" spans="1:9" ht="86.25" customHeight="1" x14ac:dyDescent="0.25">
      <c r="A126" s="7"/>
      <c r="B126" s="22" t="s">
        <v>823</v>
      </c>
      <c r="C126" s="14" t="s">
        <v>824</v>
      </c>
      <c r="D126" s="5" t="s">
        <v>12</v>
      </c>
      <c r="E126" s="23"/>
      <c r="F126" s="6" t="s">
        <v>825</v>
      </c>
      <c r="G126" s="27"/>
      <c r="H126" s="85"/>
    </row>
    <row r="127" spans="1:9" ht="36" customHeight="1" x14ac:dyDescent="0.25">
      <c r="A127" s="7"/>
      <c r="B127" s="105"/>
      <c r="C127" s="14" t="s">
        <v>824</v>
      </c>
      <c r="D127" s="5" t="s">
        <v>12</v>
      </c>
      <c r="E127" s="23">
        <f>IF(AND(E125&lt;=2.25,E73&lt;=2),(0.658^E125)*E117,0.877*E116)</f>
        <v>3946.4150422063371</v>
      </c>
      <c r="F127" s="6"/>
      <c r="G127" s="27"/>
      <c r="H127"/>
    </row>
    <row r="128" spans="1:9" x14ac:dyDescent="0.25">
      <c r="A128" s="7"/>
      <c r="B128" s="69" t="s">
        <v>49</v>
      </c>
      <c r="C128" s="24" t="s">
        <v>826</v>
      </c>
      <c r="D128" s="24" t="s">
        <v>12</v>
      </c>
      <c r="E128" s="44">
        <f>E41*E127</f>
        <v>2959.8112816547527</v>
      </c>
      <c r="F128" s="6"/>
      <c r="H128">
        <v>709</v>
      </c>
      <c r="I128" s="87">
        <f>E128/H128</f>
        <v>4.1746280418261676</v>
      </c>
    </row>
    <row r="129" spans="1:8" x14ac:dyDescent="0.25">
      <c r="A129" s="7"/>
      <c r="B129" s="33"/>
      <c r="C129" s="62" t="s">
        <v>172</v>
      </c>
      <c r="D129" s="63"/>
      <c r="E129" s="64">
        <f>IF(E4&lt;=0,ABS(E4)/E128,0)</f>
        <v>0.19815452547099666</v>
      </c>
      <c r="F129" s="6"/>
      <c r="H129"/>
    </row>
    <row r="130" spans="1:8" x14ac:dyDescent="0.25">
      <c r="A130" s="7"/>
      <c r="B130" s="33"/>
      <c r="C130" s="5"/>
      <c r="D130" s="5"/>
      <c r="E130" s="28" t="str">
        <f>IF(E4&gt;0,"NOT APPLICABLE",IF(E129&lt;=1,"PASS","FAIL"))</f>
        <v>PASS</v>
      </c>
      <c r="F130" s="6"/>
      <c r="H130"/>
    </row>
    <row r="131" spans="1:8" x14ac:dyDescent="0.25">
      <c r="A131" s="7"/>
      <c r="B131" s="33"/>
      <c r="C131" s="5"/>
      <c r="D131" s="5"/>
      <c r="E131" s="23"/>
      <c r="F131" s="6"/>
      <c r="H131"/>
    </row>
    <row r="132" spans="1:8" x14ac:dyDescent="0.25">
      <c r="A132" s="7"/>
      <c r="B132" s="33"/>
      <c r="C132" s="5"/>
      <c r="D132" s="5"/>
      <c r="E132" s="23"/>
      <c r="F132" s="6"/>
      <c r="H132"/>
    </row>
    <row r="133" spans="1:8" x14ac:dyDescent="0.25">
      <c r="A133" s="13" t="s">
        <v>830</v>
      </c>
      <c r="B133" s="67" t="s">
        <v>82</v>
      </c>
      <c r="C133" s="5"/>
      <c r="D133" s="5"/>
      <c r="E133" s="23"/>
      <c r="F133" s="6"/>
      <c r="H133"/>
    </row>
    <row r="134" spans="1:8" ht="30" x14ac:dyDescent="0.25">
      <c r="A134" s="13"/>
      <c r="B134" s="33" t="s">
        <v>932</v>
      </c>
      <c r="C134" s="5" t="s">
        <v>907</v>
      </c>
      <c r="D134" s="5" t="s">
        <v>36</v>
      </c>
      <c r="E134" s="40">
        <f>E36</f>
        <v>765349.56245822483</v>
      </c>
      <c r="F134" s="6"/>
      <c r="H134"/>
    </row>
    <row r="135" spans="1:8" ht="30" x14ac:dyDescent="0.25">
      <c r="A135" s="13"/>
      <c r="B135" s="33" t="s">
        <v>933</v>
      </c>
      <c r="C135" s="5" t="s">
        <v>934</v>
      </c>
      <c r="D135" s="5" t="s">
        <v>36</v>
      </c>
      <c r="E135" s="40">
        <f>E37</f>
        <v>579990.2729837629</v>
      </c>
      <c r="F135" s="6"/>
      <c r="H135"/>
    </row>
    <row r="136" spans="1:8" ht="30" x14ac:dyDescent="0.25">
      <c r="A136" s="13"/>
      <c r="B136" s="33" t="s">
        <v>935</v>
      </c>
      <c r="C136" s="5" t="s">
        <v>936</v>
      </c>
      <c r="D136" s="5" t="s">
        <v>36</v>
      </c>
      <c r="E136" s="40">
        <f>E54*E53^2/4</f>
        <v>3710176</v>
      </c>
      <c r="F136" s="6"/>
      <c r="H136"/>
    </row>
    <row r="137" spans="1:8" ht="30" x14ac:dyDescent="0.25">
      <c r="A137" s="13"/>
      <c r="B137" s="33" t="s">
        <v>937</v>
      </c>
      <c r="C137" s="5" t="s">
        <v>938</v>
      </c>
      <c r="D137" s="5" t="s">
        <v>36</v>
      </c>
      <c r="E137" s="40">
        <f>E53*E54^2/4</f>
        <v>2403776</v>
      </c>
      <c r="F137" s="6"/>
      <c r="H137"/>
    </row>
    <row r="138" spans="1:8" x14ac:dyDescent="0.25">
      <c r="A138" s="13"/>
      <c r="B138" s="33"/>
      <c r="C138" s="5"/>
      <c r="D138" s="5"/>
      <c r="E138" s="23"/>
      <c r="F138" s="6"/>
      <c r="H138"/>
    </row>
    <row r="139" spans="1:8" ht="41.25" customHeight="1" x14ac:dyDescent="0.25">
      <c r="A139" s="13"/>
      <c r="B139" s="33" t="s">
        <v>939</v>
      </c>
      <c r="C139" s="5" t="s">
        <v>940</v>
      </c>
      <c r="D139" s="5" t="s">
        <v>8</v>
      </c>
      <c r="E139" s="23">
        <f>MIN(MAX(IF($E$73&lt;=1,E141,IF($E$73&lt;=2,E143,IF($E$73&lt;=3,E145,0))),0),E13)</f>
        <v>104.28517460163705</v>
      </c>
      <c r="F139" s="6"/>
      <c r="H139" s="85"/>
    </row>
    <row r="140" spans="1:8" ht="39.75" customHeight="1" x14ac:dyDescent="0.25">
      <c r="A140" s="13"/>
      <c r="B140" s="105" t="s">
        <v>816</v>
      </c>
      <c r="C140" s="5" t="s">
        <v>940</v>
      </c>
      <c r="D140" s="5" t="s">
        <v>8</v>
      </c>
      <c r="F140" s="6" t="s">
        <v>845</v>
      </c>
      <c r="H140"/>
    </row>
    <row r="141" spans="1:8" x14ac:dyDescent="0.25">
      <c r="A141" s="13"/>
      <c r="B141" s="105"/>
      <c r="C141" s="5" t="s">
        <v>940</v>
      </c>
      <c r="D141" s="5" t="s">
        <v>8</v>
      </c>
      <c r="E141" s="23">
        <f>((2*E17*E13*E51)+(0.85*E83*E54*E50))/((4*E51*E17)+(0.85*E83*E54))</f>
        <v>104.28517460163705</v>
      </c>
      <c r="F141" s="6"/>
      <c r="H141" s="85"/>
    </row>
    <row r="142" spans="1:8" ht="39.75" customHeight="1" x14ac:dyDescent="0.25">
      <c r="A142" s="13"/>
      <c r="B142" s="105" t="s">
        <v>818</v>
      </c>
      <c r="C142" s="5" t="s">
        <v>940</v>
      </c>
      <c r="D142" s="5" t="s">
        <v>8</v>
      </c>
      <c r="F142" s="6" t="s">
        <v>846</v>
      </c>
      <c r="H142" s="85"/>
    </row>
    <row r="143" spans="1:8" x14ac:dyDescent="0.25">
      <c r="A143" s="13"/>
      <c r="B143" s="105"/>
      <c r="C143" s="5" t="s">
        <v>940</v>
      </c>
      <c r="D143" s="5" t="s">
        <v>8</v>
      </c>
      <c r="E143" s="23">
        <f>((2*E17*E13*E51)+(0.35*E83*E54*E50))/((4*E51*E17)+(0.35*E83*E54))</f>
        <v>126.77875365955667</v>
      </c>
      <c r="F143" s="6"/>
      <c r="H143" s="85"/>
    </row>
    <row r="144" spans="1:8" ht="39.75" customHeight="1" x14ac:dyDescent="0.25">
      <c r="A144" s="13"/>
      <c r="B144" s="105" t="s">
        <v>820</v>
      </c>
      <c r="C144" s="5" t="s">
        <v>940</v>
      </c>
      <c r="D144" s="5" t="s">
        <v>8</v>
      </c>
      <c r="F144" s="6" t="s">
        <v>847</v>
      </c>
      <c r="H144" s="85"/>
    </row>
    <row r="145" spans="1:8" x14ac:dyDescent="0.25">
      <c r="A145" s="13"/>
      <c r="B145" s="33"/>
      <c r="C145" s="5" t="s">
        <v>940</v>
      </c>
      <c r="D145" s="5" t="s">
        <v>8</v>
      </c>
      <c r="E145" s="23">
        <f>((E17*E13*E51)+((0.35*E83+E17-E102)*E54*E50))/((E51*(E102+E17))+(0.35*E83*E54))</f>
        <v>-38.474564212024184</v>
      </c>
      <c r="F145" s="6"/>
      <c r="H145"/>
    </row>
    <row r="146" spans="1:8" x14ac:dyDescent="0.25">
      <c r="A146" s="13"/>
      <c r="B146" s="33"/>
      <c r="C146" s="5"/>
      <c r="D146" s="5"/>
      <c r="E146" s="23"/>
      <c r="F146" s="6"/>
      <c r="H146"/>
    </row>
    <row r="147" spans="1:8" ht="41.25" customHeight="1" x14ac:dyDescent="0.25">
      <c r="A147" s="13"/>
      <c r="B147" s="33" t="s">
        <v>941</v>
      </c>
      <c r="C147" s="5" t="s">
        <v>942</v>
      </c>
      <c r="D147" s="5" t="s">
        <v>8</v>
      </c>
      <c r="E147" s="23">
        <f>MIN(MAX(IF($E$73&lt;=1,E149,IF($E$73&lt;=2,E151,IF($E$73&lt;=3,E153,0))),0),E13)</f>
        <v>61.092602897833842</v>
      </c>
      <c r="F147" s="6"/>
      <c r="G147" s="29"/>
      <c r="H147" s="85"/>
    </row>
    <row r="148" spans="1:8" ht="39.75" customHeight="1" x14ac:dyDescent="0.25">
      <c r="A148" s="13"/>
      <c r="B148" s="105" t="s">
        <v>816</v>
      </c>
      <c r="C148" s="5" t="s">
        <v>942</v>
      </c>
      <c r="D148" s="5" t="s">
        <v>8</v>
      </c>
      <c r="F148" s="6" t="s">
        <v>943</v>
      </c>
      <c r="H148" s="85"/>
    </row>
    <row r="149" spans="1:8" x14ac:dyDescent="0.25">
      <c r="A149" s="13"/>
      <c r="B149" s="105"/>
      <c r="C149" s="5" t="s">
        <v>942</v>
      </c>
      <c r="D149" s="5" t="s">
        <v>8</v>
      </c>
      <c r="E149" s="23">
        <f>((2*E17*E14*E50)+(0.85*E83*E53*E51))/((4*E50*E17)+(0.85*E83*E53))</f>
        <v>61.092602897833842</v>
      </c>
      <c r="F149" s="6"/>
      <c r="H149" s="112"/>
    </row>
    <row r="150" spans="1:8" ht="39.75" customHeight="1" x14ac:dyDescent="0.25">
      <c r="A150" s="13"/>
      <c r="B150" s="105" t="s">
        <v>818</v>
      </c>
      <c r="C150" s="5" t="s">
        <v>942</v>
      </c>
      <c r="D150" s="5" t="s">
        <v>8</v>
      </c>
      <c r="F150" s="6" t="s">
        <v>944</v>
      </c>
      <c r="H150" s="112"/>
    </row>
    <row r="151" spans="1:8" x14ac:dyDescent="0.25">
      <c r="A151" s="13"/>
      <c r="B151" s="105"/>
      <c r="C151" s="5" t="s">
        <v>942</v>
      </c>
      <c r="D151" s="5" t="s">
        <v>8</v>
      </c>
      <c r="E151" s="23">
        <f>((2*E17*E14*E50)+(0.35*E83*E53*E51))/((4*E50*E17)+(0.35*E83*E53))</f>
        <v>78.674092567697343</v>
      </c>
      <c r="F151" s="6"/>
      <c r="H151" s="112"/>
    </row>
    <row r="152" spans="1:8" ht="39.75" customHeight="1" x14ac:dyDescent="0.25">
      <c r="A152" s="13"/>
      <c r="B152" s="105" t="s">
        <v>820</v>
      </c>
      <c r="C152" s="5" t="s">
        <v>942</v>
      </c>
      <c r="D152" s="5" t="s">
        <v>8</v>
      </c>
      <c r="F152" s="6" t="s">
        <v>945</v>
      </c>
      <c r="H152" s="112"/>
    </row>
    <row r="153" spans="1:8" x14ac:dyDescent="0.25">
      <c r="A153" s="13"/>
      <c r="B153" s="33"/>
      <c r="C153" s="5" t="s">
        <v>942</v>
      </c>
      <c r="D153" s="5" t="s">
        <v>8</v>
      </c>
      <c r="E153" s="23">
        <f>((E17*E14*E50)+((0.35*E83+E17-E102)*E53*E51))/((E50*(E102+E17))+(0.35*E83*E53))</f>
        <v>-98.710765668926754</v>
      </c>
      <c r="F153" s="6"/>
      <c r="H153" s="112"/>
    </row>
    <row r="154" spans="1:8" ht="13.5" customHeight="1" x14ac:dyDescent="0.25">
      <c r="A154" s="13"/>
      <c r="B154" s="33"/>
      <c r="C154" s="5"/>
      <c r="D154" s="5"/>
      <c r="E154" s="23"/>
      <c r="F154" s="6"/>
      <c r="H154" s="112"/>
    </row>
    <row r="155" spans="1:8" ht="30" x14ac:dyDescent="0.25">
      <c r="A155" s="13"/>
      <c r="B155" s="100" t="s">
        <v>946</v>
      </c>
      <c r="C155" s="5"/>
      <c r="D155" s="5"/>
      <c r="E155" s="23"/>
      <c r="F155" s="6"/>
      <c r="H155"/>
    </row>
    <row r="156" spans="1:8" x14ac:dyDescent="0.25">
      <c r="A156" s="13"/>
      <c r="B156" s="231" t="s">
        <v>947</v>
      </c>
      <c r="C156" s="232" t="s">
        <v>948</v>
      </c>
      <c r="D156" s="232" t="s">
        <v>949</v>
      </c>
      <c r="E156" s="233" t="s">
        <v>950</v>
      </c>
      <c r="F156" s="6"/>
      <c r="H156" s="112"/>
    </row>
    <row r="157" spans="1:8" x14ac:dyDescent="0.25">
      <c r="A157" s="13"/>
      <c r="B157" s="234" t="s">
        <v>951</v>
      </c>
      <c r="C157" s="235">
        <f>E54*MIN(E50,E139)*IF(E73&lt;=2,E17,IF(E73&lt;=3,E102,0))/10^3</f>
        <v>515.20000000000005</v>
      </c>
      <c r="D157" s="235">
        <f>E139-MIN(E15,E139)/2</f>
        <v>100.28517460163705</v>
      </c>
      <c r="E157" s="236">
        <f t="shared" ref="E157:E164" si="1">C157*D157/10^3</f>
        <v>51.66692195476341</v>
      </c>
      <c r="F157" s="6"/>
      <c r="H157" s="112"/>
    </row>
    <row r="158" spans="1:8" x14ac:dyDescent="0.25">
      <c r="A158" s="13"/>
      <c r="B158" s="234" t="s">
        <v>952</v>
      </c>
      <c r="C158" s="235">
        <f>2*E139*E51*IF(E73&lt;=1,E17,IF(E73&lt;=2,0.5*E17,IF(E73&lt;=3,E104,0)))/10^3</f>
        <v>583.99697776916753</v>
      </c>
      <c r="D158" s="235">
        <f>IF(E73&lt;=1,E139/2,IF(E73&lt;=3,2/3*E139,0))</f>
        <v>52.142587300818526</v>
      </c>
      <c r="E158" s="236">
        <f t="shared" si="1"/>
        <v>30.451113396742993</v>
      </c>
      <c r="F158" s="6"/>
      <c r="H158"/>
    </row>
    <row r="159" spans="1:8" x14ac:dyDescent="0.25">
      <c r="A159" s="13"/>
      <c r="B159" s="234" t="s">
        <v>953</v>
      </c>
      <c r="C159" s="235">
        <f>IF(E73&lt;=1,E54*MAX(E139-E50,0)*0.85*E83/10^3,IF(E73&lt;=3,0.5*E54*MAX(E139-E50,0)*0.35*E83/10^3,0))</f>
        <v>512.00604446166517</v>
      </c>
      <c r="D159" s="235">
        <f>IF(E73&lt;=1,MAX(E139-E50,0)/2,IF(E73&lt;=3,2/3*MAX(E139-E50,0),0))</f>
        <v>48.142587300818526</v>
      </c>
      <c r="E159" s="236">
        <f t="shared" si="1"/>
        <v>24.64929569404249</v>
      </c>
      <c r="F159" s="6"/>
      <c r="H159" s="112"/>
    </row>
    <row r="160" spans="1:8" x14ac:dyDescent="0.25">
      <c r="A160" s="13"/>
      <c r="B160" s="234" t="s">
        <v>954</v>
      </c>
      <c r="C160" s="235">
        <f>IF(E139&lt;=(E13-E15),0,E54*(E139-(E13-E15))*E17/10^3)</f>
        <v>0</v>
      </c>
      <c r="D160" s="235">
        <f>IF(E139&lt;=(E13-E15),0,E139-(E139-(E13-E15))/2)</f>
        <v>0</v>
      </c>
      <c r="E160" s="236">
        <f t="shared" si="1"/>
        <v>0</v>
      </c>
      <c r="F160" s="6"/>
      <c r="H160"/>
    </row>
    <row r="161" spans="1:12" x14ac:dyDescent="0.25">
      <c r="A161" s="13"/>
      <c r="B161" s="234" t="s">
        <v>955</v>
      </c>
      <c r="C161" s="235">
        <f>IF(E139&gt;=E15,0,E54*(E50-E139)*IF(E73&lt;=2,E17,IF(E73&lt;=3,E102,0))/10^3)</f>
        <v>0</v>
      </c>
      <c r="D161" s="235">
        <f>IF(E139&gt;=E15,0,(E50-E139)/2)</f>
        <v>0</v>
      </c>
      <c r="E161" s="236">
        <f t="shared" si="1"/>
        <v>0</v>
      </c>
      <c r="F161" s="6"/>
      <c r="H161"/>
    </row>
    <row r="162" spans="1:12" x14ac:dyDescent="0.25">
      <c r="A162" s="13"/>
      <c r="B162" s="234" t="s">
        <v>956</v>
      </c>
      <c r="C162" s="235">
        <f>IF(E73=2,2*E139*E51*0.5*E17/10^3,0)</f>
        <v>0</v>
      </c>
      <c r="D162" s="235">
        <f>IF(E73=2,2/3*E139,0)</f>
        <v>0</v>
      </c>
      <c r="E162" s="236">
        <f t="shared" si="1"/>
        <v>0</v>
      </c>
      <c r="F162" s="6"/>
      <c r="H162" s="112"/>
    </row>
    <row r="163" spans="1:12" x14ac:dyDescent="0.25">
      <c r="A163" s="13"/>
      <c r="B163" s="234" t="s">
        <v>957</v>
      </c>
      <c r="C163" s="235">
        <f>IF(E73&lt;=1,2*(E13-E139)*E51*E17/10^3,IF(E73&lt;=2,2*(E13-2*E139)*E51*E17/10^3,IF(E73&lt;=3,2*(E13-E139)*E51*0.5*E17/10^3,0)))</f>
        <v>1096.0030222308326</v>
      </c>
      <c r="D163" s="235">
        <f>IF(E73&lt;=1,(E13-E139)/2,IF(E73&lt;=3,2/3*(E13-2*E139),IF(E73&lt;=3,2/3*(E13-E139),0)))</f>
        <v>97.857412699181481</v>
      </c>
      <c r="E163" s="236">
        <f t="shared" si="1"/>
        <v>107.25202006599277</v>
      </c>
      <c r="F163" s="6"/>
      <c r="H163"/>
    </row>
    <row r="164" spans="1:12" x14ac:dyDescent="0.25">
      <c r="A164" s="13"/>
      <c r="B164" s="234" t="s">
        <v>958</v>
      </c>
      <c r="C164" s="235">
        <f>E54*MIN(E15,E13-E139)*E17/10^3</f>
        <v>515.20000000000005</v>
      </c>
      <c r="D164" s="235">
        <f>E13-E139-MIN(E15,E13-E139)/2</f>
        <v>191.71482539836296</v>
      </c>
      <c r="E164" s="236">
        <f t="shared" si="1"/>
        <v>98.771478045236606</v>
      </c>
      <c r="F164" s="6"/>
      <c r="H164"/>
    </row>
    <row r="165" spans="1:12" ht="30" x14ac:dyDescent="0.25">
      <c r="A165" s="13"/>
      <c r="B165" s="237" t="s">
        <v>959</v>
      </c>
      <c r="C165" s="77" t="s">
        <v>960</v>
      </c>
      <c r="D165" s="77" t="s">
        <v>7</v>
      </c>
      <c r="E165" s="78">
        <f>SUM(E157:E164)</f>
        <v>312.79082915677827</v>
      </c>
      <c r="F165" s="6"/>
      <c r="H165"/>
    </row>
    <row r="166" spans="1:12" x14ac:dyDescent="0.25">
      <c r="A166" s="13"/>
      <c r="B166" s="33"/>
      <c r="C166" s="5"/>
      <c r="D166" s="5"/>
      <c r="E166" s="23"/>
      <c r="F166" s="6"/>
      <c r="H166"/>
    </row>
    <row r="167" spans="1:12" ht="30" x14ac:dyDescent="0.25">
      <c r="A167" s="13"/>
      <c r="B167" s="100" t="s">
        <v>961</v>
      </c>
      <c r="C167" s="5"/>
      <c r="D167" s="5"/>
      <c r="E167" s="23"/>
      <c r="F167" s="6"/>
      <c r="H167"/>
    </row>
    <row r="168" spans="1:12" x14ac:dyDescent="0.25">
      <c r="A168" s="13"/>
      <c r="B168" s="231" t="s">
        <v>947</v>
      </c>
      <c r="C168" s="232" t="s">
        <v>948</v>
      </c>
      <c r="D168" s="232" t="s">
        <v>949</v>
      </c>
      <c r="E168" s="233" t="s">
        <v>950</v>
      </c>
      <c r="F168" s="6"/>
      <c r="H168"/>
      <c r="I168" s="60"/>
    </row>
    <row r="169" spans="1:12" x14ac:dyDescent="0.25">
      <c r="A169" s="13"/>
      <c r="B169" s="234" t="s">
        <v>951</v>
      </c>
      <c r="C169" s="235">
        <f>E53*MIN(E51,E147)*IF(E73&lt;=2,E17,IF(E73&lt;=3,E102,0))/10^3</f>
        <v>795.2</v>
      </c>
      <c r="D169" s="235">
        <f>E147-MIN(E16,E147)/2</f>
        <v>57.092602897833842</v>
      </c>
      <c r="E169" s="236">
        <f>C169*D169/10^3</f>
        <v>45.400037824357476</v>
      </c>
      <c r="F169" s="6"/>
      <c r="H169"/>
      <c r="J169" s="60"/>
      <c r="K169" s="60"/>
      <c r="L169" s="60"/>
    </row>
    <row r="170" spans="1:12" x14ac:dyDescent="0.25">
      <c r="A170" s="13"/>
      <c r="B170" s="234" t="s">
        <v>952</v>
      </c>
      <c r="C170" s="235">
        <f>2*E147*E50*IF(E73&lt;=1,E17,IF(E73&lt;=2,0.5*E17,IF(E73&lt;=3,E104,0)))/10^3</f>
        <v>342.11857622786948</v>
      </c>
      <c r="D170" s="235">
        <f>IF(E73&lt;=1,E147/2,IF(E73&lt;=3,2/3*E147,0))</f>
        <v>30.546301448916921</v>
      </c>
      <c r="E170" s="236">
        <f t="shared" ref="E170:E176" si="2">C170*D170/10^3</f>
        <v>10.450457160730764</v>
      </c>
      <c r="F170" s="6"/>
      <c r="H170"/>
      <c r="J170" s="60"/>
      <c r="K170" s="60"/>
      <c r="L170" s="60"/>
    </row>
    <row r="171" spans="1:12" x14ac:dyDescent="0.25">
      <c r="A171" s="13"/>
      <c r="B171" s="234" t="s">
        <v>953</v>
      </c>
      <c r="C171" s="235">
        <f>IF(E73&lt;=1,E53*MAX(E147-E51,0)*0.85*E83/10^3,IF(E73&lt;=3,0.5*E53*MAX(E147-E51,0)*0.35*E83/10^3,0))</f>
        <v>435.76284754426104</v>
      </c>
      <c r="D171" s="235">
        <f>IF(E73&lt;=1,MAX(E147-E51,0)/2,IF(E73&lt;=3,2/3*MAX(E147-E51,0),0))</f>
        <v>26.546301448916921</v>
      </c>
      <c r="E171" s="236">
        <f t="shared" si="2"/>
        <v>11.567891911148379</v>
      </c>
      <c r="F171" s="6"/>
      <c r="H171"/>
      <c r="J171" s="60"/>
      <c r="K171" s="60"/>
      <c r="L171" s="60"/>
    </row>
    <row r="172" spans="1:12" x14ac:dyDescent="0.25">
      <c r="A172" s="13"/>
      <c r="B172" s="234" t="s">
        <v>954</v>
      </c>
      <c r="C172" s="235">
        <f>IF(E147&lt;=(E14-E16),0,E53*(E147-(E14-E16))*E17/10^3)</f>
        <v>0</v>
      </c>
      <c r="D172" s="235">
        <f>IF(E147&lt;=(E14-E16),0,E147-(E147-(E14-E16))/2)</f>
        <v>0</v>
      </c>
      <c r="E172" s="236">
        <f t="shared" si="2"/>
        <v>0</v>
      </c>
      <c r="F172" s="6"/>
      <c r="H172"/>
      <c r="J172" s="60"/>
      <c r="K172" s="60"/>
      <c r="L172" s="60"/>
    </row>
    <row r="173" spans="1:12" x14ac:dyDescent="0.25">
      <c r="A173" s="13"/>
      <c r="B173" s="234" t="s">
        <v>955</v>
      </c>
      <c r="C173" s="235">
        <f>IF(E147&gt;=E16,0,E53*(E51-E147)*IF(E73&lt;=2,E17,IF(E73&lt;=3,E102,0))/10^3)</f>
        <v>0</v>
      </c>
      <c r="D173" s="235">
        <f>IF(E147&gt;=E16,0,(E51-E147)/2)</f>
        <v>0</v>
      </c>
      <c r="E173" s="236">
        <f t="shared" si="2"/>
        <v>0</v>
      </c>
      <c r="F173" s="6"/>
      <c r="H173"/>
      <c r="J173" s="60"/>
      <c r="K173" s="60"/>
      <c r="L173" s="60"/>
    </row>
    <row r="174" spans="1:12" x14ac:dyDescent="0.25">
      <c r="A174" s="13"/>
      <c r="B174" s="234" t="s">
        <v>956</v>
      </c>
      <c r="C174" s="235">
        <f>IF(E73=2,2*E147*E50*0.5*E17/10^3,0)</f>
        <v>0</v>
      </c>
      <c r="D174" s="235">
        <f>IF(E73=2,2/3*E147,0)</f>
        <v>0</v>
      </c>
      <c r="E174" s="236">
        <f t="shared" si="2"/>
        <v>0</v>
      </c>
      <c r="F174" s="6"/>
      <c r="H174"/>
      <c r="K174" s="60"/>
      <c r="L174" s="60"/>
    </row>
    <row r="175" spans="1:12" x14ac:dyDescent="0.25">
      <c r="A175" s="13"/>
      <c r="B175" s="234" t="s">
        <v>957</v>
      </c>
      <c r="C175" s="235">
        <f>IF(E73&lt;=1,2*(E14-E147)*E50*E17/10^3,IF(E73&lt;=2,2*(E14-2*E147)*E50*E17/10^3,IF(E73&lt;=3,2*(E14-E147)*E50*0.5*E17/10^3,0)))</f>
        <v>777.88142377213046</v>
      </c>
      <c r="D175" s="235">
        <f>IF(E73&lt;=1,(E14-E147)/2,IF(E73&lt;=3,2/3*(E14-2*E147),IF(E73&lt;=3,2/3*(E14-E147),0)))</f>
        <v>69.453698551083079</v>
      </c>
      <c r="E175" s="236">
        <f t="shared" si="2"/>
        <v>54.026741915156862</v>
      </c>
      <c r="F175" s="6"/>
      <c r="H175"/>
    </row>
    <row r="176" spans="1:12" x14ac:dyDescent="0.25">
      <c r="A176" s="13"/>
      <c r="B176" s="234" t="s">
        <v>958</v>
      </c>
      <c r="C176" s="235">
        <f>E53*MIN(E16,E14-E147)*E17/10^3</f>
        <v>795.2</v>
      </c>
      <c r="D176" s="235">
        <f>E14-E147-MIN(E16,E14-E147)/2</f>
        <v>134.90739710216616</v>
      </c>
      <c r="E176" s="236">
        <f t="shared" si="2"/>
        <v>107.27836217564254</v>
      </c>
      <c r="F176" s="6"/>
      <c r="H176"/>
    </row>
    <row r="177" spans="1:8" ht="30" x14ac:dyDescent="0.25">
      <c r="A177" s="13"/>
      <c r="B177" s="237" t="s">
        <v>962</v>
      </c>
      <c r="C177" s="77" t="s">
        <v>963</v>
      </c>
      <c r="D177" s="77" t="s">
        <v>7</v>
      </c>
      <c r="E177" s="78">
        <f>SUM(E169:E176)</f>
        <v>228.72349098703603</v>
      </c>
      <c r="F177" s="6"/>
      <c r="H177"/>
    </row>
    <row r="178" spans="1:8" x14ac:dyDescent="0.25">
      <c r="A178" s="13"/>
      <c r="B178" s="33"/>
      <c r="C178" s="5"/>
      <c r="D178" s="5"/>
      <c r="E178" s="23"/>
      <c r="F178" s="6"/>
      <c r="H178"/>
    </row>
    <row r="179" spans="1:8" ht="30" x14ac:dyDescent="0.25">
      <c r="A179" s="26"/>
      <c r="B179" s="69" t="s">
        <v>850</v>
      </c>
      <c r="C179" s="24" t="s">
        <v>851</v>
      </c>
      <c r="D179" s="24" t="s">
        <v>7</v>
      </c>
      <c r="E179" s="44">
        <f>E44*E165</f>
        <v>281.51174624110047</v>
      </c>
      <c r="F179" s="6"/>
      <c r="H179"/>
    </row>
    <row r="180" spans="1:8" x14ac:dyDescent="0.25">
      <c r="A180" s="26"/>
      <c r="B180" s="33"/>
      <c r="C180" s="62" t="s">
        <v>172</v>
      </c>
      <c r="D180" s="65"/>
      <c r="E180" s="64">
        <f>ABS(E8)/E179</f>
        <v>0.55120257705731679</v>
      </c>
      <c r="F180" s="6"/>
      <c r="H180"/>
    </row>
    <row r="181" spans="1:8" x14ac:dyDescent="0.25">
      <c r="A181" s="26"/>
      <c r="B181" s="33"/>
      <c r="C181" s="5"/>
      <c r="D181" s="5"/>
      <c r="E181" s="28" t="str">
        <f>IF(E180&lt;=1,"PASS","FAIL")</f>
        <v>PASS</v>
      </c>
      <c r="F181" s="6"/>
      <c r="H181"/>
    </row>
    <row r="182" spans="1:8" ht="30" x14ac:dyDescent="0.25">
      <c r="A182" s="26"/>
      <c r="B182" s="69" t="s">
        <v>852</v>
      </c>
      <c r="C182" s="24" t="s">
        <v>853</v>
      </c>
      <c r="D182" s="24" t="s">
        <v>7</v>
      </c>
      <c r="E182" s="44">
        <f>E44*E177</f>
        <v>205.85114188833242</v>
      </c>
      <c r="F182" s="6"/>
      <c r="H182"/>
    </row>
    <row r="183" spans="1:8" x14ac:dyDescent="0.25">
      <c r="A183" s="26"/>
      <c r="B183" s="33"/>
      <c r="C183" s="62" t="s">
        <v>172</v>
      </c>
      <c r="D183" s="65"/>
      <c r="E183" s="64">
        <f>ABS(E9)/E182</f>
        <v>0.2156898406912193</v>
      </c>
      <c r="F183" s="6"/>
      <c r="H183"/>
    </row>
    <row r="184" spans="1:8" x14ac:dyDescent="0.25">
      <c r="A184" s="26"/>
      <c r="B184" s="33"/>
      <c r="C184" s="5"/>
      <c r="D184" s="5"/>
      <c r="E184" s="28" t="str">
        <f>IF(E183&lt;=1,"PASS","FAIL")</f>
        <v>PASS</v>
      </c>
      <c r="F184" s="6"/>
      <c r="H184"/>
    </row>
    <row r="185" spans="1:8" x14ac:dyDescent="0.25">
      <c r="A185" s="7"/>
      <c r="B185" s="33"/>
      <c r="C185" s="5"/>
      <c r="D185" s="5"/>
      <c r="E185" s="23"/>
      <c r="F185" s="6"/>
      <c r="H185"/>
    </row>
    <row r="186" spans="1:8" x14ac:dyDescent="0.25">
      <c r="A186" s="13" t="s">
        <v>854</v>
      </c>
      <c r="B186" s="67" t="s">
        <v>100</v>
      </c>
      <c r="C186" s="5"/>
      <c r="D186" s="5"/>
      <c r="E186" s="23"/>
      <c r="F186" s="6"/>
      <c r="H186"/>
    </row>
    <row r="187" spans="1:8" x14ac:dyDescent="0.25">
      <c r="A187" s="13"/>
      <c r="B187" s="22" t="s">
        <v>964</v>
      </c>
      <c r="C187" s="5" t="s">
        <v>965</v>
      </c>
      <c r="D187" s="5" t="s">
        <v>8</v>
      </c>
      <c r="E187" s="23" t="s">
        <v>966</v>
      </c>
      <c r="F187" s="6" t="s">
        <v>967</v>
      </c>
      <c r="H187"/>
    </row>
    <row r="188" spans="1:8" x14ac:dyDescent="0.25">
      <c r="A188" s="13"/>
      <c r="B188" s="67"/>
      <c r="C188" s="5" t="s">
        <v>965</v>
      </c>
      <c r="D188" s="5" t="s">
        <v>8</v>
      </c>
      <c r="E188" s="23">
        <f>E13-3*E15</f>
        <v>276</v>
      </c>
      <c r="F188" s="6"/>
      <c r="H188"/>
    </row>
    <row r="189" spans="1:8" x14ac:dyDescent="0.25">
      <c r="A189" s="13"/>
      <c r="B189" s="22" t="s">
        <v>968</v>
      </c>
      <c r="C189" s="5" t="s">
        <v>121</v>
      </c>
      <c r="D189" s="5" t="s">
        <v>8</v>
      </c>
      <c r="E189" s="23" t="s">
        <v>969</v>
      </c>
      <c r="F189" s="6" t="s">
        <v>967</v>
      </c>
      <c r="H189"/>
    </row>
    <row r="190" spans="1:8" x14ac:dyDescent="0.25">
      <c r="A190" s="13"/>
      <c r="B190" s="67"/>
      <c r="C190" s="5" t="s">
        <v>121</v>
      </c>
      <c r="D190" s="5" t="s">
        <v>8</v>
      </c>
      <c r="E190" s="23">
        <f>E14-3*E16</f>
        <v>176</v>
      </c>
      <c r="F190" s="6"/>
      <c r="H190"/>
    </row>
    <row r="191" spans="1:8" x14ac:dyDescent="0.25">
      <c r="A191" s="13"/>
      <c r="B191" s="22" t="s">
        <v>970</v>
      </c>
      <c r="C191" s="5" t="s">
        <v>971</v>
      </c>
      <c r="D191" s="5" t="s">
        <v>236</v>
      </c>
      <c r="E191" s="23">
        <v>5</v>
      </c>
      <c r="F191" s="6" t="s">
        <v>967</v>
      </c>
      <c r="H191"/>
    </row>
    <row r="192" spans="1:8" x14ac:dyDescent="0.25">
      <c r="A192" s="13"/>
      <c r="B192" s="22" t="s">
        <v>970</v>
      </c>
      <c r="C192" s="5" t="s">
        <v>972</v>
      </c>
      <c r="D192" s="5" t="s">
        <v>236</v>
      </c>
      <c r="E192" s="23">
        <v>1.2</v>
      </c>
      <c r="F192" s="6" t="s">
        <v>973</v>
      </c>
      <c r="H192"/>
    </row>
    <row r="193" spans="1:8" ht="54" customHeight="1" x14ac:dyDescent="0.25">
      <c r="A193" s="13"/>
      <c r="B193" s="22" t="s">
        <v>974</v>
      </c>
      <c r="C193" s="5" t="s">
        <v>236</v>
      </c>
      <c r="D193" s="5" t="s">
        <v>236</v>
      </c>
      <c r="E193" s="23"/>
      <c r="F193" s="16" t="s">
        <v>975</v>
      </c>
      <c r="H193"/>
    </row>
    <row r="194" spans="1:8" x14ac:dyDescent="0.25">
      <c r="A194" s="13"/>
      <c r="B194" s="105" t="s">
        <v>976</v>
      </c>
      <c r="C194" s="5" t="s">
        <v>236</v>
      </c>
      <c r="D194" s="5" t="s">
        <v>236</v>
      </c>
      <c r="E194" s="23">
        <f>SQRT((E191*E19/E17))</f>
        <v>54.772255750516614</v>
      </c>
      <c r="F194" s="6"/>
      <c r="H194"/>
    </row>
    <row r="195" spans="1:8" x14ac:dyDescent="0.25">
      <c r="A195" s="13"/>
      <c r="B195" s="105" t="s">
        <v>977</v>
      </c>
      <c r="C195" s="5" t="s">
        <v>236</v>
      </c>
      <c r="D195" s="5" t="s">
        <v>236</v>
      </c>
      <c r="E195" s="23">
        <f>SQRT((E192*E19/E17))</f>
        <v>26.832815729997478</v>
      </c>
      <c r="F195" s="6"/>
      <c r="H195"/>
    </row>
    <row r="196" spans="1:8" x14ac:dyDescent="0.25">
      <c r="A196" s="13"/>
      <c r="B196" s="22" t="s">
        <v>89</v>
      </c>
      <c r="C196" s="5" t="s">
        <v>978</v>
      </c>
      <c r="D196" s="5" t="s">
        <v>236</v>
      </c>
      <c r="E196" s="23">
        <f>E188/E51</f>
        <v>34.5</v>
      </c>
      <c r="F196" s="6"/>
      <c r="H196"/>
    </row>
    <row r="197" spans="1:8" x14ac:dyDescent="0.25">
      <c r="A197" s="13"/>
      <c r="B197" s="22" t="s">
        <v>89</v>
      </c>
      <c r="C197" s="5" t="s">
        <v>336</v>
      </c>
      <c r="D197" s="5" t="s">
        <v>236</v>
      </c>
      <c r="E197" s="23">
        <f>E190/E50</f>
        <v>22</v>
      </c>
      <c r="F197" s="6"/>
      <c r="H197"/>
    </row>
    <row r="198" spans="1:8" x14ac:dyDescent="0.25">
      <c r="A198" s="13"/>
      <c r="B198" s="22"/>
      <c r="C198" s="5"/>
      <c r="D198" s="5"/>
      <c r="E198" s="23"/>
      <c r="F198" s="6"/>
      <c r="H198"/>
    </row>
    <row r="199" spans="1:8" ht="24" customHeight="1" x14ac:dyDescent="0.25">
      <c r="A199" s="13"/>
      <c r="B199" s="22" t="s">
        <v>970</v>
      </c>
      <c r="C199" s="5" t="s">
        <v>979</v>
      </c>
      <c r="D199" s="5" t="s">
        <v>236</v>
      </c>
      <c r="E199" s="23"/>
      <c r="F199" s="16" t="s">
        <v>975</v>
      </c>
      <c r="H199"/>
    </row>
    <row r="200" spans="1:8" x14ac:dyDescent="0.25">
      <c r="A200" s="13"/>
      <c r="B200" s="67"/>
      <c r="C200" s="5"/>
      <c r="D200" s="5"/>
      <c r="E200" s="23"/>
      <c r="F200" s="6"/>
      <c r="H200"/>
    </row>
    <row r="201" spans="1:8" x14ac:dyDescent="0.25">
      <c r="A201" s="13"/>
      <c r="B201" s="67"/>
      <c r="C201" s="5"/>
      <c r="D201" s="5"/>
      <c r="E201" s="23"/>
      <c r="F201" s="6"/>
      <c r="H201"/>
    </row>
    <row r="202" spans="1:8" x14ac:dyDescent="0.25">
      <c r="A202" s="13"/>
      <c r="B202" s="67"/>
      <c r="C202" s="5"/>
      <c r="D202" s="5"/>
      <c r="E202" s="23"/>
      <c r="F202" s="6"/>
      <c r="H202"/>
    </row>
    <row r="203" spans="1:8" x14ac:dyDescent="0.25">
      <c r="A203" s="13"/>
      <c r="B203" s="67"/>
      <c r="C203" s="5"/>
      <c r="D203" s="5"/>
      <c r="E203" s="23"/>
      <c r="F203" s="6"/>
      <c r="H203"/>
    </row>
    <row r="204" spans="1:8" x14ac:dyDescent="0.25">
      <c r="A204" s="13"/>
      <c r="B204" s="67"/>
      <c r="C204" s="5"/>
      <c r="D204" s="5"/>
      <c r="E204" s="23"/>
      <c r="F204" s="6"/>
      <c r="H204"/>
    </row>
    <row r="205" spans="1:8" x14ac:dyDescent="0.25">
      <c r="A205" s="13"/>
      <c r="B205" s="67"/>
      <c r="C205" s="5"/>
      <c r="D205" s="5"/>
      <c r="E205" s="23"/>
      <c r="F205" s="6"/>
      <c r="H205"/>
    </row>
    <row r="206" spans="1:8" x14ac:dyDescent="0.25">
      <c r="A206" s="13"/>
      <c r="B206" s="67"/>
      <c r="C206" s="5"/>
      <c r="D206" s="5"/>
      <c r="E206" s="23"/>
      <c r="F206" s="6"/>
      <c r="H206"/>
    </row>
    <row r="207" spans="1:8" x14ac:dyDescent="0.25">
      <c r="A207" s="13"/>
      <c r="B207" s="67"/>
      <c r="C207" s="5"/>
      <c r="D207" s="5"/>
      <c r="E207" s="23"/>
      <c r="F207" s="6"/>
      <c r="H207"/>
    </row>
    <row r="208" spans="1:8" x14ac:dyDescent="0.25">
      <c r="A208" s="13"/>
      <c r="B208" s="67"/>
      <c r="C208" s="5"/>
      <c r="D208" s="5"/>
      <c r="E208" s="23"/>
      <c r="F208" s="6"/>
      <c r="H208"/>
    </row>
    <row r="209" spans="1:8" x14ac:dyDescent="0.25">
      <c r="A209" s="13"/>
      <c r="B209" s="67"/>
      <c r="C209" s="5"/>
      <c r="D209" s="5"/>
      <c r="E209" s="23"/>
      <c r="F209" s="6"/>
      <c r="H209"/>
    </row>
    <row r="210" spans="1:8" x14ac:dyDescent="0.25">
      <c r="A210" s="13"/>
      <c r="B210" s="67"/>
      <c r="C210" s="5"/>
      <c r="D210" s="5"/>
      <c r="E210" s="23"/>
      <c r="F210" s="6"/>
      <c r="H210"/>
    </row>
    <row r="211" spans="1:8" x14ac:dyDescent="0.25">
      <c r="A211" s="13"/>
      <c r="B211" s="67"/>
      <c r="C211" s="5"/>
      <c r="D211" s="5"/>
      <c r="E211" s="23"/>
      <c r="F211" s="6"/>
      <c r="H211"/>
    </row>
    <row r="212" spans="1:8" x14ac:dyDescent="0.25">
      <c r="A212" s="13"/>
      <c r="B212" s="67"/>
      <c r="C212" s="5" t="s">
        <v>979</v>
      </c>
      <c r="D212" s="5" t="s">
        <v>236</v>
      </c>
      <c r="E212" s="23">
        <f>IF(E196&lt;=(1.1*E194),1,IF(E196&lt;=(1.37*E194),(1.1*E194)/E196,(1.51*E19*E191)/(E196^2*E17)))</f>
        <v>1</v>
      </c>
      <c r="F212" s="6"/>
      <c r="H212"/>
    </row>
    <row r="213" spans="1:8" x14ac:dyDescent="0.25">
      <c r="A213" s="13"/>
      <c r="B213" s="67"/>
      <c r="C213" s="5"/>
      <c r="D213" s="5"/>
      <c r="E213" s="23"/>
      <c r="F213" s="6"/>
      <c r="H213"/>
    </row>
    <row r="214" spans="1:8" ht="24" customHeight="1" x14ac:dyDescent="0.25">
      <c r="A214" s="13"/>
      <c r="B214" s="22" t="s">
        <v>970</v>
      </c>
      <c r="C214" s="5" t="s">
        <v>980</v>
      </c>
      <c r="D214" s="5" t="s">
        <v>236</v>
      </c>
      <c r="E214" s="23"/>
      <c r="F214" s="16" t="s">
        <v>975</v>
      </c>
      <c r="H214"/>
    </row>
    <row r="215" spans="1:8" x14ac:dyDescent="0.25">
      <c r="A215" s="13"/>
      <c r="B215" s="67"/>
      <c r="C215" s="5"/>
      <c r="D215" s="5"/>
      <c r="E215" s="23"/>
      <c r="F215" s="6"/>
      <c r="H215"/>
    </row>
    <row r="216" spans="1:8" x14ac:dyDescent="0.25">
      <c r="A216" s="13"/>
      <c r="B216" s="67"/>
      <c r="C216" s="5"/>
      <c r="D216" s="5"/>
      <c r="E216" s="23"/>
      <c r="F216" s="6"/>
      <c r="H216"/>
    </row>
    <row r="217" spans="1:8" x14ac:dyDescent="0.25">
      <c r="A217" s="13"/>
      <c r="B217" s="67"/>
      <c r="C217" s="5"/>
      <c r="D217" s="5"/>
      <c r="E217" s="23"/>
      <c r="F217" s="6"/>
      <c r="H217"/>
    </row>
    <row r="218" spans="1:8" x14ac:dyDescent="0.25">
      <c r="A218" s="13"/>
      <c r="B218" s="67"/>
      <c r="C218" s="5"/>
      <c r="D218" s="5"/>
      <c r="E218" s="23"/>
      <c r="F218" s="6"/>
      <c r="H218"/>
    </row>
    <row r="219" spans="1:8" x14ac:dyDescent="0.25">
      <c r="A219" s="13"/>
      <c r="B219" s="67"/>
      <c r="C219" s="5"/>
      <c r="D219" s="5"/>
      <c r="E219" s="23"/>
      <c r="F219" s="6"/>
      <c r="H219"/>
    </row>
    <row r="220" spans="1:8" x14ac:dyDescent="0.25">
      <c r="A220" s="13"/>
      <c r="B220" s="67"/>
      <c r="C220" s="5"/>
      <c r="D220" s="5"/>
      <c r="E220" s="23"/>
      <c r="F220" s="6"/>
      <c r="H220"/>
    </row>
    <row r="221" spans="1:8" x14ac:dyDescent="0.25">
      <c r="A221" s="13"/>
      <c r="B221" s="67"/>
      <c r="C221" s="5"/>
      <c r="D221" s="5"/>
      <c r="E221" s="23"/>
      <c r="F221" s="6"/>
      <c r="H221"/>
    </row>
    <row r="222" spans="1:8" x14ac:dyDescent="0.25">
      <c r="A222" s="13"/>
      <c r="B222" s="67"/>
      <c r="C222" s="5"/>
      <c r="D222" s="5"/>
      <c r="E222" s="23"/>
      <c r="F222" s="6"/>
      <c r="H222"/>
    </row>
    <row r="223" spans="1:8" x14ac:dyDescent="0.25">
      <c r="A223" s="13"/>
      <c r="B223" s="67"/>
      <c r="C223" s="5"/>
      <c r="D223" s="5"/>
      <c r="E223" s="23"/>
      <c r="F223" s="6"/>
      <c r="H223"/>
    </row>
    <row r="224" spans="1:8" x14ac:dyDescent="0.25">
      <c r="A224" s="13"/>
      <c r="B224" s="67"/>
      <c r="C224" s="5"/>
      <c r="D224" s="5"/>
      <c r="E224" s="23"/>
      <c r="F224" s="6"/>
      <c r="H224"/>
    </row>
    <row r="225" spans="1:8" x14ac:dyDescent="0.25">
      <c r="A225" s="13"/>
      <c r="B225" s="67"/>
      <c r="C225" s="5"/>
      <c r="D225" s="5"/>
      <c r="E225" s="23"/>
      <c r="F225" s="6"/>
      <c r="H225"/>
    </row>
    <row r="226" spans="1:8" x14ac:dyDescent="0.25">
      <c r="A226" s="13"/>
      <c r="B226" s="67"/>
      <c r="C226" s="5"/>
      <c r="D226" s="5"/>
      <c r="E226" s="23"/>
      <c r="F226" s="6"/>
      <c r="H226"/>
    </row>
    <row r="227" spans="1:8" x14ac:dyDescent="0.25">
      <c r="A227" s="13"/>
      <c r="B227" s="67"/>
      <c r="C227" s="5" t="s">
        <v>979</v>
      </c>
      <c r="D227" s="5" t="s">
        <v>236</v>
      </c>
      <c r="E227" s="23">
        <f>IF(E197&lt;=(1.1*E195),1,IF(E197&lt;=(1.37*E195),(1.1*E195)/E197,(1.51*E19*E192)/(E197^2*E17)))</f>
        <v>1</v>
      </c>
      <c r="F227" s="6"/>
      <c r="H227"/>
    </row>
    <row r="228" spans="1:8" x14ac:dyDescent="0.25">
      <c r="A228" s="13"/>
      <c r="B228" s="67"/>
      <c r="C228" s="5"/>
      <c r="D228" s="5"/>
      <c r="E228" s="23"/>
      <c r="F228" s="6"/>
      <c r="H228"/>
    </row>
    <row r="229" spans="1:8" x14ac:dyDescent="0.25">
      <c r="A229" s="13"/>
      <c r="B229" s="22" t="s">
        <v>981</v>
      </c>
      <c r="C229" s="5" t="s">
        <v>982</v>
      </c>
      <c r="D229" s="5" t="s">
        <v>34</v>
      </c>
      <c r="E229" s="23" t="s">
        <v>983</v>
      </c>
      <c r="F229" s="6" t="s">
        <v>967</v>
      </c>
      <c r="H229"/>
    </row>
    <row r="230" spans="1:8" x14ac:dyDescent="0.25">
      <c r="A230" s="13"/>
      <c r="B230" s="22"/>
      <c r="C230" s="5" t="s">
        <v>982</v>
      </c>
      <c r="D230" s="5" t="s">
        <v>34</v>
      </c>
      <c r="E230" s="23">
        <f>2*E188*E51</f>
        <v>4416</v>
      </c>
      <c r="F230" s="6"/>
      <c r="H230"/>
    </row>
    <row r="231" spans="1:8" x14ac:dyDescent="0.25">
      <c r="A231" s="13"/>
      <c r="B231" s="22" t="s">
        <v>984</v>
      </c>
      <c r="C231" s="5" t="s">
        <v>985</v>
      </c>
      <c r="D231" s="5" t="s">
        <v>34</v>
      </c>
      <c r="E231" s="23" t="s">
        <v>986</v>
      </c>
      <c r="F231" s="6" t="s">
        <v>973</v>
      </c>
      <c r="H231"/>
    </row>
    <row r="232" spans="1:8" x14ac:dyDescent="0.25">
      <c r="A232" s="13"/>
      <c r="B232" s="22"/>
      <c r="C232" s="5" t="s">
        <v>985</v>
      </c>
      <c r="D232" s="5" t="s">
        <v>34</v>
      </c>
      <c r="E232" s="23">
        <f>2*E190*E50</f>
        <v>2816</v>
      </c>
      <c r="F232" s="6"/>
      <c r="H232"/>
    </row>
    <row r="233" spans="1:8" x14ac:dyDescent="0.25">
      <c r="A233" s="13"/>
      <c r="B233" s="22"/>
      <c r="C233" s="5"/>
      <c r="D233" s="5"/>
      <c r="E233" s="23"/>
      <c r="F233" s="6"/>
      <c r="H233"/>
    </row>
    <row r="234" spans="1:8" x14ac:dyDescent="0.25">
      <c r="A234" s="13"/>
      <c r="B234" s="22" t="s">
        <v>857</v>
      </c>
      <c r="C234" s="5" t="s">
        <v>858</v>
      </c>
      <c r="D234" s="5" t="s">
        <v>12</v>
      </c>
      <c r="E234" s="23"/>
      <c r="F234" s="6" t="s">
        <v>987</v>
      </c>
      <c r="H234"/>
    </row>
    <row r="235" spans="1:8" ht="30" x14ac:dyDescent="0.25">
      <c r="A235" s="13"/>
      <c r="B235" s="22" t="s">
        <v>988</v>
      </c>
      <c r="C235" s="5" t="s">
        <v>989</v>
      </c>
      <c r="D235" s="5" t="s">
        <v>12</v>
      </c>
      <c r="F235" s="6"/>
      <c r="H235"/>
    </row>
    <row r="236" spans="1:8" ht="30" x14ac:dyDescent="0.25">
      <c r="A236" s="13"/>
      <c r="B236" s="22" t="s">
        <v>988</v>
      </c>
      <c r="C236" s="5" t="s">
        <v>989</v>
      </c>
      <c r="D236" s="5" t="s">
        <v>12</v>
      </c>
      <c r="E236" s="23">
        <f>0.6*E17*E230*E212/10^3</f>
        <v>927.36</v>
      </c>
      <c r="F236" s="6"/>
      <c r="H236"/>
    </row>
    <row r="237" spans="1:8" ht="30" x14ac:dyDescent="0.25">
      <c r="A237" s="13"/>
      <c r="B237" s="22" t="s">
        <v>990</v>
      </c>
      <c r="C237" s="5" t="s">
        <v>991</v>
      </c>
      <c r="D237" s="5" t="s">
        <v>12</v>
      </c>
      <c r="E237" s="23"/>
      <c r="F237" s="6"/>
      <c r="H237"/>
    </row>
    <row r="238" spans="1:8" ht="30" x14ac:dyDescent="0.25">
      <c r="A238" s="13"/>
      <c r="B238" s="22" t="s">
        <v>990</v>
      </c>
      <c r="C238" s="5" t="s">
        <v>991</v>
      </c>
      <c r="D238" s="5" t="s">
        <v>12</v>
      </c>
      <c r="E238" s="23">
        <f>0.6*E17*E232*E227/10^3</f>
        <v>591.36</v>
      </c>
      <c r="F238" s="6"/>
      <c r="H238"/>
    </row>
    <row r="239" spans="1:8" x14ac:dyDescent="0.25">
      <c r="A239" s="13"/>
      <c r="B239" s="22"/>
      <c r="C239" s="5"/>
      <c r="D239" s="5"/>
      <c r="E239" s="23"/>
      <c r="F239" s="6"/>
      <c r="H239"/>
    </row>
    <row r="240" spans="1:8" ht="30" x14ac:dyDescent="0.25">
      <c r="A240" s="26"/>
      <c r="B240" s="69" t="s">
        <v>376</v>
      </c>
      <c r="C240" s="24" t="s">
        <v>861</v>
      </c>
      <c r="D240" s="24" t="s">
        <v>12</v>
      </c>
      <c r="E240" s="44">
        <f>E45*E236</f>
        <v>834.62400000000002</v>
      </c>
      <c r="F240" s="6"/>
      <c r="H240"/>
    </row>
    <row r="241" spans="1:8" x14ac:dyDescent="0.25">
      <c r="A241" s="26"/>
      <c r="B241" s="33"/>
      <c r="C241" s="62" t="s">
        <v>172</v>
      </c>
      <c r="D241" s="65"/>
      <c r="E241" s="64">
        <f>ABS(E5)/E240</f>
        <v>6.2638984740434014E-2</v>
      </c>
      <c r="F241" s="6"/>
      <c r="H241"/>
    </row>
    <row r="242" spans="1:8" x14ac:dyDescent="0.25">
      <c r="A242" s="26"/>
      <c r="B242" s="33"/>
      <c r="C242" s="5"/>
      <c r="D242" s="5"/>
      <c r="E242" s="28" t="str">
        <f>IF(E241&lt;=1,"PASS","FAIL")</f>
        <v>PASS</v>
      </c>
      <c r="F242" s="6"/>
      <c r="H242"/>
    </row>
    <row r="243" spans="1:8" ht="30" x14ac:dyDescent="0.25">
      <c r="A243" s="26"/>
      <c r="B243" s="69" t="s">
        <v>375</v>
      </c>
      <c r="C243" s="24" t="s">
        <v>862</v>
      </c>
      <c r="D243" s="24" t="s">
        <v>12</v>
      </c>
      <c r="E243" s="44">
        <f>E45*E238</f>
        <v>532.22400000000005</v>
      </c>
      <c r="F243" s="6"/>
      <c r="H243"/>
    </row>
    <row r="244" spans="1:8" x14ac:dyDescent="0.25">
      <c r="A244" s="26"/>
      <c r="B244" s="33"/>
      <c r="C244" s="62" t="s">
        <v>172</v>
      </c>
      <c r="D244" s="65"/>
      <c r="E244" s="64">
        <f>ABS(E6)/E243</f>
        <v>0.15299948893698895</v>
      </c>
      <c r="F244" s="6"/>
      <c r="H244"/>
    </row>
    <row r="245" spans="1:8" x14ac:dyDescent="0.25">
      <c r="A245" s="7"/>
      <c r="B245" s="33"/>
      <c r="C245" s="5"/>
      <c r="D245" s="5"/>
      <c r="E245" s="28" t="str">
        <f>IF(E244&lt;=1,"PASS","FAIL")</f>
        <v>PASS</v>
      </c>
      <c r="F245" s="6"/>
      <c r="H245"/>
    </row>
    <row r="246" spans="1:8" x14ac:dyDescent="0.25">
      <c r="A246" s="7"/>
      <c r="B246" s="33"/>
      <c r="C246" s="5"/>
      <c r="D246" s="5"/>
      <c r="E246" s="28"/>
      <c r="F246" s="6"/>
      <c r="H246"/>
    </row>
    <row r="247" spans="1:8" x14ac:dyDescent="0.25">
      <c r="A247" s="13" t="s">
        <v>863</v>
      </c>
      <c r="B247" s="67" t="s">
        <v>864</v>
      </c>
      <c r="C247" s="5"/>
      <c r="D247" s="5"/>
      <c r="E247" s="23"/>
      <c r="F247" s="6"/>
      <c r="H247"/>
    </row>
    <row r="248" spans="1:8" ht="64.5" customHeight="1" x14ac:dyDescent="0.25">
      <c r="A248" s="7"/>
      <c r="B248" s="22" t="s">
        <v>865</v>
      </c>
      <c r="C248" s="226" t="s">
        <v>866</v>
      </c>
      <c r="D248" s="5" t="s">
        <v>236</v>
      </c>
      <c r="E248" s="23"/>
      <c r="F248" s="6" t="s">
        <v>867</v>
      </c>
      <c r="H248"/>
    </row>
    <row r="249" spans="1:8" x14ac:dyDescent="0.25">
      <c r="A249" s="7"/>
      <c r="B249" s="22"/>
      <c r="C249" s="226" t="s">
        <v>866</v>
      </c>
      <c r="D249" s="5" t="s">
        <v>236</v>
      </c>
      <c r="E249" s="40">
        <f>(2*(E14-E50)*(E13-E51)*MIN(E50,E51))-(4.5*(4-PI())*MIN(E50,E51)^3)</f>
        <v>895046.22947387083</v>
      </c>
      <c r="F249" s="6"/>
      <c r="H249"/>
    </row>
    <row r="250" spans="1:8" ht="50.1" customHeight="1" x14ac:dyDescent="0.25">
      <c r="A250" s="7"/>
      <c r="B250" s="22" t="s">
        <v>89</v>
      </c>
      <c r="C250" s="226" t="s">
        <v>236</v>
      </c>
      <c r="D250" s="5" t="s">
        <v>236</v>
      </c>
      <c r="E250" s="40"/>
      <c r="F250" s="6"/>
      <c r="H250"/>
    </row>
    <row r="251" spans="1:8" ht="17.25" customHeight="1" x14ac:dyDescent="0.25">
      <c r="A251" s="7"/>
      <c r="B251" s="22"/>
      <c r="C251" s="226" t="s">
        <v>236</v>
      </c>
      <c r="D251" s="5" t="s">
        <v>236</v>
      </c>
      <c r="E251" s="23">
        <f>SQRT(E19/E17)</f>
        <v>24.494897427831781</v>
      </c>
      <c r="F251" s="6"/>
      <c r="H251"/>
    </row>
    <row r="252" spans="1:8" ht="30" x14ac:dyDescent="0.25">
      <c r="A252" s="7"/>
      <c r="B252" s="22" t="s">
        <v>868</v>
      </c>
      <c r="C252" s="226" t="s">
        <v>873</v>
      </c>
      <c r="D252" s="5" t="s">
        <v>48</v>
      </c>
      <c r="E252" s="23"/>
      <c r="F252" s="6" t="s">
        <v>872</v>
      </c>
      <c r="G252" s="27"/>
      <c r="H252"/>
    </row>
    <row r="253" spans="1:8" x14ac:dyDescent="0.25">
      <c r="A253" s="7"/>
      <c r="B253" s="22"/>
      <c r="C253" s="226"/>
      <c r="D253" s="5"/>
      <c r="E253" s="23"/>
      <c r="F253" s="6"/>
      <c r="G253" s="27"/>
      <c r="H253"/>
    </row>
    <row r="254" spans="1:8" x14ac:dyDescent="0.25">
      <c r="A254" s="7"/>
      <c r="B254" s="22"/>
      <c r="C254" s="226"/>
      <c r="D254" s="5"/>
      <c r="E254" s="23"/>
      <c r="F254" s="6"/>
      <c r="G254" s="27"/>
      <c r="H254"/>
    </row>
    <row r="255" spans="1:8" x14ac:dyDescent="0.25">
      <c r="A255" s="7"/>
      <c r="B255" s="22"/>
      <c r="C255" s="226"/>
      <c r="D255" s="5"/>
      <c r="E255" s="23"/>
      <c r="F255" s="6"/>
      <c r="G255" s="27"/>
      <c r="H255"/>
    </row>
    <row r="256" spans="1:8" x14ac:dyDescent="0.25">
      <c r="A256" s="7"/>
      <c r="B256" s="22"/>
      <c r="C256" s="226"/>
      <c r="D256" s="5"/>
      <c r="E256" s="23"/>
      <c r="F256" s="6"/>
      <c r="G256" s="27"/>
      <c r="H256"/>
    </row>
    <row r="257" spans="1:8" x14ac:dyDescent="0.25">
      <c r="A257" s="7"/>
      <c r="B257" s="22"/>
      <c r="C257" s="226"/>
      <c r="D257" s="5"/>
      <c r="E257" s="23"/>
      <c r="F257" s="6"/>
      <c r="G257" s="27"/>
      <c r="H257"/>
    </row>
    <row r="258" spans="1:8" x14ac:dyDescent="0.25">
      <c r="A258" s="7"/>
      <c r="B258" s="22"/>
      <c r="C258" s="226"/>
      <c r="D258" s="5"/>
      <c r="E258" s="23"/>
      <c r="F258" s="6"/>
      <c r="G258" s="27"/>
      <c r="H258"/>
    </row>
    <row r="259" spans="1:8" x14ac:dyDescent="0.25">
      <c r="A259" s="7"/>
      <c r="B259" s="22"/>
      <c r="C259" s="226"/>
      <c r="D259" s="5"/>
      <c r="E259" s="23"/>
      <c r="F259" s="6"/>
      <c r="G259" s="27"/>
      <c r="H259"/>
    </row>
    <row r="260" spans="1:8" x14ac:dyDescent="0.25">
      <c r="A260" s="7"/>
      <c r="B260" s="22"/>
      <c r="C260" s="226"/>
      <c r="D260" s="5"/>
      <c r="E260" s="23"/>
      <c r="F260" s="6"/>
      <c r="G260" s="27"/>
      <c r="H260"/>
    </row>
    <row r="261" spans="1:8" x14ac:dyDescent="0.25">
      <c r="A261" s="7"/>
      <c r="B261" s="22"/>
      <c r="C261" s="226"/>
      <c r="D261" s="5"/>
      <c r="E261" s="23"/>
      <c r="F261" s="6"/>
      <c r="G261" s="27"/>
      <c r="H261"/>
    </row>
    <row r="262" spans="1:8" x14ac:dyDescent="0.25">
      <c r="A262" s="7"/>
      <c r="B262" s="22"/>
      <c r="C262" s="226"/>
      <c r="D262" s="5"/>
      <c r="E262" s="23"/>
      <c r="F262" s="6"/>
      <c r="G262" s="27"/>
      <c r="H262"/>
    </row>
    <row r="263" spans="1:8" x14ac:dyDescent="0.25">
      <c r="A263" s="7"/>
      <c r="B263" s="22"/>
      <c r="C263" s="226"/>
      <c r="D263" s="5"/>
      <c r="E263" s="23"/>
      <c r="F263" s="6"/>
      <c r="G263" s="27"/>
      <c r="H263"/>
    </row>
    <row r="264" spans="1:8" x14ac:dyDescent="0.25">
      <c r="A264" s="7"/>
      <c r="B264" s="22"/>
      <c r="C264" s="226"/>
      <c r="D264" s="5"/>
      <c r="E264" s="23"/>
      <c r="F264" s="6"/>
      <c r="G264" s="27"/>
      <c r="H264"/>
    </row>
    <row r="265" spans="1:8" x14ac:dyDescent="0.25">
      <c r="A265" s="7"/>
      <c r="B265" s="22"/>
      <c r="E265" s="23"/>
      <c r="F265" s="6"/>
      <c r="G265" s="27"/>
      <c r="H265"/>
    </row>
    <row r="266" spans="1:8" ht="16.5" x14ac:dyDescent="0.25">
      <c r="A266" s="7"/>
      <c r="B266" s="22"/>
      <c r="C266" s="226" t="s">
        <v>873</v>
      </c>
      <c r="D266" s="5" t="s">
        <v>48</v>
      </c>
      <c r="E266" s="42">
        <f>IF(E196&lt;=(2.45*E251),0.6*E17,IF(E196&lt;=(3.07*E251),(0.6*E17*(2.45*E251))/E196,IF(E196&lt;=260,(0.458*PI()^2*E19)/E196^2,0)))</f>
        <v>210</v>
      </c>
      <c r="F266" s="6"/>
      <c r="H266"/>
    </row>
    <row r="267" spans="1:8" x14ac:dyDescent="0.25">
      <c r="A267" s="7"/>
      <c r="B267" s="22"/>
      <c r="C267" s="226"/>
      <c r="D267" s="5"/>
      <c r="E267" s="42"/>
      <c r="F267" s="6"/>
      <c r="H267"/>
    </row>
    <row r="268" spans="1:8" ht="16.5" customHeight="1" x14ac:dyDescent="0.25">
      <c r="A268" s="7"/>
      <c r="B268" s="33" t="s">
        <v>876</v>
      </c>
      <c r="C268" s="5" t="s">
        <v>877</v>
      </c>
      <c r="D268" s="5" t="s">
        <v>7</v>
      </c>
      <c r="E268" s="23"/>
      <c r="F268" s="6" t="s">
        <v>875</v>
      </c>
      <c r="H268"/>
    </row>
    <row r="269" spans="1:8" x14ac:dyDescent="0.25">
      <c r="A269" s="7"/>
      <c r="B269" s="22"/>
      <c r="C269" s="5" t="s">
        <v>877</v>
      </c>
      <c r="D269" s="5" t="s">
        <v>7</v>
      </c>
      <c r="E269" s="229">
        <f>E266*E249/10^6</f>
        <v>187.95970818951287</v>
      </c>
      <c r="F269" s="6"/>
      <c r="H269"/>
    </row>
    <row r="270" spans="1:8" ht="18" x14ac:dyDescent="0.25">
      <c r="A270" s="7"/>
      <c r="B270" s="69" t="s">
        <v>878</v>
      </c>
      <c r="C270" s="24" t="s">
        <v>879</v>
      </c>
      <c r="D270" s="24" t="s">
        <v>7</v>
      </c>
      <c r="E270" s="44">
        <f>E43*E269</f>
        <v>169.16373737056159</v>
      </c>
      <c r="F270" s="6"/>
      <c r="H270"/>
    </row>
    <row r="271" spans="1:8" x14ac:dyDescent="0.25">
      <c r="A271" s="7"/>
      <c r="B271" s="33"/>
      <c r="C271" s="5"/>
      <c r="D271" s="5"/>
      <c r="E271" s="25"/>
      <c r="F271" s="6"/>
      <c r="H271"/>
    </row>
    <row r="272" spans="1:8" x14ac:dyDescent="0.25">
      <c r="A272" s="11">
        <v>5</v>
      </c>
      <c r="B272" s="59" t="s">
        <v>105</v>
      </c>
      <c r="C272" s="4"/>
      <c r="D272" s="4"/>
      <c r="E272" s="36"/>
      <c r="F272" s="12"/>
      <c r="H272"/>
    </row>
    <row r="273" spans="1:11" x14ac:dyDescent="0.25">
      <c r="A273" s="13" t="s">
        <v>880</v>
      </c>
      <c r="B273" s="67" t="s">
        <v>881</v>
      </c>
      <c r="C273" s="5"/>
      <c r="D273" s="5"/>
      <c r="E273" s="23"/>
      <c r="F273" s="6" t="s">
        <v>882</v>
      </c>
      <c r="H273"/>
    </row>
    <row r="274" spans="1:11" x14ac:dyDescent="0.25">
      <c r="A274" s="28"/>
      <c r="B274" s="33" t="s">
        <v>883</v>
      </c>
      <c r="C274" s="1" t="s">
        <v>884</v>
      </c>
      <c r="D274" s="1" t="s">
        <v>12</v>
      </c>
      <c r="E274" s="35" t="str">
        <f>IF(E4&lt;=0,"φc Pn","φt Pn")</f>
        <v>φc Pn</v>
      </c>
      <c r="F274" s="6" t="s">
        <v>882</v>
      </c>
    </row>
    <row r="275" spans="1:11" x14ac:dyDescent="0.25">
      <c r="A275" s="28"/>
      <c r="B275" s="33"/>
      <c r="C275" s="1" t="s">
        <v>884</v>
      </c>
      <c r="D275" s="1" t="s">
        <v>12</v>
      </c>
      <c r="E275" s="230">
        <f>IF(E4&lt;=0,E128,E78)</f>
        <v>2959.8112816547527</v>
      </c>
      <c r="F275" s="6"/>
    </row>
    <row r="276" spans="1:11" ht="30" x14ac:dyDescent="0.25">
      <c r="A276" s="28"/>
      <c r="B276" s="33" t="s">
        <v>850</v>
      </c>
      <c r="C276" s="1" t="s">
        <v>885</v>
      </c>
      <c r="D276" s="1" t="s">
        <v>7</v>
      </c>
      <c r="E276" s="35" t="s">
        <v>851</v>
      </c>
      <c r="F276" s="6" t="s">
        <v>882</v>
      </c>
    </row>
    <row r="277" spans="1:11" x14ac:dyDescent="0.25">
      <c r="A277" s="28"/>
      <c r="B277" s="33"/>
      <c r="C277" s="1" t="s">
        <v>885</v>
      </c>
      <c r="D277" s="1" t="s">
        <v>7</v>
      </c>
      <c r="E277" s="230">
        <f>E179</f>
        <v>281.51174624110047</v>
      </c>
      <c r="F277" s="6"/>
    </row>
    <row r="278" spans="1:11" ht="30" x14ac:dyDescent="0.25">
      <c r="A278" s="28"/>
      <c r="B278" s="33" t="s">
        <v>850</v>
      </c>
      <c r="C278" s="1" t="s">
        <v>886</v>
      </c>
      <c r="D278" s="1" t="s">
        <v>7</v>
      </c>
      <c r="E278" s="35" t="s">
        <v>853</v>
      </c>
      <c r="F278" s="6" t="s">
        <v>882</v>
      </c>
    </row>
    <row r="279" spans="1:11" x14ac:dyDescent="0.25">
      <c r="A279" s="28"/>
      <c r="B279" s="33"/>
      <c r="C279" s="1" t="s">
        <v>886</v>
      </c>
      <c r="D279" s="1" t="s">
        <v>7</v>
      </c>
      <c r="E279" s="230">
        <f>E182</f>
        <v>205.85114188833242</v>
      </c>
      <c r="F279" s="6"/>
    </row>
    <row r="280" spans="1:11" x14ac:dyDescent="0.25">
      <c r="A280" s="28"/>
      <c r="B280" s="33"/>
      <c r="F280" s="6"/>
    </row>
    <row r="281" spans="1:11" x14ac:dyDescent="0.25">
      <c r="A281" s="28"/>
      <c r="B281" s="33" t="s">
        <v>89</v>
      </c>
      <c r="C281" s="1" t="s">
        <v>887</v>
      </c>
      <c r="D281" s="1" t="s">
        <v>236</v>
      </c>
      <c r="E281" s="46">
        <f>ABS(E4)/E275</f>
        <v>0.19815452547099666</v>
      </c>
      <c r="F281" s="6" t="s">
        <v>882</v>
      </c>
    </row>
    <row r="282" spans="1:11" x14ac:dyDescent="0.25">
      <c r="A282" s="28"/>
      <c r="B282" s="33"/>
      <c r="F282" s="6"/>
    </row>
    <row r="283" spans="1:11" ht="111" customHeight="1" x14ac:dyDescent="0.25">
      <c r="A283" s="28"/>
      <c r="B283" s="33" t="s">
        <v>888</v>
      </c>
      <c r="C283" s="1" t="s">
        <v>139</v>
      </c>
      <c r="D283" s="1" t="s">
        <v>236</v>
      </c>
      <c r="F283" s="16" t="s">
        <v>889</v>
      </c>
    </row>
    <row r="284" spans="1:11" x14ac:dyDescent="0.25">
      <c r="A284"/>
      <c r="B284" s="70" t="s">
        <v>199</v>
      </c>
      <c r="C284" s="62" t="s">
        <v>139</v>
      </c>
      <c r="D284" s="65"/>
      <c r="E284" s="64">
        <f>IF(E281&gt;=0.2,(ABS(E4)/E275)+8/9*(ABS(E8)/E277+ABS(E9)/E279),(ABS(E4)/(2*E275))+(ABS(E8)/E277+ABS(E9)/E279))</f>
        <v>0.86596968048403444</v>
      </c>
      <c r="F284" s="80" t="str">
        <f>IF(E281&gt;=0.2,FIXED(ABS(E4)/E275,2)&amp;" + "&amp;FIXED(8/9*ABS(E8)/E277,2)&amp;" + "&amp;FIXED(8/9*ABS(E9)/E279,2),FIXED(ABS(E4)/(2*E275),2)&amp;" + "&amp;FIXED(ABS(E8)/E277,2)&amp;" + "&amp;FIXED(ABS(E9)/E279,2))</f>
        <v>0.10 + 0.55 + 0.22</v>
      </c>
    </row>
    <row r="285" spans="1:11" x14ac:dyDescent="0.25">
      <c r="A285"/>
      <c r="B285" s="33"/>
      <c r="C285" s="5"/>
      <c r="D285" s="5"/>
      <c r="E285" s="28" t="str">
        <f>IF(E284&lt;=1,"PASS","FAIL")</f>
        <v>PASS</v>
      </c>
      <c r="F285" s="80"/>
    </row>
    <row r="286" spans="1:11" x14ac:dyDescent="0.25">
      <c r="A286"/>
      <c r="B286" s="33"/>
      <c r="C286" s="5"/>
      <c r="D286" s="5"/>
      <c r="E286" s="28"/>
      <c r="F286" s="80"/>
    </row>
    <row r="287" spans="1:11" ht="30" x14ac:dyDescent="0.25">
      <c r="A287" s="13" t="s">
        <v>890</v>
      </c>
      <c r="B287" s="67" t="s">
        <v>891</v>
      </c>
      <c r="C287" s="5"/>
      <c r="D287" s="5"/>
      <c r="E287" s="23"/>
      <c r="F287" s="6"/>
      <c r="H287"/>
      <c r="I287" s="81"/>
      <c r="J287" s="81"/>
      <c r="K287" s="81"/>
    </row>
    <row r="288" spans="1:11" ht="30" x14ac:dyDescent="0.25">
      <c r="B288" s="33" t="s">
        <v>375</v>
      </c>
      <c r="C288" s="1" t="s">
        <v>892</v>
      </c>
      <c r="D288" s="1" t="s">
        <v>12</v>
      </c>
      <c r="E288" s="35" t="s">
        <v>861</v>
      </c>
      <c r="F288" s="6"/>
    </row>
    <row r="289" spans="1:12" x14ac:dyDescent="0.25">
      <c r="B289" s="33"/>
      <c r="C289" s="1" t="s">
        <v>892</v>
      </c>
      <c r="D289" s="1" t="s">
        <v>12</v>
      </c>
      <c r="E289" s="230">
        <f>E240</f>
        <v>834.62400000000002</v>
      </c>
      <c r="F289" s="6"/>
    </row>
    <row r="290" spans="1:12" ht="30" x14ac:dyDescent="0.25">
      <c r="B290" s="33" t="s">
        <v>376</v>
      </c>
      <c r="C290" s="1" t="s">
        <v>893</v>
      </c>
      <c r="D290" s="1" t="s">
        <v>12</v>
      </c>
      <c r="E290" s="35" t="s">
        <v>862</v>
      </c>
      <c r="F290" s="6"/>
    </row>
    <row r="291" spans="1:12" x14ac:dyDescent="0.25">
      <c r="B291" s="33"/>
      <c r="C291" s="1" t="s">
        <v>893</v>
      </c>
      <c r="D291" s="1" t="s">
        <v>12</v>
      </c>
      <c r="E291" s="230">
        <f>E243</f>
        <v>532.22400000000005</v>
      </c>
      <c r="F291" s="6"/>
    </row>
    <row r="292" spans="1:12" ht="18" x14ac:dyDescent="0.25">
      <c r="B292" s="33" t="s">
        <v>878</v>
      </c>
      <c r="C292" s="1" t="s">
        <v>894</v>
      </c>
      <c r="D292" s="1" t="s">
        <v>7</v>
      </c>
      <c r="E292" s="35" t="s">
        <v>879</v>
      </c>
      <c r="F292" s="6"/>
    </row>
    <row r="293" spans="1:12" x14ac:dyDescent="0.25">
      <c r="B293" s="33"/>
      <c r="C293" s="1" t="s">
        <v>894</v>
      </c>
      <c r="D293" s="1" t="s">
        <v>7</v>
      </c>
      <c r="E293" s="230">
        <f>E270</f>
        <v>169.16373737056159</v>
      </c>
      <c r="F293" s="6"/>
    </row>
    <row r="294" spans="1:12" x14ac:dyDescent="0.25">
      <c r="B294" s="33"/>
      <c r="E294" s="45"/>
      <c r="F294" s="6"/>
    </row>
    <row r="295" spans="1:12" x14ac:dyDescent="0.25">
      <c r="B295" s="33" t="s">
        <v>89</v>
      </c>
      <c r="C295" s="1" t="s">
        <v>895</v>
      </c>
      <c r="D295" s="1" t="s">
        <v>236</v>
      </c>
      <c r="E295" s="45">
        <f>ABS(E7)/E293</f>
        <v>5.9114324118380655E-2</v>
      </c>
      <c r="F295" s="6"/>
    </row>
    <row r="296" spans="1:12" ht="88.5" customHeight="1" x14ac:dyDescent="0.25">
      <c r="A296" s="28"/>
      <c r="B296" s="33" t="s">
        <v>888</v>
      </c>
      <c r="C296" s="1" t="s">
        <v>140</v>
      </c>
      <c r="D296" s="1" t="s">
        <v>236</v>
      </c>
      <c r="F296" s="16" t="s">
        <v>889</v>
      </c>
    </row>
    <row r="297" spans="1:12" x14ac:dyDescent="0.25">
      <c r="B297" s="33"/>
      <c r="C297" s="62" t="s">
        <v>140</v>
      </c>
      <c r="D297" s="65"/>
      <c r="E297" s="64">
        <f>IF(E295&lt;=0.2,E284,ABS(E4)/(E275)+(ABS(E8)/E277+ABS(E9)/E279)+(ABS(E5)/E289+ABS(E6)/E291+ABS(E7)/E293)^2)</f>
        <v>0.86596968048403444</v>
      </c>
      <c r="F297" s="106" t="str">
        <f>IF(E295&lt;=0.2,F284,FIXED(ABS(E4)/E275,2)&amp;"+("&amp;FIXED(ABS(E8)/E277,2)&amp;"+"&amp;FIXED(ABS(E9)/E279,2)&amp;")+("&amp;FIXED(ABS(E5)/E289,2)&amp;"+"&amp;FIXED(ABS(E6)/E291,2)&amp;"+"&amp;FIXED(ABS(E7)/E293,2)&amp;")^2")</f>
        <v>0.10 + 0.55 + 0.22</v>
      </c>
    </row>
    <row r="298" spans="1:12" x14ac:dyDescent="0.25">
      <c r="B298" s="33"/>
      <c r="E298" s="28" t="str">
        <f>IF(E297&lt;=1,"PASS","FAIL")</f>
        <v>PASS</v>
      </c>
      <c r="F298" s="6"/>
    </row>
    <row r="299" spans="1:12" x14ac:dyDescent="0.25">
      <c r="A299" s="71"/>
      <c r="B299" s="72"/>
      <c r="C299" s="73"/>
      <c r="D299" s="73"/>
      <c r="E299" s="74"/>
      <c r="F299" s="75"/>
    </row>
    <row r="300" spans="1:12" ht="15.75" thickBot="1" x14ac:dyDescent="0.3">
      <c r="A300" s="50">
        <v>6</v>
      </c>
      <c r="B300" s="66" t="s">
        <v>192</v>
      </c>
      <c r="D300" s="82" t="s">
        <v>172</v>
      </c>
      <c r="E300" s="83" t="s">
        <v>216</v>
      </c>
      <c r="F300" s="6"/>
    </row>
    <row r="301" spans="1:12" x14ac:dyDescent="0.25">
      <c r="B301" s="76" t="s">
        <v>193</v>
      </c>
      <c r="C301" s="77" t="s">
        <v>209</v>
      </c>
      <c r="D301" s="78">
        <f>E79</f>
        <v>0</v>
      </c>
      <c r="E301" s="79" t="str">
        <f>E80</f>
        <v>NOT APPLICABLE</v>
      </c>
      <c r="F301" s="6"/>
      <c r="H301" s="93" t="s">
        <v>309</v>
      </c>
      <c r="I301" s="94" t="s">
        <v>308</v>
      </c>
      <c r="J301" s="95" t="s">
        <v>307</v>
      </c>
    </row>
    <row r="302" spans="1:12" x14ac:dyDescent="0.25">
      <c r="B302" s="76" t="s">
        <v>200</v>
      </c>
      <c r="C302" s="77" t="s">
        <v>208</v>
      </c>
      <c r="D302" s="78">
        <f>E129</f>
        <v>0.19815452547099666</v>
      </c>
      <c r="E302" s="79" t="str">
        <f>E130</f>
        <v>PASS</v>
      </c>
      <c r="F302" s="6"/>
      <c r="H302" s="84" t="str">
        <f t="shared" ref="H302:H307" si="3">C4</f>
        <v>P</v>
      </c>
      <c r="I302" s="77">
        <v>-586.5</v>
      </c>
      <c r="J302" s="89">
        <f>-E128</f>
        <v>-2959.8112816547527</v>
      </c>
      <c r="K302" s="88">
        <f>E78</f>
        <v>2387.4435236891109</v>
      </c>
    </row>
    <row r="303" spans="1:12" x14ac:dyDescent="0.25">
      <c r="B303" s="76" t="s">
        <v>194</v>
      </c>
      <c r="C303" s="77" t="s">
        <v>896</v>
      </c>
      <c r="D303" s="78">
        <f>E180</f>
        <v>0.55120257705731679</v>
      </c>
      <c r="E303" s="79" t="str">
        <f>E181</f>
        <v>PASS</v>
      </c>
      <c r="F303" s="6"/>
      <c r="H303" s="84" t="str">
        <f t="shared" si="3"/>
        <v>Vy</v>
      </c>
      <c r="I303" s="77">
        <v>-52.28</v>
      </c>
      <c r="J303" s="89">
        <f>E240</f>
        <v>834.62400000000002</v>
      </c>
      <c r="K303" s="88"/>
    </row>
    <row r="304" spans="1:12" x14ac:dyDescent="0.25">
      <c r="B304" s="76" t="s">
        <v>195</v>
      </c>
      <c r="C304" s="77" t="s">
        <v>897</v>
      </c>
      <c r="D304" s="78">
        <f>E183</f>
        <v>0.2156898406912193</v>
      </c>
      <c r="E304" s="79" t="str">
        <f>E184</f>
        <v>PASS</v>
      </c>
      <c r="F304" s="6"/>
      <c r="H304" s="84" t="str">
        <f t="shared" si="3"/>
        <v>Vz</v>
      </c>
      <c r="I304" s="77">
        <v>-81.430000000000007</v>
      </c>
      <c r="J304" s="89">
        <f>E243</f>
        <v>532.22400000000005</v>
      </c>
      <c r="K304" s="88"/>
      <c r="L304" s="27"/>
    </row>
    <row r="305" spans="1:12" x14ac:dyDescent="0.25">
      <c r="B305" s="76" t="s">
        <v>196</v>
      </c>
      <c r="C305" s="77" t="s">
        <v>898</v>
      </c>
      <c r="D305" s="78">
        <f>E241</f>
        <v>6.2638984740434014E-2</v>
      </c>
      <c r="E305" s="79" t="str">
        <f>E242</f>
        <v>PASS</v>
      </c>
      <c r="F305" s="6"/>
      <c r="H305" s="84" t="str">
        <f t="shared" si="3"/>
        <v>T</v>
      </c>
      <c r="I305" s="77">
        <v>-10</v>
      </c>
      <c r="J305" s="89">
        <f>E270</f>
        <v>169.16373737056159</v>
      </c>
      <c r="K305" s="88"/>
    </row>
    <row r="306" spans="1:12" x14ac:dyDescent="0.25">
      <c r="B306" s="76" t="s">
        <v>197</v>
      </c>
      <c r="C306" s="77" t="s">
        <v>899</v>
      </c>
      <c r="D306" s="78">
        <f>E244</f>
        <v>0.15299948893698895</v>
      </c>
      <c r="E306" s="79" t="str">
        <f>E245</f>
        <v>PASS</v>
      </c>
      <c r="F306" s="6"/>
      <c r="H306" s="84" t="str">
        <f t="shared" si="3"/>
        <v>Mz</v>
      </c>
      <c r="I306" s="77">
        <v>-155.16999999999999</v>
      </c>
      <c r="J306" s="89">
        <f>E179</f>
        <v>281.51174624110047</v>
      </c>
      <c r="K306" s="88"/>
    </row>
    <row r="307" spans="1:12" ht="30.75" thickBot="1" x14ac:dyDescent="0.3">
      <c r="B307" s="76" t="s">
        <v>900</v>
      </c>
      <c r="C307" s="77" t="s">
        <v>139</v>
      </c>
      <c r="D307" s="78">
        <f>E284</f>
        <v>0.86596968048403444</v>
      </c>
      <c r="E307" s="79" t="str">
        <f>E285</f>
        <v>PASS</v>
      </c>
      <c r="F307" s="6"/>
      <c r="H307" s="90" t="str">
        <f t="shared" si="3"/>
        <v>My</v>
      </c>
      <c r="I307" s="91">
        <v>-44.4</v>
      </c>
      <c r="J307" s="92">
        <f>E182</f>
        <v>205.85114188833242</v>
      </c>
      <c r="K307" s="88"/>
    </row>
    <row r="308" spans="1:12" x14ac:dyDescent="0.25">
      <c r="B308" s="76" t="s">
        <v>201</v>
      </c>
      <c r="C308" s="77" t="s">
        <v>140</v>
      </c>
      <c r="D308" s="78">
        <f>E297</f>
        <v>0.86596968048403444</v>
      </c>
      <c r="E308" s="79" t="str">
        <f>E298</f>
        <v>PASS</v>
      </c>
      <c r="F308" s="6"/>
    </row>
    <row r="309" spans="1:12" x14ac:dyDescent="0.25">
      <c r="F309" s="6"/>
    </row>
    <row r="310" spans="1:12" ht="15.75" thickBot="1" x14ac:dyDescent="0.3">
      <c r="F310" s="6"/>
      <c r="L310" s="27">
        <f>0.17*J302</f>
        <v>-503.16791788130803</v>
      </c>
    </row>
    <row r="311" spans="1:12" x14ac:dyDescent="0.25">
      <c r="A311" s="51"/>
      <c r="B311" s="61"/>
      <c r="C311" s="51"/>
      <c r="D311" s="51"/>
      <c r="E311" s="52"/>
      <c r="F311" s="51"/>
    </row>
  </sheetData>
  <conditionalFormatting sqref="E246 E269 E266:E267 E301:E308">
    <cfRule type="containsText" dxfId="35" priority="37" operator="containsText" text="NOT APPLICABLE">
      <formula>NOT(ISERROR(SEARCH("NOT APPLICABLE",E246)))</formula>
    </cfRule>
    <cfRule type="containsText" dxfId="34" priority="38" operator="containsText" text="FAIL">
      <formula>NOT(ISERROR(SEARCH("FAIL",E246)))</formula>
    </cfRule>
    <cfRule type="containsText" dxfId="33" priority="39" operator="containsText" text="PASS">
      <formula>NOT(ISERROR(SEARCH("PASS",E246)))</formula>
    </cfRule>
  </conditionalFormatting>
  <conditionalFormatting sqref="E130">
    <cfRule type="containsText" dxfId="32" priority="31" operator="containsText" text="NOT APPLICABLE">
      <formula>NOT(ISERROR(SEARCH("NOT APPLICABLE",E130)))</formula>
    </cfRule>
    <cfRule type="containsText" dxfId="31" priority="32" operator="containsText" text="FAIL">
      <formula>NOT(ISERROR(SEARCH("FAIL",E130)))</formula>
    </cfRule>
    <cfRule type="containsText" dxfId="30" priority="33" operator="containsText" text="PASS">
      <formula>NOT(ISERROR(SEARCH("PASS",E130)))</formula>
    </cfRule>
  </conditionalFormatting>
  <conditionalFormatting sqref="E80">
    <cfRule type="containsText" dxfId="29" priority="34" operator="containsText" text="NOT APPLICABLE">
      <formula>NOT(ISERROR(SEARCH("NOT APPLICABLE",E80)))</formula>
    </cfRule>
    <cfRule type="containsText" dxfId="28" priority="35" operator="containsText" text="FAIL">
      <formula>NOT(ISERROR(SEARCH("FAIL",E80)))</formula>
    </cfRule>
    <cfRule type="containsText" dxfId="27" priority="36" operator="containsText" text="PASS">
      <formula>NOT(ISERROR(SEARCH("PASS",E80)))</formula>
    </cfRule>
  </conditionalFormatting>
  <conditionalFormatting sqref="D301:D308">
    <cfRule type="expression" dxfId="26" priority="25">
      <formula>D301=0</formula>
    </cfRule>
    <cfRule type="expression" dxfId="25" priority="26">
      <formula>D301&lt;=1</formula>
    </cfRule>
    <cfRule type="expression" dxfId="24" priority="27">
      <formula>D301&gt;1</formula>
    </cfRule>
  </conditionalFormatting>
  <conditionalFormatting sqref="E59:E60">
    <cfRule type="containsText" dxfId="23" priority="22" operator="containsText" text="NOT APPLICABLE">
      <formula>NOT(ISERROR(SEARCH("NOT APPLICABLE",E59)))</formula>
    </cfRule>
    <cfRule type="containsText" dxfId="22" priority="23" operator="containsText" text="FAIL">
      <formula>NOT(ISERROR(SEARCH("FAIL",E59)))</formula>
    </cfRule>
    <cfRule type="containsText" dxfId="21" priority="24" operator="containsText" text="PASS">
      <formula>NOT(ISERROR(SEARCH("PASS",E59)))</formula>
    </cfRule>
  </conditionalFormatting>
  <conditionalFormatting sqref="E286">
    <cfRule type="containsText" dxfId="20" priority="19" operator="containsText" text="NOT APPLICABLE">
      <formula>NOT(ISERROR(SEARCH("NOT APPLICABLE",E286)))</formula>
    </cfRule>
    <cfRule type="containsText" dxfId="19" priority="20" operator="containsText" text="FAIL">
      <formula>NOT(ISERROR(SEARCH("FAIL",E286)))</formula>
    </cfRule>
    <cfRule type="containsText" dxfId="18" priority="21" operator="containsText" text="PASS">
      <formula>NOT(ISERROR(SEARCH("PASS",E286)))</formula>
    </cfRule>
  </conditionalFormatting>
  <conditionalFormatting sqref="E181">
    <cfRule type="containsText" dxfId="17" priority="16" operator="containsText" text="NOT APPLICABLE">
      <formula>NOT(ISERROR(SEARCH("NOT APPLICABLE",E181)))</formula>
    </cfRule>
    <cfRule type="containsText" dxfId="16" priority="17" operator="containsText" text="FAIL">
      <formula>NOT(ISERROR(SEARCH("FAIL",E181)))</formula>
    </cfRule>
    <cfRule type="containsText" dxfId="15" priority="18" operator="containsText" text="PASS">
      <formula>NOT(ISERROR(SEARCH("PASS",E181)))</formula>
    </cfRule>
  </conditionalFormatting>
  <conditionalFormatting sqref="E184">
    <cfRule type="containsText" dxfId="14" priority="13" operator="containsText" text="NOT APPLICABLE">
      <formula>NOT(ISERROR(SEARCH("NOT APPLICABLE",E184)))</formula>
    </cfRule>
    <cfRule type="containsText" dxfId="13" priority="14" operator="containsText" text="FAIL">
      <formula>NOT(ISERROR(SEARCH("FAIL",E184)))</formula>
    </cfRule>
    <cfRule type="containsText" dxfId="12" priority="15" operator="containsText" text="PASS">
      <formula>NOT(ISERROR(SEARCH("PASS",E184)))</formula>
    </cfRule>
  </conditionalFormatting>
  <conditionalFormatting sqref="E242">
    <cfRule type="containsText" dxfId="11" priority="10" operator="containsText" text="NOT APPLICABLE">
      <formula>NOT(ISERROR(SEARCH("NOT APPLICABLE",E242)))</formula>
    </cfRule>
    <cfRule type="containsText" dxfId="10" priority="11" operator="containsText" text="FAIL">
      <formula>NOT(ISERROR(SEARCH("FAIL",E242)))</formula>
    </cfRule>
    <cfRule type="containsText" dxfId="9" priority="12" operator="containsText" text="PASS">
      <formula>NOT(ISERROR(SEARCH("PASS",E242)))</formula>
    </cfRule>
  </conditionalFormatting>
  <conditionalFormatting sqref="E245">
    <cfRule type="containsText" dxfId="8" priority="7" operator="containsText" text="NOT APPLICABLE">
      <formula>NOT(ISERROR(SEARCH("NOT APPLICABLE",E245)))</formula>
    </cfRule>
    <cfRule type="containsText" dxfId="7" priority="8" operator="containsText" text="FAIL">
      <formula>NOT(ISERROR(SEARCH("FAIL",E245)))</formula>
    </cfRule>
    <cfRule type="containsText" dxfId="6" priority="9" operator="containsText" text="PASS">
      <formula>NOT(ISERROR(SEARCH("PASS",E245)))</formula>
    </cfRule>
  </conditionalFormatting>
  <conditionalFormatting sqref="E285">
    <cfRule type="containsText" dxfId="5" priority="4" operator="containsText" text="NOT APPLICABLE">
      <formula>NOT(ISERROR(SEARCH("NOT APPLICABLE",E285)))</formula>
    </cfRule>
    <cfRule type="containsText" dxfId="4" priority="5" operator="containsText" text="FAIL">
      <formula>NOT(ISERROR(SEARCH("FAIL",E285)))</formula>
    </cfRule>
    <cfRule type="containsText" dxfId="3" priority="6" operator="containsText" text="PASS">
      <formula>NOT(ISERROR(SEARCH("PASS",E285)))</formula>
    </cfRule>
  </conditionalFormatting>
  <conditionalFormatting sqref="E298">
    <cfRule type="containsText" dxfId="2" priority="1" operator="containsText" text="NOT APPLICABLE">
      <formula>NOT(ISERROR(SEARCH("NOT APPLICABLE",E298)))</formula>
    </cfRule>
    <cfRule type="containsText" dxfId="1" priority="2" operator="containsText" text="FAIL">
      <formula>NOT(ISERROR(SEARCH("FAIL",E298)))</formula>
    </cfRule>
    <cfRule type="containsText" dxfId="0" priority="3" operator="containsText" text="PASS">
      <formula>NOT(ISERROR(SEARCH("PASS",E298)))</formula>
    </cfRule>
  </conditionalFormatting>
  <dataValidations count="1">
    <dataValidation type="list" allowBlank="1" showInputMessage="1" showErrorMessage="1" sqref="E22">
      <formula1>$Q$2:$Q$3</formula1>
    </dataValidation>
  </dataValidations>
  <pageMargins left="0.7" right="0.7" top="0.75" bottom="0.75" header="0.3" footer="0.3"/>
  <pageSetup paperSize="9" orientation="portrait" horizont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'RHS-LIB'!$A$2:$A$19</xm:f>
          </x14:formula1>
          <xm:sqref>E12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zoomScale="115" zoomScaleNormal="115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G4" sqref="G4"/>
    </sheetView>
  </sheetViews>
  <sheetFormatPr defaultRowHeight="15" x14ac:dyDescent="0.25"/>
  <cols>
    <col min="1" max="1" width="14.5703125" customWidth="1"/>
  </cols>
  <sheetData>
    <row r="1" spans="1:21" x14ac:dyDescent="0.25">
      <c r="C1" s="363" t="s">
        <v>1604</v>
      </c>
      <c r="D1" s="363"/>
      <c r="E1" s="363"/>
      <c r="F1" s="363" t="s">
        <v>1605</v>
      </c>
      <c r="G1" s="363"/>
      <c r="H1" s="363"/>
      <c r="I1" s="363" t="s">
        <v>1606</v>
      </c>
      <c r="J1" s="363"/>
      <c r="K1" s="363"/>
      <c r="L1" s="363" t="s">
        <v>1607</v>
      </c>
      <c r="M1" s="363"/>
      <c r="N1" s="363"/>
      <c r="O1" s="363" t="s">
        <v>1608</v>
      </c>
      <c r="P1" s="363"/>
      <c r="Q1" s="363"/>
      <c r="R1" s="363" t="s">
        <v>1609</v>
      </c>
      <c r="S1" s="363"/>
      <c r="T1" s="363"/>
    </row>
    <row r="2" spans="1:21" ht="30" x14ac:dyDescent="0.25">
      <c r="A2" s="335" t="s">
        <v>1007</v>
      </c>
      <c r="B2" s="337" t="s">
        <v>1008</v>
      </c>
      <c r="C2" s="335" t="s">
        <v>1012</v>
      </c>
      <c r="D2" s="336" t="s">
        <v>1013</v>
      </c>
      <c r="E2" s="337" t="s">
        <v>1014</v>
      </c>
      <c r="F2" s="335" t="s">
        <v>1012</v>
      </c>
      <c r="G2" s="336" t="s">
        <v>1013</v>
      </c>
      <c r="H2" s="337" t="s">
        <v>1014</v>
      </c>
      <c r="I2" s="335" t="s">
        <v>1012</v>
      </c>
      <c r="J2" s="336" t="s">
        <v>1013</v>
      </c>
      <c r="K2" s="337" t="s">
        <v>1014</v>
      </c>
      <c r="L2" s="335" t="s">
        <v>1012</v>
      </c>
      <c r="M2" s="336" t="s">
        <v>1013</v>
      </c>
      <c r="N2" s="337" t="s">
        <v>1014</v>
      </c>
      <c r="O2" s="335" t="s">
        <v>1012</v>
      </c>
      <c r="P2" s="336" t="s">
        <v>1013</v>
      </c>
      <c r="Q2" s="337" t="s">
        <v>1014</v>
      </c>
      <c r="R2" s="335" t="s">
        <v>1012</v>
      </c>
      <c r="S2" s="336" t="s">
        <v>1013</v>
      </c>
      <c r="T2" s="337" t="s">
        <v>1014</v>
      </c>
    </row>
    <row r="3" spans="1:21" x14ac:dyDescent="0.25">
      <c r="A3" s="333" t="s">
        <v>1006</v>
      </c>
      <c r="B3" s="338">
        <v>3000</v>
      </c>
      <c r="C3" s="339">
        <v>202</v>
      </c>
      <c r="D3" s="340">
        <v>202</v>
      </c>
      <c r="E3" s="101">
        <v>201.9974961219859</v>
      </c>
      <c r="F3" s="344">
        <v>144</v>
      </c>
      <c r="G3" s="345">
        <v>47</v>
      </c>
      <c r="H3" s="346">
        <v>47.13199715989667</v>
      </c>
      <c r="I3" s="339">
        <v>4</v>
      </c>
      <c r="J3" s="340">
        <v>4</v>
      </c>
      <c r="K3" s="101">
        <v>4.0132839674475012</v>
      </c>
      <c r="L3" s="339">
        <v>4</v>
      </c>
      <c r="M3" s="340">
        <v>4</v>
      </c>
      <c r="N3" s="101">
        <v>4.0132839674475012</v>
      </c>
      <c r="O3" s="339">
        <v>61</v>
      </c>
      <c r="P3" s="340">
        <v>61</v>
      </c>
      <c r="Q3" s="101">
        <v>60.599248836595791</v>
      </c>
      <c r="R3" s="339">
        <v>61</v>
      </c>
      <c r="S3" s="340">
        <v>61</v>
      </c>
      <c r="T3" s="338">
        <v>60.599248836595791</v>
      </c>
      <c r="U3" s="351" t="s">
        <v>5</v>
      </c>
    </row>
    <row r="4" spans="1:21" x14ac:dyDescent="0.25">
      <c r="A4" s="333" t="s">
        <v>1009</v>
      </c>
      <c r="B4" s="338">
        <v>3000</v>
      </c>
      <c r="C4" s="339">
        <v>930</v>
      </c>
      <c r="D4" s="340">
        <v>930</v>
      </c>
      <c r="E4" s="101">
        <v>929.51307151410435</v>
      </c>
      <c r="F4" s="344">
        <v>1191</v>
      </c>
      <c r="G4" s="345">
        <v>971</v>
      </c>
      <c r="H4" s="346">
        <v>971.25918282869759</v>
      </c>
      <c r="I4" s="339">
        <v>54</v>
      </c>
      <c r="J4" s="340">
        <v>52</v>
      </c>
      <c r="K4" s="101">
        <v>51.615645211433844</v>
      </c>
      <c r="L4" s="339">
        <v>54</v>
      </c>
      <c r="M4" s="340">
        <v>52</v>
      </c>
      <c r="N4" s="101">
        <v>51.615645211433844</v>
      </c>
      <c r="O4" s="339">
        <v>279</v>
      </c>
      <c r="P4" s="340">
        <v>279</v>
      </c>
      <c r="Q4" s="101">
        <v>278.85392145423128</v>
      </c>
      <c r="R4" s="339">
        <v>279</v>
      </c>
      <c r="S4" s="340">
        <v>279</v>
      </c>
      <c r="T4" s="338">
        <v>278.85392145423128</v>
      </c>
      <c r="U4" s="351" t="s">
        <v>1610</v>
      </c>
    </row>
    <row r="5" spans="1:21" x14ac:dyDescent="0.25">
      <c r="A5" s="333" t="s">
        <v>1010</v>
      </c>
      <c r="B5" s="338">
        <v>3000</v>
      </c>
      <c r="C5" s="339">
        <v>3420</v>
      </c>
      <c r="D5" s="340">
        <v>3420</v>
      </c>
      <c r="E5" s="101">
        <v>3420.0634264039918</v>
      </c>
      <c r="F5" s="344">
        <v>5151</v>
      </c>
      <c r="G5" s="345">
        <v>4746</v>
      </c>
      <c r="H5" s="346">
        <v>4745.7605562517892</v>
      </c>
      <c r="I5" s="339">
        <v>442</v>
      </c>
      <c r="J5" s="340">
        <v>387</v>
      </c>
      <c r="K5" s="101">
        <v>387.21247720098791</v>
      </c>
      <c r="L5" s="339">
        <v>442</v>
      </c>
      <c r="M5" s="340">
        <v>387</v>
      </c>
      <c r="N5" s="101">
        <v>387.21247720098791</v>
      </c>
      <c r="O5" s="339">
        <v>1026</v>
      </c>
      <c r="P5" s="340">
        <v>1026</v>
      </c>
      <c r="Q5" s="101">
        <v>1026.0190279211979</v>
      </c>
      <c r="R5" s="339">
        <v>1026</v>
      </c>
      <c r="S5" s="340">
        <v>1026</v>
      </c>
      <c r="T5" s="338">
        <v>1026.0190279211979</v>
      </c>
      <c r="U5" s="351" t="s">
        <v>1611</v>
      </c>
    </row>
    <row r="6" spans="1:21" x14ac:dyDescent="0.25">
      <c r="A6" s="333" t="s">
        <v>1011</v>
      </c>
      <c r="B6" s="338">
        <v>3000</v>
      </c>
      <c r="C6" s="344">
        <v>210</v>
      </c>
      <c r="D6" s="345">
        <v>200</v>
      </c>
      <c r="E6" s="346">
        <v>2942.8805057642362</v>
      </c>
      <c r="F6" s="344">
        <v>108</v>
      </c>
      <c r="G6" s="345">
        <v>26</v>
      </c>
      <c r="H6" s="346">
        <v>3335.990095823794</v>
      </c>
      <c r="I6" s="344">
        <v>4</v>
      </c>
      <c r="J6" s="345">
        <v>4</v>
      </c>
      <c r="K6" s="346">
        <v>339.63187792938243</v>
      </c>
      <c r="L6" s="344">
        <v>3</v>
      </c>
      <c r="M6" s="345">
        <v>3</v>
      </c>
      <c r="N6" s="346">
        <v>249.27159695817491</v>
      </c>
      <c r="O6" s="344">
        <v>67</v>
      </c>
      <c r="P6" s="345">
        <v>67</v>
      </c>
      <c r="Q6" s="346">
        <v>1020.6</v>
      </c>
      <c r="R6" s="344">
        <v>40</v>
      </c>
      <c r="S6" s="345">
        <v>40</v>
      </c>
      <c r="T6" s="350">
        <v>642.6</v>
      </c>
      <c r="U6" s="351" t="s">
        <v>5</v>
      </c>
    </row>
    <row r="7" spans="1:21" x14ac:dyDescent="0.25">
      <c r="A7" s="333" t="s">
        <v>447</v>
      </c>
      <c r="B7" s="338">
        <v>3000</v>
      </c>
      <c r="C7" s="339">
        <v>914</v>
      </c>
      <c r="D7" s="340">
        <v>893</v>
      </c>
      <c r="E7" s="101">
        <v>893.22012644105882</v>
      </c>
      <c r="F7" s="344">
        <v>1056</v>
      </c>
      <c r="G7" s="345">
        <v>760</v>
      </c>
      <c r="H7" s="346">
        <v>759.61835652042259</v>
      </c>
      <c r="I7" s="339">
        <v>68</v>
      </c>
      <c r="J7" s="340">
        <v>67</v>
      </c>
      <c r="K7" s="101">
        <v>66.842862201853976</v>
      </c>
      <c r="L7" s="339">
        <v>45</v>
      </c>
      <c r="M7" s="340">
        <v>39</v>
      </c>
      <c r="N7" s="101">
        <v>39.107826234889117</v>
      </c>
      <c r="O7" s="339">
        <v>350</v>
      </c>
      <c r="P7" s="340">
        <v>350</v>
      </c>
      <c r="Q7" s="101">
        <v>349.65</v>
      </c>
      <c r="R7" s="339">
        <v>161</v>
      </c>
      <c r="S7" s="340">
        <v>161</v>
      </c>
      <c r="T7" s="338">
        <v>160.65</v>
      </c>
      <c r="U7" s="351" t="s">
        <v>1610</v>
      </c>
    </row>
    <row r="8" spans="1:21" x14ac:dyDescent="0.25">
      <c r="A8" s="334" t="s">
        <v>994</v>
      </c>
      <c r="B8" s="341">
        <v>3000</v>
      </c>
      <c r="C8" s="342">
        <v>2439</v>
      </c>
      <c r="D8" s="343">
        <v>2387</v>
      </c>
      <c r="E8" s="341">
        <v>2387.4435236891109</v>
      </c>
      <c r="F8" s="347">
        <v>3250</v>
      </c>
      <c r="G8" s="348">
        <v>2960</v>
      </c>
      <c r="H8" s="349">
        <v>2959.8112816547532</v>
      </c>
      <c r="I8" s="342">
        <v>285</v>
      </c>
      <c r="J8" s="343">
        <v>282</v>
      </c>
      <c r="K8" s="341">
        <v>281.51174624110052</v>
      </c>
      <c r="L8" s="342">
        <v>224</v>
      </c>
      <c r="M8" s="343">
        <v>206</v>
      </c>
      <c r="N8" s="341">
        <v>205.85114188833239</v>
      </c>
      <c r="O8" s="342">
        <v>835</v>
      </c>
      <c r="P8" s="343">
        <v>835</v>
      </c>
      <c r="Q8" s="341">
        <v>834.62400000000002</v>
      </c>
      <c r="R8" s="342">
        <v>532</v>
      </c>
      <c r="S8" s="343">
        <v>532</v>
      </c>
      <c r="T8" s="341">
        <v>532.22400000000005</v>
      </c>
      <c r="U8" s="351" t="s">
        <v>1611</v>
      </c>
    </row>
  </sheetData>
  <mergeCells count="6">
    <mergeCell ref="R1:T1"/>
    <mergeCell ref="C1:E1"/>
    <mergeCell ref="F1:H1"/>
    <mergeCell ref="I1:K1"/>
    <mergeCell ref="L1:N1"/>
    <mergeCell ref="O1:Q1"/>
  </mergeCells>
  <pageMargins left="0.7" right="0.7" top="0.75" bottom="0.75" header="0.3" footer="0.3"/>
  <pageSetup paperSize="9" orientation="portrait" horizontalDpi="30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2"/>
  <sheetViews>
    <sheetView topLeftCell="A442" workbookViewId="0">
      <selection activeCell="J19" sqref="J19"/>
    </sheetView>
  </sheetViews>
  <sheetFormatPr defaultRowHeight="15" x14ac:dyDescent="0.25"/>
  <sheetData>
    <row r="1" spans="1:1" x14ac:dyDescent="0.25">
      <c r="A1" t="s">
        <v>1015</v>
      </c>
    </row>
    <row r="2" spans="1:1" x14ac:dyDescent="0.25">
      <c r="A2" t="s">
        <v>1016</v>
      </c>
    </row>
    <row r="4" spans="1:1" x14ac:dyDescent="0.25">
      <c r="A4" t="s">
        <v>1017</v>
      </c>
    </row>
    <row r="5" spans="1:1" x14ac:dyDescent="0.25">
      <c r="A5" t="s">
        <v>1018</v>
      </c>
    </row>
    <row r="6" spans="1:1" x14ac:dyDescent="0.25">
      <c r="A6" t="s">
        <v>1019</v>
      </c>
    </row>
    <row r="7" spans="1:1" x14ac:dyDescent="0.25">
      <c r="A7" t="s">
        <v>1020</v>
      </c>
    </row>
    <row r="8" spans="1:1" x14ac:dyDescent="0.25">
      <c r="A8" t="s">
        <v>1021</v>
      </c>
    </row>
    <row r="9" spans="1:1" x14ac:dyDescent="0.25">
      <c r="A9" t="s">
        <v>1022</v>
      </c>
    </row>
    <row r="10" spans="1:1" x14ac:dyDescent="0.25">
      <c r="A10" t="s">
        <v>1023</v>
      </c>
    </row>
    <row r="11" spans="1:1" x14ac:dyDescent="0.25">
      <c r="A11" t="s">
        <v>1024</v>
      </c>
    </row>
    <row r="12" spans="1:1" x14ac:dyDescent="0.25">
      <c r="A12" t="s">
        <v>1025</v>
      </c>
    </row>
    <row r="13" spans="1:1" x14ac:dyDescent="0.25">
      <c r="A13" t="s">
        <v>1026</v>
      </c>
    </row>
    <row r="14" spans="1:1" x14ac:dyDescent="0.25">
      <c r="A14" t="s">
        <v>1027</v>
      </c>
    </row>
    <row r="15" spans="1:1" x14ac:dyDescent="0.25">
      <c r="A15" t="s">
        <v>1028</v>
      </c>
    </row>
    <row r="16" spans="1:1" x14ac:dyDescent="0.25">
      <c r="A16" t="s">
        <v>1029</v>
      </c>
    </row>
    <row r="17" spans="1:1" x14ac:dyDescent="0.25">
      <c r="A17" t="s">
        <v>1030</v>
      </c>
    </row>
    <row r="18" spans="1:1" x14ac:dyDescent="0.25">
      <c r="A18" t="s">
        <v>1031</v>
      </c>
    </row>
    <row r="19" spans="1:1" x14ac:dyDescent="0.25">
      <c r="A19" t="s">
        <v>1032</v>
      </c>
    </row>
    <row r="20" spans="1:1" x14ac:dyDescent="0.25">
      <c r="A20" t="s">
        <v>1033</v>
      </c>
    </row>
    <row r="21" spans="1:1" x14ac:dyDescent="0.25">
      <c r="A21" t="s">
        <v>1034</v>
      </c>
    </row>
    <row r="22" spans="1:1" x14ac:dyDescent="0.25">
      <c r="A22" t="s">
        <v>1035</v>
      </c>
    </row>
    <row r="23" spans="1:1" x14ac:dyDescent="0.25">
      <c r="A23" t="s">
        <v>1036</v>
      </c>
    </row>
    <row r="24" spans="1:1" x14ac:dyDescent="0.25">
      <c r="A24" t="s">
        <v>1037</v>
      </c>
    </row>
    <row r="25" spans="1:1" x14ac:dyDescent="0.25">
      <c r="A25" t="s">
        <v>1038</v>
      </c>
    </row>
    <row r="26" spans="1:1" x14ac:dyDescent="0.25">
      <c r="A26" t="s">
        <v>1039</v>
      </c>
    </row>
    <row r="27" spans="1:1" x14ac:dyDescent="0.25">
      <c r="A27" t="s">
        <v>1040</v>
      </c>
    </row>
    <row r="28" spans="1:1" x14ac:dyDescent="0.25">
      <c r="A28" t="s">
        <v>1041</v>
      </c>
    </row>
    <row r="29" spans="1:1" x14ac:dyDescent="0.25">
      <c r="A29" t="s">
        <v>1042</v>
      </c>
    </row>
    <row r="30" spans="1:1" x14ac:dyDescent="0.25">
      <c r="A30" t="s">
        <v>1043</v>
      </c>
    </row>
    <row r="31" spans="1:1" x14ac:dyDescent="0.25">
      <c r="A31" t="s">
        <v>1044</v>
      </c>
    </row>
    <row r="32" spans="1:1" x14ac:dyDescent="0.25">
      <c r="A32" t="s">
        <v>1045</v>
      </c>
    </row>
    <row r="33" spans="1:1" x14ac:dyDescent="0.25">
      <c r="A33" t="s">
        <v>1046</v>
      </c>
    </row>
    <row r="34" spans="1:1" x14ac:dyDescent="0.25">
      <c r="A34" t="s">
        <v>1047</v>
      </c>
    </row>
    <row r="35" spans="1:1" x14ac:dyDescent="0.25">
      <c r="A35" t="s">
        <v>1048</v>
      </c>
    </row>
    <row r="36" spans="1:1" x14ac:dyDescent="0.25">
      <c r="A36" t="s">
        <v>1049</v>
      </c>
    </row>
    <row r="37" spans="1:1" x14ac:dyDescent="0.25">
      <c r="A37" t="s">
        <v>1050</v>
      </c>
    </row>
    <row r="38" spans="1:1" x14ac:dyDescent="0.25">
      <c r="A38" t="s">
        <v>1051</v>
      </c>
    </row>
    <row r="39" spans="1:1" x14ac:dyDescent="0.25">
      <c r="A39" t="s">
        <v>1052</v>
      </c>
    </row>
    <row r="41" spans="1:1" x14ac:dyDescent="0.25">
      <c r="A41" t="s">
        <v>1053</v>
      </c>
    </row>
    <row r="42" spans="1:1" x14ac:dyDescent="0.25">
      <c r="A42" t="s">
        <v>1054</v>
      </c>
    </row>
    <row r="43" spans="1:1" x14ac:dyDescent="0.25">
      <c r="A43" t="s">
        <v>1055</v>
      </c>
    </row>
    <row r="44" spans="1:1" x14ac:dyDescent="0.25">
      <c r="A44" t="s">
        <v>1056</v>
      </c>
    </row>
    <row r="45" spans="1:1" x14ac:dyDescent="0.25">
      <c r="A45" t="s">
        <v>1057</v>
      </c>
    </row>
    <row r="46" spans="1:1" x14ac:dyDescent="0.25">
      <c r="A46" t="s">
        <v>1058</v>
      </c>
    </row>
    <row r="47" spans="1:1" x14ac:dyDescent="0.25">
      <c r="A47" t="s">
        <v>1059</v>
      </c>
    </row>
    <row r="48" spans="1:1" x14ac:dyDescent="0.25">
      <c r="A48" t="s">
        <v>1060</v>
      </c>
    </row>
    <row r="49" spans="1:1" x14ac:dyDescent="0.25">
      <c r="A49" t="s">
        <v>1061</v>
      </c>
    </row>
    <row r="50" spans="1:1" x14ac:dyDescent="0.25">
      <c r="A50" t="s">
        <v>1062</v>
      </c>
    </row>
    <row r="51" spans="1:1" x14ac:dyDescent="0.25">
      <c r="A51" t="s">
        <v>1063</v>
      </c>
    </row>
    <row r="52" spans="1:1" x14ac:dyDescent="0.25">
      <c r="A52" t="s">
        <v>1064</v>
      </c>
    </row>
    <row r="53" spans="1:1" x14ac:dyDescent="0.25">
      <c r="A53" t="s">
        <v>1065</v>
      </c>
    </row>
    <row r="54" spans="1:1" x14ac:dyDescent="0.25">
      <c r="A54" t="s">
        <v>1066</v>
      </c>
    </row>
    <row r="55" spans="1:1" x14ac:dyDescent="0.25">
      <c r="A55" t="s">
        <v>1067</v>
      </c>
    </row>
    <row r="56" spans="1:1" x14ac:dyDescent="0.25">
      <c r="A56" t="s">
        <v>1068</v>
      </c>
    </row>
    <row r="57" spans="1:1" x14ac:dyDescent="0.25">
      <c r="A57" t="s">
        <v>1069</v>
      </c>
    </row>
    <row r="58" spans="1:1" x14ac:dyDescent="0.25">
      <c r="A58" t="s">
        <v>1070</v>
      </c>
    </row>
    <row r="59" spans="1:1" x14ac:dyDescent="0.25">
      <c r="A59" t="s">
        <v>1071</v>
      </c>
    </row>
    <row r="60" spans="1:1" x14ac:dyDescent="0.25">
      <c r="A60" t="s">
        <v>1072</v>
      </c>
    </row>
    <row r="61" spans="1:1" x14ac:dyDescent="0.25">
      <c r="A61" t="s">
        <v>1073</v>
      </c>
    </row>
    <row r="62" spans="1:1" x14ac:dyDescent="0.25">
      <c r="A62" t="s">
        <v>1074</v>
      </c>
    </row>
    <row r="63" spans="1:1" x14ac:dyDescent="0.25">
      <c r="A63" t="s">
        <v>1075</v>
      </c>
    </row>
    <row r="64" spans="1:1" x14ac:dyDescent="0.25">
      <c r="A64" t="s">
        <v>1076</v>
      </c>
    </row>
    <row r="65" spans="1:1" x14ac:dyDescent="0.25">
      <c r="A65" t="s">
        <v>1077</v>
      </c>
    </row>
    <row r="66" spans="1:1" x14ac:dyDescent="0.25">
      <c r="A66" t="s">
        <v>1078</v>
      </c>
    </row>
    <row r="67" spans="1:1" x14ac:dyDescent="0.25">
      <c r="A67" t="s">
        <v>1079</v>
      </c>
    </row>
    <row r="68" spans="1:1" x14ac:dyDescent="0.25">
      <c r="A68" t="s">
        <v>1080</v>
      </c>
    </row>
    <row r="69" spans="1:1" x14ac:dyDescent="0.25">
      <c r="A69" t="s">
        <v>1081</v>
      </c>
    </row>
    <row r="70" spans="1:1" x14ac:dyDescent="0.25">
      <c r="A70" t="s">
        <v>1082</v>
      </c>
    </row>
    <row r="71" spans="1:1" x14ac:dyDescent="0.25">
      <c r="A71" t="s">
        <v>1083</v>
      </c>
    </row>
    <row r="72" spans="1:1" x14ac:dyDescent="0.25">
      <c r="A72" t="s">
        <v>1084</v>
      </c>
    </row>
    <row r="73" spans="1:1" x14ac:dyDescent="0.25">
      <c r="A73" t="s">
        <v>1085</v>
      </c>
    </row>
    <row r="74" spans="1:1" x14ac:dyDescent="0.25">
      <c r="A74" t="s">
        <v>1086</v>
      </c>
    </row>
    <row r="75" spans="1:1" x14ac:dyDescent="0.25">
      <c r="A75" t="s">
        <v>1087</v>
      </c>
    </row>
    <row r="76" spans="1:1" x14ac:dyDescent="0.25">
      <c r="A76" t="s">
        <v>1088</v>
      </c>
    </row>
    <row r="77" spans="1:1" x14ac:dyDescent="0.25">
      <c r="A77" t="s">
        <v>1089</v>
      </c>
    </row>
    <row r="79" spans="1:1" x14ac:dyDescent="0.25">
      <c r="A79" t="s">
        <v>1090</v>
      </c>
    </row>
    <row r="80" spans="1:1" x14ac:dyDescent="0.25">
      <c r="A80" t="s">
        <v>1091</v>
      </c>
    </row>
    <row r="81" spans="1:1" x14ac:dyDescent="0.25">
      <c r="A81" t="s">
        <v>1092</v>
      </c>
    </row>
    <row r="82" spans="1:1" x14ac:dyDescent="0.25">
      <c r="A82" t="s">
        <v>1093</v>
      </c>
    </row>
    <row r="83" spans="1:1" x14ac:dyDescent="0.25">
      <c r="A83" t="s">
        <v>1094</v>
      </c>
    </row>
    <row r="84" spans="1:1" x14ac:dyDescent="0.25">
      <c r="A84" t="s">
        <v>1095</v>
      </c>
    </row>
    <row r="85" spans="1:1" x14ac:dyDescent="0.25">
      <c r="A85" t="s">
        <v>1096</v>
      </c>
    </row>
    <row r="86" spans="1:1" x14ac:dyDescent="0.25">
      <c r="A86" t="s">
        <v>1097</v>
      </c>
    </row>
    <row r="87" spans="1:1" x14ac:dyDescent="0.25">
      <c r="A87" t="s">
        <v>1098</v>
      </c>
    </row>
    <row r="88" spans="1:1" x14ac:dyDescent="0.25">
      <c r="A88" t="s">
        <v>1099</v>
      </c>
    </row>
    <row r="89" spans="1:1" x14ac:dyDescent="0.25">
      <c r="A89" t="s">
        <v>1100</v>
      </c>
    </row>
    <row r="90" spans="1:1" x14ac:dyDescent="0.25">
      <c r="A90" t="s">
        <v>1101</v>
      </c>
    </row>
    <row r="91" spans="1:1" x14ac:dyDescent="0.25">
      <c r="A91" t="s">
        <v>1102</v>
      </c>
    </row>
    <row r="92" spans="1:1" x14ac:dyDescent="0.25">
      <c r="A92" t="s">
        <v>1103</v>
      </c>
    </row>
    <row r="93" spans="1:1" x14ac:dyDescent="0.25">
      <c r="A93" t="s">
        <v>1104</v>
      </c>
    </row>
    <row r="94" spans="1:1" x14ac:dyDescent="0.25">
      <c r="A94" t="s">
        <v>1105</v>
      </c>
    </row>
    <row r="95" spans="1:1" x14ac:dyDescent="0.25">
      <c r="A95" t="s">
        <v>1106</v>
      </c>
    </row>
    <row r="96" spans="1:1" x14ac:dyDescent="0.25">
      <c r="A96" t="s">
        <v>1107</v>
      </c>
    </row>
    <row r="97" spans="1:1" x14ac:dyDescent="0.25">
      <c r="A97" t="s">
        <v>1108</v>
      </c>
    </row>
    <row r="98" spans="1:1" x14ac:dyDescent="0.25">
      <c r="A98" t="s">
        <v>1109</v>
      </c>
    </row>
    <row r="99" spans="1:1" x14ac:dyDescent="0.25">
      <c r="A99" t="s">
        <v>1110</v>
      </c>
    </row>
    <row r="100" spans="1:1" x14ac:dyDescent="0.25">
      <c r="A100" t="s">
        <v>1111</v>
      </c>
    </row>
    <row r="101" spans="1:1" x14ac:dyDescent="0.25">
      <c r="A101" t="s">
        <v>1112</v>
      </c>
    </row>
    <row r="102" spans="1:1" x14ac:dyDescent="0.25">
      <c r="A102" t="s">
        <v>1113</v>
      </c>
    </row>
    <row r="103" spans="1:1" x14ac:dyDescent="0.25">
      <c r="A103" t="s">
        <v>1114</v>
      </c>
    </row>
    <row r="104" spans="1:1" x14ac:dyDescent="0.25">
      <c r="A104" t="s">
        <v>1115</v>
      </c>
    </row>
    <row r="105" spans="1:1" x14ac:dyDescent="0.25">
      <c r="A105" t="s">
        <v>1116</v>
      </c>
    </row>
    <row r="106" spans="1:1" x14ac:dyDescent="0.25">
      <c r="A106" t="s">
        <v>1117</v>
      </c>
    </row>
    <row r="109" spans="1:1" x14ac:dyDescent="0.25">
      <c r="A109" t="s">
        <v>1118</v>
      </c>
    </row>
    <row r="110" spans="1:1" x14ac:dyDescent="0.25">
      <c r="A110" t="s">
        <v>1119</v>
      </c>
    </row>
    <row r="111" spans="1:1" x14ac:dyDescent="0.25">
      <c r="A111" t="s">
        <v>1120</v>
      </c>
    </row>
    <row r="112" spans="1:1" x14ac:dyDescent="0.25">
      <c r="A112" t="s">
        <v>1121</v>
      </c>
    </row>
    <row r="115" spans="1:1" x14ac:dyDescent="0.25">
      <c r="A115" t="s">
        <v>1122</v>
      </c>
    </row>
    <row r="116" spans="1:1" x14ac:dyDescent="0.25">
      <c r="A116" t="s">
        <v>1123</v>
      </c>
    </row>
    <row r="118" spans="1:1" x14ac:dyDescent="0.25">
      <c r="A118" t="s">
        <v>1124</v>
      </c>
    </row>
    <row r="119" spans="1:1" x14ac:dyDescent="0.25">
      <c r="A119" t="s">
        <v>1125</v>
      </c>
    </row>
    <row r="120" spans="1:1" x14ac:dyDescent="0.25">
      <c r="A120" t="s">
        <v>1126</v>
      </c>
    </row>
    <row r="121" spans="1:1" x14ac:dyDescent="0.25">
      <c r="A121" t="s">
        <v>1127</v>
      </c>
    </row>
    <row r="122" spans="1:1" x14ac:dyDescent="0.25">
      <c r="A122" t="s">
        <v>1128</v>
      </c>
    </row>
    <row r="124" spans="1:1" x14ac:dyDescent="0.25">
      <c r="A124" t="s">
        <v>1129</v>
      </c>
    </row>
    <row r="125" spans="1:1" x14ac:dyDescent="0.25">
      <c r="A125" t="s">
        <v>1130</v>
      </c>
    </row>
    <row r="126" spans="1:1" x14ac:dyDescent="0.25">
      <c r="A126" t="s">
        <v>1131</v>
      </c>
    </row>
    <row r="127" spans="1:1" x14ac:dyDescent="0.25">
      <c r="A127" t="s">
        <v>1132</v>
      </c>
    </row>
    <row r="128" spans="1:1" x14ac:dyDescent="0.25">
      <c r="A128" t="s">
        <v>1133</v>
      </c>
    </row>
    <row r="129" spans="1:1" x14ac:dyDescent="0.25">
      <c r="A129" t="s">
        <v>1134</v>
      </c>
    </row>
    <row r="131" spans="1:1" x14ac:dyDescent="0.25">
      <c r="A131" t="s">
        <v>1135</v>
      </c>
    </row>
    <row r="132" spans="1:1" x14ac:dyDescent="0.25">
      <c r="A132" t="s">
        <v>1136</v>
      </c>
    </row>
    <row r="133" spans="1:1" x14ac:dyDescent="0.25">
      <c r="A133" t="s">
        <v>1137</v>
      </c>
    </row>
    <row r="134" spans="1:1" x14ac:dyDescent="0.25">
      <c r="A134" t="s">
        <v>1138</v>
      </c>
    </row>
    <row r="135" spans="1:1" x14ac:dyDescent="0.25">
      <c r="A135" t="s">
        <v>1139</v>
      </c>
    </row>
    <row r="136" spans="1:1" x14ac:dyDescent="0.25">
      <c r="A136" t="s">
        <v>1140</v>
      </c>
    </row>
    <row r="138" spans="1:1" x14ac:dyDescent="0.25">
      <c r="A138" t="s">
        <v>1141</v>
      </c>
    </row>
    <row r="139" spans="1:1" x14ac:dyDescent="0.25">
      <c r="A139" t="s">
        <v>1142</v>
      </c>
    </row>
    <row r="141" spans="1:1" x14ac:dyDescent="0.25">
      <c r="A141" t="s">
        <v>1143</v>
      </c>
    </row>
    <row r="142" spans="1:1" x14ac:dyDescent="0.25">
      <c r="A142" t="s">
        <v>1144</v>
      </c>
    </row>
    <row r="143" spans="1:1" x14ac:dyDescent="0.25">
      <c r="A143" t="s">
        <v>1145</v>
      </c>
    </row>
    <row r="144" spans="1:1" x14ac:dyDescent="0.25">
      <c r="A144" t="s">
        <v>1146</v>
      </c>
    </row>
    <row r="146" spans="1:1" x14ac:dyDescent="0.25">
      <c r="A146" t="s">
        <v>1147</v>
      </c>
    </row>
    <row r="147" spans="1:1" x14ac:dyDescent="0.25">
      <c r="A147" t="s">
        <v>1148</v>
      </c>
    </row>
    <row r="149" spans="1:1" x14ac:dyDescent="0.25">
      <c r="A149" t="s">
        <v>1149</v>
      </c>
    </row>
    <row r="150" spans="1:1" x14ac:dyDescent="0.25">
      <c r="A150" t="s">
        <v>1150</v>
      </c>
    </row>
    <row r="152" spans="1:1" x14ac:dyDescent="0.25">
      <c r="A152" t="s">
        <v>1151</v>
      </c>
    </row>
    <row r="153" spans="1:1" x14ac:dyDescent="0.25">
      <c r="A153" t="s">
        <v>1152</v>
      </c>
    </row>
    <row r="154" spans="1:1" x14ac:dyDescent="0.25">
      <c r="A154" t="s">
        <v>1153</v>
      </c>
    </row>
    <row r="155" spans="1:1" x14ac:dyDescent="0.25">
      <c r="A155" t="s">
        <v>1154</v>
      </c>
    </row>
    <row r="157" spans="1:1" x14ac:dyDescent="0.25">
      <c r="A157" t="s">
        <v>1155</v>
      </c>
    </row>
    <row r="158" spans="1:1" x14ac:dyDescent="0.25">
      <c r="A158" t="s">
        <v>1156</v>
      </c>
    </row>
    <row r="159" spans="1:1" x14ac:dyDescent="0.25">
      <c r="A159" t="s">
        <v>1157</v>
      </c>
    </row>
    <row r="160" spans="1:1" x14ac:dyDescent="0.25">
      <c r="A160" t="s">
        <v>1158</v>
      </c>
    </row>
    <row r="162" spans="1:1" x14ac:dyDescent="0.25">
      <c r="A162" t="s">
        <v>1159</v>
      </c>
    </row>
    <row r="163" spans="1:1" x14ac:dyDescent="0.25">
      <c r="A163" t="s">
        <v>1160</v>
      </c>
    </row>
    <row r="164" spans="1:1" x14ac:dyDescent="0.25">
      <c r="A164" t="s">
        <v>1161</v>
      </c>
    </row>
    <row r="165" spans="1:1" x14ac:dyDescent="0.25">
      <c r="A165" t="s">
        <v>1162</v>
      </c>
    </row>
    <row r="166" spans="1:1" x14ac:dyDescent="0.25">
      <c r="A166" t="s">
        <v>1163</v>
      </c>
    </row>
    <row r="168" spans="1:1" x14ac:dyDescent="0.25">
      <c r="A168" t="s">
        <v>1164</v>
      </c>
    </row>
    <row r="169" spans="1:1" x14ac:dyDescent="0.25">
      <c r="A169" t="s">
        <v>1165</v>
      </c>
    </row>
    <row r="170" spans="1:1" x14ac:dyDescent="0.25">
      <c r="A170" t="s">
        <v>1161</v>
      </c>
    </row>
    <row r="171" spans="1:1" x14ac:dyDescent="0.25">
      <c r="A171" t="s">
        <v>1166</v>
      </c>
    </row>
    <row r="172" spans="1:1" x14ac:dyDescent="0.25">
      <c r="A172" t="s">
        <v>1167</v>
      </c>
    </row>
    <row r="174" spans="1:1" x14ac:dyDescent="0.25">
      <c r="A174" t="s">
        <v>1168</v>
      </c>
    </row>
    <row r="175" spans="1:1" x14ac:dyDescent="0.25">
      <c r="A175" t="s">
        <v>1169</v>
      </c>
    </row>
    <row r="176" spans="1:1" x14ac:dyDescent="0.25">
      <c r="A176" t="s">
        <v>1170</v>
      </c>
    </row>
    <row r="178" spans="1:1" x14ac:dyDescent="0.25">
      <c r="A178" t="s">
        <v>1171</v>
      </c>
    </row>
    <row r="179" spans="1:1" x14ac:dyDescent="0.25">
      <c r="A179" t="s">
        <v>1172</v>
      </c>
    </row>
    <row r="180" spans="1:1" x14ac:dyDescent="0.25">
      <c r="A180" t="s">
        <v>1173</v>
      </c>
    </row>
    <row r="181" spans="1:1" x14ac:dyDescent="0.25">
      <c r="A181" t="s">
        <v>1174</v>
      </c>
    </row>
    <row r="182" spans="1:1" x14ac:dyDescent="0.25">
      <c r="A182" t="s">
        <v>1175</v>
      </c>
    </row>
    <row r="183" spans="1:1" x14ac:dyDescent="0.25">
      <c r="A183" t="s">
        <v>1176</v>
      </c>
    </row>
    <row r="184" spans="1:1" x14ac:dyDescent="0.25">
      <c r="A184" t="s">
        <v>1177</v>
      </c>
    </row>
    <row r="185" spans="1:1" x14ac:dyDescent="0.25">
      <c r="A185" t="s">
        <v>1178</v>
      </c>
    </row>
    <row r="186" spans="1:1" x14ac:dyDescent="0.25">
      <c r="A186" t="s">
        <v>1179</v>
      </c>
    </row>
    <row r="187" spans="1:1" x14ac:dyDescent="0.25">
      <c r="A187" t="s">
        <v>1180</v>
      </c>
    </row>
    <row r="188" spans="1:1" x14ac:dyDescent="0.25">
      <c r="A188" t="s">
        <v>1181</v>
      </c>
    </row>
    <row r="189" spans="1:1" x14ac:dyDescent="0.25">
      <c r="A189" t="s">
        <v>1182</v>
      </c>
    </row>
    <row r="190" spans="1:1" x14ac:dyDescent="0.25">
      <c r="A190" t="s">
        <v>1183</v>
      </c>
    </row>
    <row r="191" spans="1:1" x14ac:dyDescent="0.25">
      <c r="A191" t="s">
        <v>1184</v>
      </c>
    </row>
    <row r="192" spans="1:1" x14ac:dyDescent="0.25">
      <c r="A192" t="s">
        <v>1185</v>
      </c>
    </row>
    <row r="193" spans="1:1" x14ac:dyDescent="0.25">
      <c r="A193" t="s">
        <v>1186</v>
      </c>
    </row>
    <row r="194" spans="1:1" x14ac:dyDescent="0.25">
      <c r="A194" t="s">
        <v>1187</v>
      </c>
    </row>
    <row r="195" spans="1:1" x14ac:dyDescent="0.25">
      <c r="A195" t="s">
        <v>1188</v>
      </c>
    </row>
    <row r="196" spans="1:1" x14ac:dyDescent="0.25">
      <c r="A196" t="s">
        <v>1189</v>
      </c>
    </row>
    <row r="197" spans="1:1" x14ac:dyDescent="0.25">
      <c r="A197" t="s">
        <v>1190</v>
      </c>
    </row>
    <row r="198" spans="1:1" x14ac:dyDescent="0.25">
      <c r="A198" t="s">
        <v>1191</v>
      </c>
    </row>
    <row r="199" spans="1:1" x14ac:dyDescent="0.25">
      <c r="A199" t="s">
        <v>1192</v>
      </c>
    </row>
    <row r="200" spans="1:1" x14ac:dyDescent="0.25">
      <c r="A200" t="s">
        <v>1193</v>
      </c>
    </row>
    <row r="201" spans="1:1" x14ac:dyDescent="0.25">
      <c r="A201" t="s">
        <v>1194</v>
      </c>
    </row>
    <row r="202" spans="1:1" x14ac:dyDescent="0.25">
      <c r="A202" t="s">
        <v>1195</v>
      </c>
    </row>
    <row r="203" spans="1:1" x14ac:dyDescent="0.25">
      <c r="A203" t="s">
        <v>1196</v>
      </c>
    </row>
    <row r="204" spans="1:1" x14ac:dyDescent="0.25">
      <c r="A204" t="s">
        <v>1197</v>
      </c>
    </row>
    <row r="205" spans="1:1" x14ac:dyDescent="0.25">
      <c r="A205" t="s">
        <v>1198</v>
      </c>
    </row>
    <row r="206" spans="1:1" x14ac:dyDescent="0.25">
      <c r="A206" t="s">
        <v>1199</v>
      </c>
    </row>
    <row r="207" spans="1:1" x14ac:dyDescent="0.25">
      <c r="A207" t="s">
        <v>1200</v>
      </c>
    </row>
    <row r="208" spans="1:1" x14ac:dyDescent="0.25">
      <c r="A208" t="s">
        <v>1201</v>
      </c>
    </row>
    <row r="209" spans="1:1" x14ac:dyDescent="0.25">
      <c r="A209" t="s">
        <v>1202</v>
      </c>
    </row>
    <row r="211" spans="1:1" x14ac:dyDescent="0.25">
      <c r="A211" t="s">
        <v>1203</v>
      </c>
    </row>
    <row r="212" spans="1:1" x14ac:dyDescent="0.25">
      <c r="A212" t="s">
        <v>1204</v>
      </c>
    </row>
    <row r="213" spans="1:1" x14ac:dyDescent="0.25">
      <c r="A213" t="s">
        <v>1205</v>
      </c>
    </row>
    <row r="214" spans="1:1" x14ac:dyDescent="0.25">
      <c r="A214" t="s">
        <v>1206</v>
      </c>
    </row>
    <row r="217" spans="1:1" x14ac:dyDescent="0.25">
      <c r="A217" t="s">
        <v>1207</v>
      </c>
    </row>
    <row r="218" spans="1:1" x14ac:dyDescent="0.25">
      <c r="A218" t="s">
        <v>1208</v>
      </c>
    </row>
    <row r="219" spans="1:1" x14ac:dyDescent="0.25">
      <c r="A219" t="s">
        <v>1209</v>
      </c>
    </row>
    <row r="220" spans="1:1" x14ac:dyDescent="0.25">
      <c r="A220" t="s">
        <v>1210</v>
      </c>
    </row>
    <row r="221" spans="1:1" x14ac:dyDescent="0.25">
      <c r="A221" t="s">
        <v>1211</v>
      </c>
    </row>
    <row r="222" spans="1:1" x14ac:dyDescent="0.25">
      <c r="A222" t="s">
        <v>1212</v>
      </c>
    </row>
    <row r="224" spans="1:1" x14ac:dyDescent="0.25">
      <c r="A224" t="s">
        <v>1213</v>
      </c>
    </row>
    <row r="225" spans="1:1" x14ac:dyDescent="0.25">
      <c r="A225" t="s">
        <v>1214</v>
      </c>
    </row>
    <row r="226" spans="1:1" x14ac:dyDescent="0.25">
      <c r="A226" t="s">
        <v>1215</v>
      </c>
    </row>
    <row r="227" spans="1:1" x14ac:dyDescent="0.25">
      <c r="A227" t="s">
        <v>1216</v>
      </c>
    </row>
    <row r="228" spans="1:1" x14ac:dyDescent="0.25">
      <c r="A228" t="s">
        <v>1217</v>
      </c>
    </row>
    <row r="229" spans="1:1" x14ac:dyDescent="0.25">
      <c r="A229" t="s">
        <v>1218</v>
      </c>
    </row>
    <row r="230" spans="1:1" x14ac:dyDescent="0.25">
      <c r="A230" t="s">
        <v>1219</v>
      </c>
    </row>
    <row r="231" spans="1:1" x14ac:dyDescent="0.25">
      <c r="A231" t="s">
        <v>1220</v>
      </c>
    </row>
    <row r="232" spans="1:1" x14ac:dyDescent="0.25">
      <c r="A232" t="s">
        <v>1221</v>
      </c>
    </row>
    <row r="233" spans="1:1" x14ac:dyDescent="0.25">
      <c r="A233" t="s">
        <v>1222</v>
      </c>
    </row>
    <row r="234" spans="1:1" x14ac:dyDescent="0.25">
      <c r="A234" t="s">
        <v>1223</v>
      </c>
    </row>
    <row r="235" spans="1:1" x14ac:dyDescent="0.25">
      <c r="A235" t="s">
        <v>1224</v>
      </c>
    </row>
    <row r="236" spans="1:1" x14ac:dyDescent="0.25">
      <c r="A236" t="s">
        <v>1225</v>
      </c>
    </row>
    <row r="237" spans="1:1" x14ac:dyDescent="0.25">
      <c r="A237" t="s">
        <v>1226</v>
      </c>
    </row>
    <row r="239" spans="1:1" x14ac:dyDescent="0.25">
      <c r="A239" t="s">
        <v>1227</v>
      </c>
    </row>
    <row r="240" spans="1:1" x14ac:dyDescent="0.25">
      <c r="A240" t="s">
        <v>1228</v>
      </c>
    </row>
    <row r="241" spans="1:1" x14ac:dyDescent="0.25">
      <c r="A241" t="s">
        <v>1229</v>
      </c>
    </row>
    <row r="242" spans="1:1" x14ac:dyDescent="0.25">
      <c r="A242" t="s">
        <v>1230</v>
      </c>
    </row>
    <row r="243" spans="1:1" x14ac:dyDescent="0.25">
      <c r="A243" t="s">
        <v>1231</v>
      </c>
    </row>
    <row r="245" spans="1:1" x14ac:dyDescent="0.25">
      <c r="A245" t="s">
        <v>1232</v>
      </c>
    </row>
    <row r="247" spans="1:1" x14ac:dyDescent="0.25">
      <c r="A247" t="s">
        <v>1233</v>
      </c>
    </row>
    <row r="248" spans="1:1" x14ac:dyDescent="0.25">
      <c r="A248" t="s">
        <v>1234</v>
      </c>
    </row>
    <row r="249" spans="1:1" x14ac:dyDescent="0.25">
      <c r="A249" t="s">
        <v>1235</v>
      </c>
    </row>
    <row r="251" spans="1:1" x14ac:dyDescent="0.25">
      <c r="A251" t="s">
        <v>1236</v>
      </c>
    </row>
    <row r="252" spans="1:1" x14ac:dyDescent="0.25">
      <c r="A252" t="s">
        <v>1237</v>
      </c>
    </row>
    <row r="254" spans="1:1" x14ac:dyDescent="0.25">
      <c r="A254" t="s">
        <v>1238</v>
      </c>
    </row>
    <row r="255" spans="1:1" x14ac:dyDescent="0.25">
      <c r="A255" t="s">
        <v>1239</v>
      </c>
    </row>
    <row r="257" spans="1:1" x14ac:dyDescent="0.25">
      <c r="A257" t="s">
        <v>1240</v>
      </c>
    </row>
    <row r="258" spans="1:1" x14ac:dyDescent="0.25">
      <c r="A258" t="s">
        <v>1241</v>
      </c>
    </row>
    <row r="260" spans="1:1" x14ac:dyDescent="0.25">
      <c r="A260" t="s">
        <v>1242</v>
      </c>
    </row>
    <row r="261" spans="1:1" x14ac:dyDescent="0.25">
      <c r="A261" t="s">
        <v>1243</v>
      </c>
    </row>
    <row r="262" spans="1:1" x14ac:dyDescent="0.25">
      <c r="A262" t="s">
        <v>1244</v>
      </c>
    </row>
    <row r="263" spans="1:1" x14ac:dyDescent="0.25">
      <c r="A263" t="s">
        <v>1245</v>
      </c>
    </row>
    <row r="264" spans="1:1" x14ac:dyDescent="0.25">
      <c r="A264" t="s">
        <v>1246</v>
      </c>
    </row>
    <row r="265" spans="1:1" x14ac:dyDescent="0.25">
      <c r="A265" t="s">
        <v>1247</v>
      </c>
    </row>
    <row r="266" spans="1:1" x14ac:dyDescent="0.25">
      <c r="A266" t="s">
        <v>1248</v>
      </c>
    </row>
    <row r="267" spans="1:1" x14ac:dyDescent="0.25">
      <c r="A267" t="s">
        <v>1249</v>
      </c>
    </row>
    <row r="269" spans="1:1" x14ac:dyDescent="0.25">
      <c r="A269" t="s">
        <v>1250</v>
      </c>
    </row>
    <row r="270" spans="1:1" x14ac:dyDescent="0.25">
      <c r="A270" t="s">
        <v>1251</v>
      </c>
    </row>
    <row r="271" spans="1:1" x14ac:dyDescent="0.25">
      <c r="A271" t="s">
        <v>1252</v>
      </c>
    </row>
    <row r="272" spans="1:1" x14ac:dyDescent="0.25">
      <c r="A272" t="s">
        <v>1253</v>
      </c>
    </row>
    <row r="273" spans="1:1" x14ac:dyDescent="0.25">
      <c r="A273" t="s">
        <v>1254</v>
      </c>
    </row>
    <row r="274" spans="1:1" x14ac:dyDescent="0.25">
      <c r="A274" t="s">
        <v>1255</v>
      </c>
    </row>
    <row r="275" spans="1:1" x14ac:dyDescent="0.25">
      <c r="A275" t="s">
        <v>1256</v>
      </c>
    </row>
    <row r="276" spans="1:1" x14ac:dyDescent="0.25">
      <c r="A276" t="s">
        <v>1257</v>
      </c>
    </row>
    <row r="278" spans="1:1" x14ac:dyDescent="0.25">
      <c r="A278" t="s">
        <v>1258</v>
      </c>
    </row>
    <row r="279" spans="1:1" x14ac:dyDescent="0.25">
      <c r="A279" t="s">
        <v>1259</v>
      </c>
    </row>
    <row r="280" spans="1:1" x14ac:dyDescent="0.25">
      <c r="A280" t="s">
        <v>1260</v>
      </c>
    </row>
    <row r="281" spans="1:1" x14ac:dyDescent="0.25">
      <c r="A281" t="s">
        <v>1261</v>
      </c>
    </row>
    <row r="282" spans="1:1" x14ac:dyDescent="0.25">
      <c r="A282" t="s">
        <v>1262</v>
      </c>
    </row>
    <row r="283" spans="1:1" x14ac:dyDescent="0.25">
      <c r="A283" t="s">
        <v>1263</v>
      </c>
    </row>
    <row r="285" spans="1:1" x14ac:dyDescent="0.25">
      <c r="A285" t="s">
        <v>1264</v>
      </c>
    </row>
    <row r="286" spans="1:1" x14ac:dyDescent="0.25">
      <c r="A286" t="s">
        <v>1265</v>
      </c>
    </row>
    <row r="287" spans="1:1" x14ac:dyDescent="0.25">
      <c r="A287" t="s">
        <v>1266</v>
      </c>
    </row>
    <row r="288" spans="1:1" x14ac:dyDescent="0.25">
      <c r="A288" t="s">
        <v>1267</v>
      </c>
    </row>
    <row r="289" spans="1:1" x14ac:dyDescent="0.25">
      <c r="A289" t="s">
        <v>1268</v>
      </c>
    </row>
    <row r="290" spans="1:1" x14ac:dyDescent="0.25">
      <c r="A290" t="s">
        <v>1269</v>
      </c>
    </row>
    <row r="292" spans="1:1" x14ac:dyDescent="0.25">
      <c r="A292" t="s">
        <v>1270</v>
      </c>
    </row>
    <row r="293" spans="1:1" x14ac:dyDescent="0.25">
      <c r="A293" t="s">
        <v>1271</v>
      </c>
    </row>
    <row r="294" spans="1:1" x14ac:dyDescent="0.25">
      <c r="A294" t="s">
        <v>1272</v>
      </c>
    </row>
    <row r="295" spans="1:1" x14ac:dyDescent="0.25">
      <c r="A295" t="s">
        <v>1273</v>
      </c>
    </row>
    <row r="296" spans="1:1" x14ac:dyDescent="0.25">
      <c r="A296" t="s">
        <v>1274</v>
      </c>
    </row>
    <row r="297" spans="1:1" x14ac:dyDescent="0.25">
      <c r="A297" t="s">
        <v>1275</v>
      </c>
    </row>
    <row r="299" spans="1:1" x14ac:dyDescent="0.25">
      <c r="A299" t="s">
        <v>1276</v>
      </c>
    </row>
    <row r="300" spans="1:1" x14ac:dyDescent="0.25">
      <c r="A300" t="s">
        <v>1277</v>
      </c>
    </row>
    <row r="301" spans="1:1" x14ac:dyDescent="0.25">
      <c r="A301" t="s">
        <v>1278</v>
      </c>
    </row>
    <row r="302" spans="1:1" x14ac:dyDescent="0.25">
      <c r="A302" t="s">
        <v>1279</v>
      </c>
    </row>
    <row r="303" spans="1:1" x14ac:dyDescent="0.25">
      <c r="A303" t="s">
        <v>1280</v>
      </c>
    </row>
    <row r="304" spans="1:1" x14ac:dyDescent="0.25">
      <c r="A304" t="s">
        <v>1281</v>
      </c>
    </row>
    <row r="306" spans="1:1" x14ac:dyDescent="0.25">
      <c r="A306" t="s">
        <v>1282</v>
      </c>
    </row>
    <row r="307" spans="1:1" x14ac:dyDescent="0.25">
      <c r="A307" t="s">
        <v>1283</v>
      </c>
    </row>
    <row r="308" spans="1:1" x14ac:dyDescent="0.25">
      <c r="A308" t="s">
        <v>1284</v>
      </c>
    </row>
    <row r="309" spans="1:1" x14ac:dyDescent="0.25">
      <c r="A309" t="s">
        <v>1285</v>
      </c>
    </row>
    <row r="310" spans="1:1" x14ac:dyDescent="0.25">
      <c r="A310" t="s">
        <v>1286</v>
      </c>
    </row>
    <row r="311" spans="1:1" x14ac:dyDescent="0.25">
      <c r="A311" t="s">
        <v>1287</v>
      </c>
    </row>
    <row r="312" spans="1:1" x14ac:dyDescent="0.25">
      <c r="A312" t="s">
        <v>1288</v>
      </c>
    </row>
    <row r="314" spans="1:1" x14ac:dyDescent="0.25">
      <c r="A314" t="s">
        <v>1289</v>
      </c>
    </row>
    <row r="315" spans="1:1" x14ac:dyDescent="0.25">
      <c r="A315" t="s">
        <v>1290</v>
      </c>
    </row>
    <row r="316" spans="1:1" x14ac:dyDescent="0.25">
      <c r="A316" t="s">
        <v>1291</v>
      </c>
    </row>
    <row r="317" spans="1:1" x14ac:dyDescent="0.25">
      <c r="A317" t="s">
        <v>1292</v>
      </c>
    </row>
    <row r="318" spans="1:1" x14ac:dyDescent="0.25">
      <c r="A318" t="s">
        <v>1293</v>
      </c>
    </row>
    <row r="319" spans="1:1" x14ac:dyDescent="0.25">
      <c r="A319" t="s">
        <v>1294</v>
      </c>
    </row>
    <row r="320" spans="1:1" x14ac:dyDescent="0.25">
      <c r="A320" t="s">
        <v>1295</v>
      </c>
    </row>
    <row r="322" spans="1:1" x14ac:dyDescent="0.25">
      <c r="A322" t="s">
        <v>1296</v>
      </c>
    </row>
    <row r="323" spans="1:1" x14ac:dyDescent="0.25">
      <c r="A323" t="s">
        <v>1297</v>
      </c>
    </row>
    <row r="324" spans="1:1" x14ac:dyDescent="0.25">
      <c r="A324" t="s">
        <v>1298</v>
      </c>
    </row>
    <row r="325" spans="1:1" x14ac:dyDescent="0.25">
      <c r="A325" t="s">
        <v>1299</v>
      </c>
    </row>
    <row r="326" spans="1:1" x14ac:dyDescent="0.25">
      <c r="A326" t="s">
        <v>1300</v>
      </c>
    </row>
    <row r="327" spans="1:1" x14ac:dyDescent="0.25">
      <c r="A327" t="s">
        <v>1301</v>
      </c>
    </row>
    <row r="328" spans="1:1" x14ac:dyDescent="0.25">
      <c r="A328" t="s">
        <v>1302</v>
      </c>
    </row>
    <row r="329" spans="1:1" x14ac:dyDescent="0.25">
      <c r="A329" t="s">
        <v>1303</v>
      </c>
    </row>
    <row r="330" spans="1:1" x14ac:dyDescent="0.25">
      <c r="A330" t="s">
        <v>1304</v>
      </c>
    </row>
    <row r="331" spans="1:1" x14ac:dyDescent="0.25">
      <c r="A331" t="s">
        <v>1305</v>
      </c>
    </row>
    <row r="332" spans="1:1" x14ac:dyDescent="0.25">
      <c r="A332" t="s">
        <v>1306</v>
      </c>
    </row>
    <row r="333" spans="1:1" x14ac:dyDescent="0.25">
      <c r="A333" t="s">
        <v>1307</v>
      </c>
    </row>
    <row r="334" spans="1:1" x14ac:dyDescent="0.25">
      <c r="A334" t="s">
        <v>1308</v>
      </c>
    </row>
    <row r="335" spans="1:1" x14ac:dyDescent="0.25">
      <c r="A335" t="s">
        <v>1309</v>
      </c>
    </row>
    <row r="336" spans="1:1" x14ac:dyDescent="0.25">
      <c r="A336" t="s">
        <v>1310</v>
      </c>
    </row>
    <row r="337" spans="1:1" x14ac:dyDescent="0.25">
      <c r="A337" t="s">
        <v>1311</v>
      </c>
    </row>
    <row r="338" spans="1:1" x14ac:dyDescent="0.25">
      <c r="A338" t="s">
        <v>1312</v>
      </c>
    </row>
    <row r="339" spans="1:1" x14ac:dyDescent="0.25">
      <c r="A339" t="s">
        <v>1313</v>
      </c>
    </row>
    <row r="340" spans="1:1" x14ac:dyDescent="0.25">
      <c r="A340" t="s">
        <v>1294</v>
      </c>
    </row>
    <row r="341" spans="1:1" x14ac:dyDescent="0.25">
      <c r="A341" t="s">
        <v>1314</v>
      </c>
    </row>
    <row r="342" spans="1:1" x14ac:dyDescent="0.25">
      <c r="A342" t="s">
        <v>1315</v>
      </c>
    </row>
    <row r="343" spans="1:1" x14ac:dyDescent="0.25">
      <c r="A343" t="s">
        <v>1316</v>
      </c>
    </row>
    <row r="344" spans="1:1" x14ac:dyDescent="0.25">
      <c r="A344" t="s">
        <v>1317</v>
      </c>
    </row>
    <row r="346" spans="1:1" x14ac:dyDescent="0.25">
      <c r="A346" t="s">
        <v>1318</v>
      </c>
    </row>
    <row r="347" spans="1:1" x14ac:dyDescent="0.25">
      <c r="A347" t="s">
        <v>1319</v>
      </c>
    </row>
    <row r="348" spans="1:1" x14ac:dyDescent="0.25">
      <c r="A348" t="s">
        <v>1320</v>
      </c>
    </row>
    <row r="349" spans="1:1" x14ac:dyDescent="0.25">
      <c r="A349" t="s">
        <v>1321</v>
      </c>
    </row>
    <row r="350" spans="1:1" x14ac:dyDescent="0.25">
      <c r="A350" t="s">
        <v>1322</v>
      </c>
    </row>
    <row r="351" spans="1:1" x14ac:dyDescent="0.25">
      <c r="A351" t="s">
        <v>1294</v>
      </c>
    </row>
    <row r="352" spans="1:1" x14ac:dyDescent="0.25">
      <c r="A352" t="s">
        <v>1323</v>
      </c>
    </row>
    <row r="353" spans="1:1" x14ac:dyDescent="0.25">
      <c r="A353" t="s">
        <v>1324</v>
      </c>
    </row>
    <row r="354" spans="1:1" x14ac:dyDescent="0.25">
      <c r="A354" t="s">
        <v>1316</v>
      </c>
    </row>
    <row r="355" spans="1:1" x14ac:dyDescent="0.25">
      <c r="A355" t="s">
        <v>1325</v>
      </c>
    </row>
    <row r="357" spans="1:1" x14ac:dyDescent="0.25">
      <c r="A357" t="s">
        <v>1326</v>
      </c>
    </row>
    <row r="358" spans="1:1" x14ac:dyDescent="0.25">
      <c r="A358" t="s">
        <v>1327</v>
      </c>
    </row>
    <row r="359" spans="1:1" x14ac:dyDescent="0.25">
      <c r="A359" t="s">
        <v>1328</v>
      </c>
    </row>
    <row r="360" spans="1:1" x14ac:dyDescent="0.25">
      <c r="A360" t="s">
        <v>1329</v>
      </c>
    </row>
    <row r="361" spans="1:1" x14ac:dyDescent="0.25">
      <c r="A361" t="s">
        <v>1330</v>
      </c>
    </row>
    <row r="362" spans="1:1" x14ac:dyDescent="0.25">
      <c r="A362" t="s">
        <v>1331</v>
      </c>
    </row>
    <row r="363" spans="1:1" x14ac:dyDescent="0.25">
      <c r="A363" t="s">
        <v>1332</v>
      </c>
    </row>
    <row r="364" spans="1:1" x14ac:dyDescent="0.25">
      <c r="A364" t="s">
        <v>1333</v>
      </c>
    </row>
    <row r="366" spans="1:1" x14ac:dyDescent="0.25">
      <c r="A366" t="s">
        <v>1334</v>
      </c>
    </row>
    <row r="367" spans="1:1" x14ac:dyDescent="0.25">
      <c r="A367" t="s">
        <v>1335</v>
      </c>
    </row>
    <row r="368" spans="1:1" x14ac:dyDescent="0.25">
      <c r="A368" t="s">
        <v>1336</v>
      </c>
    </row>
    <row r="369" spans="1:1" x14ac:dyDescent="0.25">
      <c r="A369" t="s">
        <v>1337</v>
      </c>
    </row>
    <row r="370" spans="1:1" x14ac:dyDescent="0.25">
      <c r="A370" t="s">
        <v>1338</v>
      </c>
    </row>
    <row r="371" spans="1:1" x14ac:dyDescent="0.25">
      <c r="A371" t="s">
        <v>1339</v>
      </c>
    </row>
    <row r="372" spans="1:1" x14ac:dyDescent="0.25">
      <c r="A372" t="s">
        <v>1340</v>
      </c>
    </row>
    <row r="373" spans="1:1" x14ac:dyDescent="0.25">
      <c r="A373" t="s">
        <v>1341</v>
      </c>
    </row>
    <row r="375" spans="1:1" x14ac:dyDescent="0.25">
      <c r="A375" t="s">
        <v>1342</v>
      </c>
    </row>
    <row r="376" spans="1:1" x14ac:dyDescent="0.25">
      <c r="A376" t="s">
        <v>1343</v>
      </c>
    </row>
    <row r="377" spans="1:1" x14ac:dyDescent="0.25">
      <c r="A377" t="s">
        <v>1344</v>
      </c>
    </row>
    <row r="378" spans="1:1" x14ac:dyDescent="0.25">
      <c r="A378" t="s">
        <v>1345</v>
      </c>
    </row>
    <row r="379" spans="1:1" x14ac:dyDescent="0.25">
      <c r="A379" t="s">
        <v>1346</v>
      </c>
    </row>
    <row r="380" spans="1:1" x14ac:dyDescent="0.25">
      <c r="A380" t="s">
        <v>1347</v>
      </c>
    </row>
    <row r="381" spans="1:1" x14ac:dyDescent="0.25">
      <c r="A381" t="s">
        <v>1348</v>
      </c>
    </row>
    <row r="382" spans="1:1" x14ac:dyDescent="0.25">
      <c r="A382" t="s">
        <v>1349</v>
      </c>
    </row>
    <row r="384" spans="1:1" x14ac:dyDescent="0.25">
      <c r="A384" t="s">
        <v>1350</v>
      </c>
    </row>
    <row r="385" spans="1:1" x14ac:dyDescent="0.25">
      <c r="A385" t="s">
        <v>1351</v>
      </c>
    </row>
    <row r="387" spans="1:1" x14ac:dyDescent="0.25">
      <c r="A387" t="s">
        <v>1352</v>
      </c>
    </row>
    <row r="388" spans="1:1" x14ac:dyDescent="0.25">
      <c r="A388" t="s">
        <v>1353</v>
      </c>
    </row>
    <row r="391" spans="1:1" x14ac:dyDescent="0.25">
      <c r="A391" t="s">
        <v>1354</v>
      </c>
    </row>
    <row r="392" spans="1:1" x14ac:dyDescent="0.25">
      <c r="A392" t="s">
        <v>1355</v>
      </c>
    </row>
    <row r="394" spans="1:1" x14ac:dyDescent="0.25">
      <c r="A394" t="s">
        <v>1356</v>
      </c>
    </row>
    <row r="395" spans="1:1" x14ac:dyDescent="0.25">
      <c r="A395" t="s">
        <v>1357</v>
      </c>
    </row>
    <row r="397" spans="1:1" x14ac:dyDescent="0.25">
      <c r="A397" t="s">
        <v>1358</v>
      </c>
    </row>
    <row r="398" spans="1:1" x14ac:dyDescent="0.25">
      <c r="A398" t="s">
        <v>1359</v>
      </c>
    </row>
    <row r="399" spans="1:1" x14ac:dyDescent="0.25">
      <c r="A399" t="s">
        <v>1360</v>
      </c>
    </row>
    <row r="400" spans="1:1" x14ac:dyDescent="0.25">
      <c r="A400" t="s">
        <v>1361</v>
      </c>
    </row>
    <row r="401" spans="1:1" x14ac:dyDescent="0.25">
      <c r="A401" t="s">
        <v>1362</v>
      </c>
    </row>
    <row r="402" spans="1:1" x14ac:dyDescent="0.25">
      <c r="A402" t="s">
        <v>1363</v>
      </c>
    </row>
    <row r="403" spans="1:1" x14ac:dyDescent="0.25">
      <c r="A403" t="s">
        <v>1364</v>
      </c>
    </row>
    <row r="404" spans="1:1" x14ac:dyDescent="0.25">
      <c r="A404" t="s">
        <v>1246</v>
      </c>
    </row>
    <row r="405" spans="1:1" x14ac:dyDescent="0.25">
      <c r="A405" t="s">
        <v>1247</v>
      </c>
    </row>
    <row r="406" spans="1:1" x14ac:dyDescent="0.25">
      <c r="A406" t="s">
        <v>1248</v>
      </c>
    </row>
    <row r="407" spans="1:1" x14ac:dyDescent="0.25">
      <c r="A407" t="s">
        <v>1365</v>
      </c>
    </row>
    <row r="409" spans="1:1" x14ac:dyDescent="0.25">
      <c r="A409" t="s">
        <v>1366</v>
      </c>
    </row>
    <row r="410" spans="1:1" x14ac:dyDescent="0.25">
      <c r="A410" t="s">
        <v>1367</v>
      </c>
    </row>
    <row r="411" spans="1:1" x14ac:dyDescent="0.25">
      <c r="A411" t="s">
        <v>1368</v>
      </c>
    </row>
    <row r="412" spans="1:1" x14ac:dyDescent="0.25">
      <c r="A412" t="s">
        <v>1369</v>
      </c>
    </row>
    <row r="413" spans="1:1" x14ac:dyDescent="0.25">
      <c r="A413" t="s">
        <v>1273</v>
      </c>
    </row>
    <row r="414" spans="1:1" x14ac:dyDescent="0.25">
      <c r="A414" t="s">
        <v>1274</v>
      </c>
    </row>
    <row r="415" spans="1:1" x14ac:dyDescent="0.25">
      <c r="A415" t="s">
        <v>1370</v>
      </c>
    </row>
    <row r="417" spans="1:1" x14ac:dyDescent="0.25">
      <c r="A417" t="s">
        <v>1371</v>
      </c>
    </row>
    <row r="418" spans="1:1" x14ac:dyDescent="0.25">
      <c r="A418" t="s">
        <v>1372</v>
      </c>
    </row>
    <row r="419" spans="1:1" x14ac:dyDescent="0.25">
      <c r="A419" t="s">
        <v>1373</v>
      </c>
    </row>
    <row r="420" spans="1:1" x14ac:dyDescent="0.25">
      <c r="A420" t="s">
        <v>1374</v>
      </c>
    </row>
    <row r="421" spans="1:1" x14ac:dyDescent="0.25">
      <c r="A421" t="s">
        <v>1279</v>
      </c>
    </row>
    <row r="422" spans="1:1" x14ac:dyDescent="0.25">
      <c r="A422" t="s">
        <v>1375</v>
      </c>
    </row>
    <row r="423" spans="1:1" x14ac:dyDescent="0.25">
      <c r="A423" t="s">
        <v>1376</v>
      </c>
    </row>
    <row r="424" spans="1:1" x14ac:dyDescent="0.25">
      <c r="A424" t="s">
        <v>1377</v>
      </c>
    </row>
    <row r="426" spans="1:1" x14ac:dyDescent="0.25">
      <c r="A426" t="s">
        <v>1378</v>
      </c>
    </row>
    <row r="427" spans="1:1" x14ac:dyDescent="0.25">
      <c r="A427" t="s">
        <v>1379</v>
      </c>
    </row>
    <row r="428" spans="1:1" x14ac:dyDescent="0.25">
      <c r="A428" t="s">
        <v>1380</v>
      </c>
    </row>
    <row r="429" spans="1:1" x14ac:dyDescent="0.25">
      <c r="A429" t="s">
        <v>1381</v>
      </c>
    </row>
    <row r="430" spans="1:1" x14ac:dyDescent="0.25">
      <c r="A430" t="s">
        <v>1284</v>
      </c>
    </row>
    <row r="431" spans="1:1" x14ac:dyDescent="0.25">
      <c r="A431" t="s">
        <v>1382</v>
      </c>
    </row>
    <row r="432" spans="1:1" x14ac:dyDescent="0.25">
      <c r="A432" t="s">
        <v>1286</v>
      </c>
    </row>
    <row r="433" spans="1:1" x14ac:dyDescent="0.25">
      <c r="A433" t="s">
        <v>1287</v>
      </c>
    </row>
    <row r="434" spans="1:1" x14ac:dyDescent="0.25">
      <c r="A434" t="s">
        <v>1383</v>
      </c>
    </row>
    <row r="436" spans="1:1" x14ac:dyDescent="0.25">
      <c r="A436" t="s">
        <v>1384</v>
      </c>
    </row>
    <row r="437" spans="1:1" x14ac:dyDescent="0.25">
      <c r="A437" t="s">
        <v>1385</v>
      </c>
    </row>
    <row r="438" spans="1:1" x14ac:dyDescent="0.25">
      <c r="A438" t="s">
        <v>1386</v>
      </c>
    </row>
    <row r="439" spans="1:1" x14ac:dyDescent="0.25">
      <c r="A439" t="s">
        <v>1387</v>
      </c>
    </row>
    <row r="440" spans="1:1" x14ac:dyDescent="0.25">
      <c r="A440" t="s">
        <v>1388</v>
      </c>
    </row>
    <row r="441" spans="1:1" x14ac:dyDescent="0.25">
      <c r="A441" t="s">
        <v>1389</v>
      </c>
    </row>
    <row r="442" spans="1:1" x14ac:dyDescent="0.25">
      <c r="A442" t="s">
        <v>1390</v>
      </c>
    </row>
    <row r="443" spans="1:1" x14ac:dyDescent="0.25">
      <c r="A443" t="s">
        <v>1391</v>
      </c>
    </row>
    <row r="445" spans="1:1" x14ac:dyDescent="0.25">
      <c r="A445" t="s">
        <v>1392</v>
      </c>
    </row>
    <row r="446" spans="1:1" x14ac:dyDescent="0.25">
      <c r="A446" t="s">
        <v>1393</v>
      </c>
    </row>
    <row r="447" spans="1:1" x14ac:dyDescent="0.25">
      <c r="A447" t="s">
        <v>1394</v>
      </c>
    </row>
    <row r="448" spans="1:1" x14ac:dyDescent="0.25">
      <c r="A448" t="s">
        <v>1395</v>
      </c>
    </row>
    <row r="449" spans="1:1" x14ac:dyDescent="0.25">
      <c r="A449" t="s">
        <v>1396</v>
      </c>
    </row>
    <row r="450" spans="1:1" x14ac:dyDescent="0.25">
      <c r="A450" t="s">
        <v>1397</v>
      </c>
    </row>
    <row r="452" spans="1:1" x14ac:dyDescent="0.25">
      <c r="A452" t="s">
        <v>1398</v>
      </c>
    </row>
    <row r="453" spans="1:1" x14ac:dyDescent="0.25">
      <c r="A453" t="s">
        <v>1399</v>
      </c>
    </row>
    <row r="454" spans="1:1" x14ac:dyDescent="0.25">
      <c r="A454" t="s">
        <v>1313</v>
      </c>
    </row>
    <row r="455" spans="1:1" x14ac:dyDescent="0.25">
      <c r="A455" t="s">
        <v>1294</v>
      </c>
    </row>
    <row r="456" spans="1:1" x14ac:dyDescent="0.25">
      <c r="A456" t="s">
        <v>1400</v>
      </c>
    </row>
    <row r="457" spans="1:1" x14ac:dyDescent="0.25">
      <c r="A457" t="s">
        <v>1315</v>
      </c>
    </row>
    <row r="458" spans="1:1" x14ac:dyDescent="0.25">
      <c r="A458" t="s">
        <v>1316</v>
      </c>
    </row>
    <row r="459" spans="1:1" x14ac:dyDescent="0.25">
      <c r="A459" t="s">
        <v>1401</v>
      </c>
    </row>
    <row r="461" spans="1:1" x14ac:dyDescent="0.25">
      <c r="A461" t="s">
        <v>1402</v>
      </c>
    </row>
    <row r="462" spans="1:1" x14ac:dyDescent="0.25">
      <c r="A462" t="s">
        <v>1403</v>
      </c>
    </row>
    <row r="463" spans="1:1" x14ac:dyDescent="0.25">
      <c r="A463" t="s">
        <v>1404</v>
      </c>
    </row>
    <row r="464" spans="1:1" x14ac:dyDescent="0.25">
      <c r="A464" t="s">
        <v>1405</v>
      </c>
    </row>
    <row r="465" spans="1:1" x14ac:dyDescent="0.25">
      <c r="A465" t="s">
        <v>1406</v>
      </c>
    </row>
    <row r="466" spans="1:1" x14ac:dyDescent="0.25">
      <c r="A466" t="s">
        <v>1407</v>
      </c>
    </row>
    <row r="467" spans="1:1" x14ac:dyDescent="0.25">
      <c r="A467" t="s">
        <v>1408</v>
      </c>
    </row>
    <row r="468" spans="1:1" x14ac:dyDescent="0.25">
      <c r="A468" t="s">
        <v>1409</v>
      </c>
    </row>
    <row r="469" spans="1:1" x14ac:dyDescent="0.25">
      <c r="A469" t="s">
        <v>1410</v>
      </c>
    </row>
    <row r="470" spans="1:1" x14ac:dyDescent="0.25">
      <c r="A470" t="s">
        <v>1411</v>
      </c>
    </row>
    <row r="471" spans="1:1" x14ac:dyDescent="0.25">
      <c r="A471" t="s">
        <v>1412</v>
      </c>
    </row>
    <row r="473" spans="1:1" x14ac:dyDescent="0.25">
      <c r="A473" t="s">
        <v>1413</v>
      </c>
    </row>
    <row r="474" spans="1:1" x14ac:dyDescent="0.25">
      <c r="A474" t="s">
        <v>1414</v>
      </c>
    </row>
    <row r="475" spans="1:1" x14ac:dyDescent="0.25">
      <c r="A475" t="s">
        <v>1415</v>
      </c>
    </row>
    <row r="476" spans="1:1" x14ac:dyDescent="0.25">
      <c r="A476" t="s">
        <v>1416</v>
      </c>
    </row>
    <row r="477" spans="1:1" x14ac:dyDescent="0.25">
      <c r="A477" t="s">
        <v>1417</v>
      </c>
    </row>
    <row r="478" spans="1:1" x14ac:dyDescent="0.25">
      <c r="A478" t="s">
        <v>1418</v>
      </c>
    </row>
    <row r="479" spans="1:1" x14ac:dyDescent="0.25">
      <c r="A479" t="s">
        <v>1419</v>
      </c>
    </row>
    <row r="480" spans="1:1" x14ac:dyDescent="0.25">
      <c r="A480" t="s">
        <v>1420</v>
      </c>
    </row>
    <row r="481" spans="1:1" x14ac:dyDescent="0.25">
      <c r="A481" t="s">
        <v>1421</v>
      </c>
    </row>
    <row r="482" spans="1:1" x14ac:dyDescent="0.25">
      <c r="A482" t="s">
        <v>1422</v>
      </c>
    </row>
    <row r="483" spans="1:1" x14ac:dyDescent="0.25">
      <c r="A483" t="s">
        <v>1423</v>
      </c>
    </row>
    <row r="484" spans="1:1" x14ac:dyDescent="0.25">
      <c r="A484" t="s">
        <v>1424</v>
      </c>
    </row>
    <row r="485" spans="1:1" x14ac:dyDescent="0.25">
      <c r="A485" t="s">
        <v>1425</v>
      </c>
    </row>
    <row r="486" spans="1:1" x14ac:dyDescent="0.25">
      <c r="A486" t="s">
        <v>1426</v>
      </c>
    </row>
    <row r="487" spans="1:1" x14ac:dyDescent="0.25">
      <c r="A487" t="s">
        <v>1427</v>
      </c>
    </row>
    <row r="488" spans="1:1" x14ac:dyDescent="0.25">
      <c r="A488" t="s">
        <v>1428</v>
      </c>
    </row>
    <row r="489" spans="1:1" x14ac:dyDescent="0.25">
      <c r="A489" t="s">
        <v>1429</v>
      </c>
    </row>
    <row r="490" spans="1:1" x14ac:dyDescent="0.25">
      <c r="A490" t="s">
        <v>1430</v>
      </c>
    </row>
    <row r="491" spans="1:1" x14ac:dyDescent="0.25">
      <c r="A491" t="s">
        <v>1431</v>
      </c>
    </row>
    <row r="492" spans="1:1" x14ac:dyDescent="0.25">
      <c r="A492" t="s">
        <v>1432</v>
      </c>
    </row>
    <row r="493" spans="1:1" x14ac:dyDescent="0.25">
      <c r="A493" t="s">
        <v>1433</v>
      </c>
    </row>
    <row r="494" spans="1:1" x14ac:dyDescent="0.25">
      <c r="A494" t="s">
        <v>1434</v>
      </c>
    </row>
    <row r="495" spans="1:1" x14ac:dyDescent="0.25">
      <c r="A495" t="s">
        <v>1435</v>
      </c>
    </row>
    <row r="496" spans="1:1" x14ac:dyDescent="0.25">
      <c r="A496" t="s">
        <v>1436</v>
      </c>
    </row>
    <row r="497" spans="1:1" x14ac:dyDescent="0.25">
      <c r="A497" t="s">
        <v>1437</v>
      </c>
    </row>
    <row r="498" spans="1:1" x14ac:dyDescent="0.25">
      <c r="A498" t="s">
        <v>1438</v>
      </c>
    </row>
    <row r="499" spans="1:1" x14ac:dyDescent="0.25">
      <c r="A499" t="s">
        <v>1439</v>
      </c>
    </row>
    <row r="502" spans="1:1" x14ac:dyDescent="0.25">
      <c r="A502" t="s">
        <v>1440</v>
      </c>
    </row>
    <row r="503" spans="1:1" x14ac:dyDescent="0.25">
      <c r="A503" t="s">
        <v>1441</v>
      </c>
    </row>
    <row r="504" spans="1:1" x14ac:dyDescent="0.25">
      <c r="A504" t="s">
        <v>1442</v>
      </c>
    </row>
    <row r="506" spans="1:1" x14ac:dyDescent="0.25">
      <c r="A506" t="s">
        <v>1443</v>
      </c>
    </row>
    <row r="508" spans="1:1" x14ac:dyDescent="0.25">
      <c r="A508" t="s">
        <v>1444</v>
      </c>
    </row>
    <row r="509" spans="1:1" x14ac:dyDescent="0.25">
      <c r="A509" t="s">
        <v>1445</v>
      </c>
    </row>
    <row r="510" spans="1:1" x14ac:dyDescent="0.25">
      <c r="A510" t="s">
        <v>1446</v>
      </c>
    </row>
    <row r="511" spans="1:1" x14ac:dyDescent="0.25">
      <c r="A511" t="s">
        <v>1447</v>
      </c>
    </row>
    <row r="512" spans="1:1" x14ac:dyDescent="0.25">
      <c r="A512" t="s">
        <v>1448</v>
      </c>
    </row>
    <row r="513" spans="1:1" x14ac:dyDescent="0.25">
      <c r="A513" t="s">
        <v>1449</v>
      </c>
    </row>
    <row r="514" spans="1:1" x14ac:dyDescent="0.25">
      <c r="A514" t="s">
        <v>1450</v>
      </c>
    </row>
    <row r="515" spans="1:1" x14ac:dyDescent="0.25">
      <c r="A515" t="s">
        <v>1451</v>
      </c>
    </row>
    <row r="516" spans="1:1" x14ac:dyDescent="0.25">
      <c r="A516" t="s">
        <v>1452</v>
      </c>
    </row>
    <row r="517" spans="1:1" x14ac:dyDescent="0.25">
      <c r="A517" t="s">
        <v>1453</v>
      </c>
    </row>
    <row r="519" spans="1:1" x14ac:dyDescent="0.25">
      <c r="A519" t="s">
        <v>1454</v>
      </c>
    </row>
    <row r="520" spans="1:1" x14ac:dyDescent="0.25">
      <c r="A520" t="s">
        <v>1455</v>
      </c>
    </row>
    <row r="521" spans="1:1" x14ac:dyDescent="0.25">
      <c r="A521" t="s">
        <v>1456</v>
      </c>
    </row>
    <row r="522" spans="1:1" x14ac:dyDescent="0.25">
      <c r="A522" t="s">
        <v>1457</v>
      </c>
    </row>
    <row r="523" spans="1:1" x14ac:dyDescent="0.25">
      <c r="A523" t="s">
        <v>1458</v>
      </c>
    </row>
    <row r="524" spans="1:1" x14ac:dyDescent="0.25">
      <c r="A524" t="s">
        <v>1459</v>
      </c>
    </row>
    <row r="525" spans="1:1" x14ac:dyDescent="0.25">
      <c r="A525" t="s">
        <v>1460</v>
      </c>
    </row>
    <row r="526" spans="1:1" x14ac:dyDescent="0.25">
      <c r="A526" t="s">
        <v>1461</v>
      </c>
    </row>
    <row r="527" spans="1:1" x14ac:dyDescent="0.25">
      <c r="A527" t="s">
        <v>1462</v>
      </c>
    </row>
    <row r="528" spans="1:1" x14ac:dyDescent="0.25">
      <c r="A528" t="s">
        <v>1294</v>
      </c>
    </row>
    <row r="529" spans="1:1" x14ac:dyDescent="0.25">
      <c r="A529" t="s">
        <v>1463</v>
      </c>
    </row>
    <row r="530" spans="1:1" x14ac:dyDescent="0.25">
      <c r="A530" t="s">
        <v>1464</v>
      </c>
    </row>
    <row r="531" spans="1:1" x14ac:dyDescent="0.25">
      <c r="A531" t="s">
        <v>1465</v>
      </c>
    </row>
    <row r="532" spans="1:1" x14ac:dyDescent="0.25">
      <c r="A532" t="s">
        <v>1466</v>
      </c>
    </row>
    <row r="534" spans="1:1" x14ac:dyDescent="0.25">
      <c r="A534" t="s">
        <v>1467</v>
      </c>
    </row>
    <row r="535" spans="1:1" x14ac:dyDescent="0.25">
      <c r="A535" t="s">
        <v>1468</v>
      </c>
    </row>
    <row r="536" spans="1:1" x14ac:dyDescent="0.25">
      <c r="A536" t="s">
        <v>1469</v>
      </c>
    </row>
    <row r="537" spans="1:1" x14ac:dyDescent="0.25">
      <c r="A537" t="s">
        <v>1470</v>
      </c>
    </row>
    <row r="538" spans="1:1" x14ac:dyDescent="0.25">
      <c r="A538" t="s">
        <v>1331</v>
      </c>
    </row>
    <row r="539" spans="1:1" x14ac:dyDescent="0.25">
      <c r="A539" t="s">
        <v>1332</v>
      </c>
    </row>
    <row r="540" spans="1:1" x14ac:dyDescent="0.25">
      <c r="A540" t="s">
        <v>1471</v>
      </c>
    </row>
    <row r="542" spans="1:1" x14ac:dyDescent="0.25">
      <c r="A542" t="s">
        <v>1472</v>
      </c>
    </row>
    <row r="543" spans="1:1" x14ac:dyDescent="0.25">
      <c r="A543" t="s">
        <v>1473</v>
      </c>
    </row>
    <row r="544" spans="1:1" x14ac:dyDescent="0.25">
      <c r="A544" t="s">
        <v>1474</v>
      </c>
    </row>
    <row r="545" spans="1:1" x14ac:dyDescent="0.25">
      <c r="A545" t="s">
        <v>1475</v>
      </c>
    </row>
    <row r="546" spans="1:1" x14ac:dyDescent="0.25">
      <c r="A546" t="s">
        <v>1476</v>
      </c>
    </row>
    <row r="547" spans="1:1" x14ac:dyDescent="0.25">
      <c r="A547" t="s">
        <v>1477</v>
      </c>
    </row>
    <row r="548" spans="1:1" x14ac:dyDescent="0.25">
      <c r="A548" t="s">
        <v>1478</v>
      </c>
    </row>
    <row r="549" spans="1:1" x14ac:dyDescent="0.25">
      <c r="A549" t="s">
        <v>1479</v>
      </c>
    </row>
    <row r="550" spans="1:1" x14ac:dyDescent="0.25">
      <c r="A550" t="s">
        <v>1480</v>
      </c>
    </row>
    <row r="551" spans="1:1" x14ac:dyDescent="0.25">
      <c r="A551" t="s">
        <v>1481</v>
      </c>
    </row>
    <row r="552" spans="1:1" x14ac:dyDescent="0.25">
      <c r="A552" t="s">
        <v>1482</v>
      </c>
    </row>
    <row r="555" spans="1:1" x14ac:dyDescent="0.25">
      <c r="A555" t="s">
        <v>1483</v>
      </c>
    </row>
    <row r="556" spans="1:1" x14ac:dyDescent="0.25">
      <c r="A556" t="s">
        <v>1484</v>
      </c>
    </row>
    <row r="557" spans="1:1" x14ac:dyDescent="0.25">
      <c r="A557" t="s">
        <v>1485</v>
      </c>
    </row>
    <row r="558" spans="1:1" x14ac:dyDescent="0.25">
      <c r="A558" t="s">
        <v>1486</v>
      </c>
    </row>
    <row r="559" spans="1:1" x14ac:dyDescent="0.25">
      <c r="A559" t="s">
        <v>1487</v>
      </c>
    </row>
    <row r="560" spans="1:1" x14ac:dyDescent="0.25">
      <c r="A560" t="s">
        <v>1488</v>
      </c>
    </row>
    <row r="561" spans="1:1" x14ac:dyDescent="0.25">
      <c r="A561" t="s">
        <v>1489</v>
      </c>
    </row>
    <row r="562" spans="1:1" x14ac:dyDescent="0.25">
      <c r="A562" t="s">
        <v>1490</v>
      </c>
    </row>
    <row r="563" spans="1:1" x14ac:dyDescent="0.25">
      <c r="A563" t="s">
        <v>1491</v>
      </c>
    </row>
    <row r="564" spans="1:1" x14ac:dyDescent="0.25">
      <c r="A564" t="s">
        <v>1492</v>
      </c>
    </row>
    <row r="565" spans="1:1" x14ac:dyDescent="0.25">
      <c r="A565" t="s">
        <v>1493</v>
      </c>
    </row>
    <row r="566" spans="1:1" x14ac:dyDescent="0.25">
      <c r="A566" t="s">
        <v>1494</v>
      </c>
    </row>
    <row r="567" spans="1:1" x14ac:dyDescent="0.25">
      <c r="A567" t="s">
        <v>1495</v>
      </c>
    </row>
    <row r="568" spans="1:1" x14ac:dyDescent="0.25">
      <c r="A568" t="s">
        <v>1496</v>
      </c>
    </row>
    <row r="569" spans="1:1" x14ac:dyDescent="0.25">
      <c r="A569" t="s">
        <v>1497</v>
      </c>
    </row>
    <row r="570" spans="1:1" x14ac:dyDescent="0.25">
      <c r="A570" t="s">
        <v>1498</v>
      </c>
    </row>
    <row r="571" spans="1:1" x14ac:dyDescent="0.25">
      <c r="A571" t="s">
        <v>1499</v>
      </c>
    </row>
    <row r="572" spans="1:1" x14ac:dyDescent="0.25">
      <c r="A572" t="s">
        <v>1500</v>
      </c>
    </row>
    <row r="573" spans="1:1" x14ac:dyDescent="0.25">
      <c r="A573" t="s">
        <v>1501</v>
      </c>
    </row>
    <row r="574" spans="1:1" x14ac:dyDescent="0.25">
      <c r="A574" t="s">
        <v>1502</v>
      </c>
    </row>
    <row r="575" spans="1:1" x14ac:dyDescent="0.25">
      <c r="A575" t="s">
        <v>1503</v>
      </c>
    </row>
    <row r="576" spans="1:1" x14ac:dyDescent="0.25">
      <c r="A576" t="s">
        <v>1504</v>
      </c>
    </row>
    <row r="577" spans="1:1" x14ac:dyDescent="0.25">
      <c r="A577" t="s">
        <v>1505</v>
      </c>
    </row>
    <row r="579" spans="1:1" x14ac:dyDescent="0.25">
      <c r="A579" t="s">
        <v>1506</v>
      </c>
    </row>
    <row r="580" spans="1:1" x14ac:dyDescent="0.25">
      <c r="A580" t="s">
        <v>1507</v>
      </c>
    </row>
    <row r="581" spans="1:1" x14ac:dyDescent="0.25">
      <c r="A581" t="s">
        <v>1508</v>
      </c>
    </row>
    <row r="582" spans="1:1" x14ac:dyDescent="0.25">
      <c r="A582" t="s">
        <v>1509</v>
      </c>
    </row>
    <row r="583" spans="1:1" x14ac:dyDescent="0.25">
      <c r="A583" t="s">
        <v>1510</v>
      </c>
    </row>
    <row r="585" spans="1:1" x14ac:dyDescent="0.25">
      <c r="A585" t="s">
        <v>1511</v>
      </c>
    </row>
    <row r="586" spans="1:1" x14ac:dyDescent="0.25">
      <c r="A586" t="s">
        <v>1512</v>
      </c>
    </row>
    <row r="587" spans="1:1" x14ac:dyDescent="0.25">
      <c r="A587" t="s">
        <v>1513</v>
      </c>
    </row>
    <row r="588" spans="1:1" x14ac:dyDescent="0.25">
      <c r="A588" t="s">
        <v>1486</v>
      </c>
    </row>
    <row r="589" spans="1:1" x14ac:dyDescent="0.25">
      <c r="A589" t="s">
        <v>1514</v>
      </c>
    </row>
    <row r="590" spans="1:1" x14ac:dyDescent="0.25">
      <c r="A590" t="s">
        <v>1515</v>
      </c>
    </row>
    <row r="591" spans="1:1" x14ac:dyDescent="0.25">
      <c r="A591" t="s">
        <v>1516</v>
      </c>
    </row>
    <row r="592" spans="1:1" x14ac:dyDescent="0.25">
      <c r="A592" t="s">
        <v>1517</v>
      </c>
    </row>
    <row r="593" spans="1:1" x14ac:dyDescent="0.25">
      <c r="A593" t="s">
        <v>1518</v>
      </c>
    </row>
    <row r="594" spans="1:1" x14ac:dyDescent="0.25">
      <c r="A594" t="s">
        <v>1519</v>
      </c>
    </row>
    <row r="595" spans="1:1" x14ac:dyDescent="0.25">
      <c r="A595" t="s">
        <v>1520</v>
      </c>
    </row>
    <row r="596" spans="1:1" x14ac:dyDescent="0.25">
      <c r="A596" t="s">
        <v>1521</v>
      </c>
    </row>
    <row r="597" spans="1:1" x14ac:dyDescent="0.25">
      <c r="A597" t="s">
        <v>1522</v>
      </c>
    </row>
    <row r="598" spans="1:1" x14ac:dyDescent="0.25">
      <c r="A598" t="s">
        <v>1523</v>
      </c>
    </row>
    <row r="599" spans="1:1" x14ac:dyDescent="0.25">
      <c r="A599" t="s">
        <v>1524</v>
      </c>
    </row>
    <row r="600" spans="1:1" x14ac:dyDescent="0.25">
      <c r="A600" t="s">
        <v>1525</v>
      </c>
    </row>
    <row r="601" spans="1:1" x14ac:dyDescent="0.25">
      <c r="A601" t="s">
        <v>1526</v>
      </c>
    </row>
    <row r="602" spans="1:1" x14ac:dyDescent="0.25">
      <c r="A602" t="s">
        <v>1527</v>
      </c>
    </row>
    <row r="603" spans="1:1" x14ac:dyDescent="0.25">
      <c r="A603" t="s">
        <v>1528</v>
      </c>
    </row>
    <row r="604" spans="1:1" x14ac:dyDescent="0.25">
      <c r="A604" t="s">
        <v>1529</v>
      </c>
    </row>
    <row r="605" spans="1:1" x14ac:dyDescent="0.25">
      <c r="A605" t="s">
        <v>1530</v>
      </c>
    </row>
    <row r="606" spans="1:1" x14ac:dyDescent="0.25">
      <c r="A606" t="s">
        <v>1531</v>
      </c>
    </row>
    <row r="607" spans="1:1" x14ac:dyDescent="0.25">
      <c r="A607" t="s">
        <v>1532</v>
      </c>
    </row>
    <row r="608" spans="1:1" x14ac:dyDescent="0.25">
      <c r="A608" t="s">
        <v>1533</v>
      </c>
    </row>
    <row r="609" spans="1:1" x14ac:dyDescent="0.25">
      <c r="A609" t="s">
        <v>1534</v>
      </c>
    </row>
    <row r="610" spans="1:1" x14ac:dyDescent="0.25">
      <c r="A610" t="s">
        <v>1535</v>
      </c>
    </row>
    <row r="611" spans="1:1" x14ac:dyDescent="0.25">
      <c r="A611" t="s">
        <v>1536</v>
      </c>
    </row>
    <row r="612" spans="1:1" x14ac:dyDescent="0.25">
      <c r="A612" t="s">
        <v>1537</v>
      </c>
    </row>
    <row r="613" spans="1:1" x14ac:dyDescent="0.25">
      <c r="A613" t="s">
        <v>1538</v>
      </c>
    </row>
    <row r="614" spans="1:1" x14ac:dyDescent="0.25">
      <c r="A614" t="s">
        <v>1539</v>
      </c>
    </row>
    <row r="615" spans="1:1" x14ac:dyDescent="0.25">
      <c r="A615" t="s">
        <v>1540</v>
      </c>
    </row>
    <row r="617" spans="1:1" x14ac:dyDescent="0.25">
      <c r="A617" t="s">
        <v>1541</v>
      </c>
    </row>
    <row r="618" spans="1:1" x14ac:dyDescent="0.25">
      <c r="A618" t="s">
        <v>1542</v>
      </c>
    </row>
    <row r="619" spans="1:1" x14ac:dyDescent="0.25">
      <c r="A619" t="s">
        <v>1543</v>
      </c>
    </row>
    <row r="620" spans="1:1" x14ac:dyDescent="0.25">
      <c r="A620" t="s">
        <v>1544</v>
      </c>
    </row>
    <row r="621" spans="1:1" x14ac:dyDescent="0.25">
      <c r="A621" t="s">
        <v>1545</v>
      </c>
    </row>
    <row r="622" spans="1:1" x14ac:dyDescent="0.25">
      <c r="A622" t="s">
        <v>1546</v>
      </c>
    </row>
    <row r="623" spans="1:1" x14ac:dyDescent="0.25">
      <c r="A623" t="s">
        <v>1547</v>
      </c>
    </row>
    <row r="624" spans="1:1" x14ac:dyDescent="0.25">
      <c r="A624" t="s">
        <v>1548</v>
      </c>
    </row>
    <row r="625" spans="1:1" x14ac:dyDescent="0.25">
      <c r="A625" t="s">
        <v>1549</v>
      </c>
    </row>
    <row r="626" spans="1:1" x14ac:dyDescent="0.25">
      <c r="A626" t="s">
        <v>1550</v>
      </c>
    </row>
    <row r="627" spans="1:1" x14ac:dyDescent="0.25">
      <c r="A627" t="s">
        <v>1551</v>
      </c>
    </row>
    <row r="628" spans="1:1" x14ac:dyDescent="0.25">
      <c r="A628" t="s">
        <v>1552</v>
      </c>
    </row>
    <row r="629" spans="1:1" x14ac:dyDescent="0.25">
      <c r="A629" t="s">
        <v>1553</v>
      </c>
    </row>
    <row r="630" spans="1:1" x14ac:dyDescent="0.25">
      <c r="A630" t="s">
        <v>1554</v>
      </c>
    </row>
    <row r="631" spans="1:1" x14ac:dyDescent="0.25">
      <c r="A631" t="s">
        <v>1555</v>
      </c>
    </row>
    <row r="632" spans="1:1" x14ac:dyDescent="0.25">
      <c r="A632" t="s">
        <v>1556</v>
      </c>
    </row>
    <row r="633" spans="1:1" x14ac:dyDescent="0.25">
      <c r="A633" t="s">
        <v>1557</v>
      </c>
    </row>
    <row r="634" spans="1:1" x14ac:dyDescent="0.25">
      <c r="A634" t="s">
        <v>1558</v>
      </c>
    </row>
    <row r="635" spans="1:1" x14ac:dyDescent="0.25">
      <c r="A635" t="s">
        <v>1559</v>
      </c>
    </row>
    <row r="636" spans="1:1" x14ac:dyDescent="0.25">
      <c r="A636" t="s">
        <v>1560</v>
      </c>
    </row>
    <row r="637" spans="1:1" x14ac:dyDescent="0.25">
      <c r="A637" t="s">
        <v>1561</v>
      </c>
    </row>
    <row r="638" spans="1:1" x14ac:dyDescent="0.25">
      <c r="A638" t="s">
        <v>1562</v>
      </c>
    </row>
    <row r="639" spans="1:1" x14ac:dyDescent="0.25">
      <c r="A639" t="s">
        <v>1563</v>
      </c>
    </row>
    <row r="640" spans="1:1" x14ac:dyDescent="0.25">
      <c r="A640" t="s">
        <v>1564</v>
      </c>
    </row>
    <row r="641" spans="1:1" x14ac:dyDescent="0.25">
      <c r="A641" t="s">
        <v>1565</v>
      </c>
    </row>
    <row r="642" spans="1:1" x14ac:dyDescent="0.25">
      <c r="A642" t="s">
        <v>1566</v>
      </c>
    </row>
    <row r="644" spans="1:1" x14ac:dyDescent="0.25">
      <c r="A644" t="s">
        <v>1567</v>
      </c>
    </row>
    <row r="645" spans="1:1" x14ac:dyDescent="0.25">
      <c r="A645" t="s">
        <v>1568</v>
      </c>
    </row>
    <row r="646" spans="1:1" x14ac:dyDescent="0.25">
      <c r="A646" t="s">
        <v>1569</v>
      </c>
    </row>
    <row r="647" spans="1:1" x14ac:dyDescent="0.25">
      <c r="A647" t="s">
        <v>1570</v>
      </c>
    </row>
    <row r="648" spans="1:1" x14ac:dyDescent="0.25">
      <c r="A648" t="s">
        <v>1571</v>
      </c>
    </row>
    <row r="649" spans="1:1" x14ac:dyDescent="0.25">
      <c r="A649" t="s">
        <v>1572</v>
      </c>
    </row>
    <row r="650" spans="1:1" x14ac:dyDescent="0.25">
      <c r="A650" t="s">
        <v>1573</v>
      </c>
    </row>
    <row r="651" spans="1:1" x14ac:dyDescent="0.25">
      <c r="A651" t="s">
        <v>1574</v>
      </c>
    </row>
    <row r="652" spans="1:1" x14ac:dyDescent="0.25">
      <c r="A652" t="s">
        <v>1575</v>
      </c>
    </row>
    <row r="653" spans="1:1" x14ac:dyDescent="0.25">
      <c r="A653" t="s">
        <v>1576</v>
      </c>
    </row>
    <row r="654" spans="1:1" x14ac:dyDescent="0.25">
      <c r="A654" t="s">
        <v>1577</v>
      </c>
    </row>
    <row r="655" spans="1:1" x14ac:dyDescent="0.25">
      <c r="A655" t="s">
        <v>1578</v>
      </c>
    </row>
    <row r="656" spans="1:1" x14ac:dyDescent="0.25">
      <c r="A656" t="s">
        <v>1579</v>
      </c>
    </row>
    <row r="657" spans="1:1" x14ac:dyDescent="0.25">
      <c r="A657" t="s">
        <v>1580</v>
      </c>
    </row>
    <row r="658" spans="1:1" x14ac:dyDescent="0.25">
      <c r="A658" t="s">
        <v>1581</v>
      </c>
    </row>
    <row r="659" spans="1:1" x14ac:dyDescent="0.25">
      <c r="A659" t="s">
        <v>1582</v>
      </c>
    </row>
    <row r="660" spans="1:1" x14ac:dyDescent="0.25">
      <c r="A660" t="s">
        <v>1583</v>
      </c>
    </row>
    <row r="661" spans="1:1" x14ac:dyDescent="0.25">
      <c r="A661" t="s">
        <v>1584</v>
      </c>
    </row>
    <row r="662" spans="1:1" x14ac:dyDescent="0.25">
      <c r="A662" t="s">
        <v>1585</v>
      </c>
    </row>
    <row r="663" spans="1:1" x14ac:dyDescent="0.25">
      <c r="A663" t="s">
        <v>1586</v>
      </c>
    </row>
    <row r="664" spans="1:1" x14ac:dyDescent="0.25">
      <c r="A664" t="s">
        <v>1587</v>
      </c>
    </row>
    <row r="665" spans="1:1" x14ac:dyDescent="0.25">
      <c r="A665" t="s">
        <v>1588</v>
      </c>
    </row>
    <row r="666" spans="1:1" x14ac:dyDescent="0.25">
      <c r="A666" t="s">
        <v>1589</v>
      </c>
    </row>
    <row r="667" spans="1:1" x14ac:dyDescent="0.25">
      <c r="A667" t="s">
        <v>1590</v>
      </c>
    </row>
    <row r="668" spans="1:1" x14ac:dyDescent="0.25">
      <c r="A668" t="s">
        <v>1591</v>
      </c>
    </row>
    <row r="671" spans="1:1" x14ac:dyDescent="0.25">
      <c r="A671" t="s">
        <v>1592</v>
      </c>
    </row>
    <row r="672" spans="1:1" x14ac:dyDescent="0.25">
      <c r="A672" t="s">
        <v>1593</v>
      </c>
    </row>
    <row r="673" spans="1:1" x14ac:dyDescent="0.25">
      <c r="A673" t="s">
        <v>1594</v>
      </c>
    </row>
    <row r="674" spans="1:1" x14ac:dyDescent="0.25">
      <c r="A674" t="s">
        <v>1595</v>
      </c>
    </row>
    <row r="675" spans="1:1" x14ac:dyDescent="0.25">
      <c r="A675" t="s">
        <v>1596</v>
      </c>
    </row>
    <row r="676" spans="1:1" x14ac:dyDescent="0.25">
      <c r="A676" t="s">
        <v>1597</v>
      </c>
    </row>
    <row r="677" spans="1:1" x14ac:dyDescent="0.25">
      <c r="A677" t="s">
        <v>1598</v>
      </c>
    </row>
    <row r="678" spans="1:1" x14ac:dyDescent="0.25">
      <c r="A678" t="s">
        <v>1599</v>
      </c>
    </row>
    <row r="679" spans="1:1" x14ac:dyDescent="0.25">
      <c r="A679" t="s">
        <v>1600</v>
      </c>
    </row>
    <row r="680" spans="1:1" x14ac:dyDescent="0.25">
      <c r="A680" t="s">
        <v>1601</v>
      </c>
    </row>
    <row r="681" spans="1:1" x14ac:dyDescent="0.25">
      <c r="A681" t="s">
        <v>1602</v>
      </c>
    </row>
    <row r="682" spans="1:1" x14ac:dyDescent="0.25">
      <c r="A682" t="s">
        <v>1603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77"/>
  <sheetViews>
    <sheetView topLeftCell="A58" workbookViewId="0">
      <selection activeCell="J67" sqref="J67"/>
    </sheetView>
  </sheetViews>
  <sheetFormatPr defaultRowHeight="15" x14ac:dyDescent="0.25"/>
  <cols>
    <col min="1" max="1" width="30.28515625" bestFit="1" customWidth="1"/>
  </cols>
  <sheetData>
    <row r="1" spans="1:3" x14ac:dyDescent="0.25">
      <c r="A1" s="1" t="s">
        <v>115</v>
      </c>
      <c r="B1" s="1"/>
      <c r="C1" s="1"/>
    </row>
    <row r="2" spans="1:3" x14ac:dyDescent="0.25">
      <c r="A2" s="1" t="s">
        <v>126</v>
      </c>
      <c r="B2" s="1"/>
      <c r="C2" s="1"/>
    </row>
    <row r="3" spans="1:3" x14ac:dyDescent="0.25">
      <c r="A3" s="1" t="s">
        <v>116</v>
      </c>
      <c r="B3" s="1"/>
      <c r="C3" s="1"/>
    </row>
    <row r="4" spans="1:3" x14ac:dyDescent="0.25">
      <c r="A4" s="1" t="s">
        <v>117</v>
      </c>
      <c r="B4" s="1"/>
      <c r="C4" s="1"/>
    </row>
    <row r="5" spans="1:3" x14ac:dyDescent="0.25">
      <c r="A5" s="1" t="s">
        <v>118</v>
      </c>
      <c r="B5" s="1"/>
      <c r="C5" s="1"/>
    </row>
    <row r="6" spans="1:3" x14ac:dyDescent="0.25">
      <c r="A6" s="1" t="s">
        <v>127</v>
      </c>
      <c r="B6" s="1"/>
      <c r="C6" s="1"/>
    </row>
    <row r="7" spans="1:3" x14ac:dyDescent="0.25">
      <c r="A7" s="1" t="s">
        <v>119</v>
      </c>
      <c r="B7" s="1"/>
      <c r="C7" s="1"/>
    </row>
    <row r="8" spans="1:3" x14ac:dyDescent="0.25">
      <c r="A8" s="1">
        <f>4.89-(0.34*(4.89-1.88))</f>
        <v>3.8665999999999996</v>
      </c>
      <c r="B8" s="27">
        <f>1.2*CHS!E122*350/1.1/10^6</f>
        <v>12.751547370506577</v>
      </c>
      <c r="C8" s="1"/>
    </row>
    <row r="9" spans="1:3" x14ac:dyDescent="0.25">
      <c r="A9" s="1"/>
      <c r="B9" s="1"/>
      <c r="C9" s="1"/>
    </row>
    <row r="10" spans="1:3" x14ac:dyDescent="0.25">
      <c r="A10" s="1" t="s">
        <v>120</v>
      </c>
      <c r="B10" s="1">
        <v>1</v>
      </c>
      <c r="C10" s="1">
        <v>1</v>
      </c>
    </row>
    <row r="11" spans="1:3" x14ac:dyDescent="0.25">
      <c r="A11" s="1" t="s">
        <v>121</v>
      </c>
      <c r="B11" s="1" t="s">
        <v>125</v>
      </c>
      <c r="C11" s="29">
        <f>-CHS!E20</f>
        <v>-165.1</v>
      </c>
    </row>
    <row r="12" spans="1:3" x14ac:dyDescent="0.25">
      <c r="A12" s="1" t="s">
        <v>122</v>
      </c>
      <c r="B12" s="1" t="s">
        <v>123</v>
      </c>
      <c r="C12" s="27">
        <f>(CHS!E120/PI())</f>
        <v>262.61489050994891</v>
      </c>
    </row>
    <row r="13" spans="1:3" x14ac:dyDescent="0.25">
      <c r="A13" s="1" t="s">
        <v>124</v>
      </c>
      <c r="B13" s="1">
        <f>(-(-CHS!E20)-SQRT((-CHS!E20)^2-4*1*(CHS!E120/PI())))/(2*1)</f>
        <v>1.6062688684908011</v>
      </c>
      <c r="C13" s="1"/>
    </row>
    <row r="47" spans="1:4" x14ac:dyDescent="0.25">
      <c r="A47" s="27">
        <f>(PI()^2*'I-SECT'!E32*'I-SECT'!E40)/'I-SECT'!E122^2</f>
        <v>4455596.4996386087</v>
      </c>
      <c r="B47" s="1">
        <f>(1.1*PI()^2*'I-SECT'!E32)/('I-SECT'!E122/'I-SECT'!E42)^2</f>
        <v>352.39029604345308</v>
      </c>
      <c r="C47" s="27">
        <f>(PI()^2*'I-SECT'!E32*'I-SECT'!E40*('I-SECT'!E23-'I-SECT'!E25/2-'I-SECT'!E27/2))/(2*'I-SECT'!E122^2)</f>
        <v>1160014548.680912</v>
      </c>
      <c r="D47" s="1">
        <v>1.476</v>
      </c>
    </row>
    <row r="48" spans="1:4" x14ac:dyDescent="0.25">
      <c r="A48" s="27">
        <f>'I-SECT'!E50*'I-SECT'!E47</f>
        <v>101769230769.23076</v>
      </c>
      <c r="B48" s="1">
        <f>1/20</f>
        <v>0.05</v>
      </c>
      <c r="C48" s="1">
        <f>1/20</f>
        <v>0.05</v>
      </c>
      <c r="D48" s="27">
        <f>(PI()^2*'I-SECT'!E32*'I-SECT'!E40)/'I-SECT'!E122</f>
        <v>16485707048.662853</v>
      </c>
    </row>
    <row r="49" spans="1:8" x14ac:dyDescent="0.25">
      <c r="A49" s="27">
        <f>(PI()^2*'I-SECT'!E32*'I-SECT'!E48)/'I-SECT'!E122^2</f>
        <v>301278866268.46179</v>
      </c>
      <c r="B49" s="1">
        <f>(('I-SECT'!E122/'I-SECT'!E42)/(('I-SECT'!E23-'I-SECT'!E25/2-'I-SECT'!E27/2)/AVERAGE('I-SECT'!E25,'I-SECT'!E27)))</f>
        <v>2.9041173670894533</v>
      </c>
      <c r="C49" s="1">
        <f>(('I-SECT'!E122/'I-SECT'!E42)/(('I-SECT'!E23-'I-SECT'!E25/2-'I-SECT'!E27/2)/AVERAGE('I-SECT'!E25,'I-SECT'!E27)))</f>
        <v>2.9041173670894533</v>
      </c>
      <c r="D49" s="99">
        <f>'I-SECT'!E48/'I-SECT'!E40</f>
        <v>67618.076792388718</v>
      </c>
    </row>
    <row r="50" spans="1:8" x14ac:dyDescent="0.25">
      <c r="A50" s="27">
        <f>SQRT(A47*(A48+A49))/10^6</f>
        <v>1340.081971502917</v>
      </c>
      <c r="B50" s="1">
        <f>B47*SQRT(1+B48*B49^2)</f>
        <v>420.1720318346002</v>
      </c>
      <c r="C50" s="27">
        <f>(C47*SQRT(1+C48*C49^2))/10^6</f>
        <v>1383.1415772494877</v>
      </c>
      <c r="D50" s="99">
        <f>('I-SECT'!E122^2*'I-SECT'!E50*'I-SECT'!E47)/(PI()^2*'I-SECT'!E32*'I-SECT'!E40)</f>
        <v>22840.764592908094</v>
      </c>
    </row>
    <row r="51" spans="1:8" x14ac:dyDescent="0.25">
      <c r="A51" s="1"/>
      <c r="B51" s="27">
        <f>'I-SECT'!E115*'I-SECT'!E45*B50/10^6</f>
        <v>1188.6666780600838</v>
      </c>
      <c r="C51" s="1"/>
      <c r="D51" s="27">
        <f>(D47*D48*SQRT(D49+D50))/10^6</f>
        <v>7318455.6627717316</v>
      </c>
    </row>
    <row r="55" spans="1:8" x14ac:dyDescent="0.25">
      <c r="A55" s="1"/>
      <c r="B55" s="101">
        <f>SQRT(((PI()^2*'I-SECT'!E32*'I-SECT'!E40)/'I-SECT'!E122^2)*(('I-SECT'!E50*'I-SECT'!E47)+((PI()^2*'I-SECT'!E32*'I-SECT'!E48)/('I-SECT'!E122^2))))/10^6</f>
        <v>1340.081971502917</v>
      </c>
      <c r="C55" s="88">
        <f>(1.1*PI()^2*'I-SECT'!E32)/('I-SECT'!E122/'I-SECT'!E42)^2*(1+(1/20*(('I-SECT'!E122/'I-SECT'!E42)/(('I-SECT'!E23-'I-SECT'!E25/2-'I-SECT'!E27/2)*AVERAGE('I-SECT'!E25,'I-SECT'!E27)))^2))^0.5</f>
        <v>352.3908908291462</v>
      </c>
      <c r="D55" s="102">
        <f>((PI()^2*'I-SECT'!E32*'I-SECT'!E40*('I-SECT'!E23-'I-SECT'!E25/2-'I-SECT'!E27/2))/(2*'I-SECT'!E122^2)*(1+1/20*(('I-SECT'!E122/'I-SECT'!E42)/(('I-SECT'!E23-'I-SECT'!E25/2-'I-SECT'!E27/2)/AVERAGE('I-SECT'!E25,'I-SECT'!E27)))^2)^0.5)/10^6</f>
        <v>1383.1415772494877</v>
      </c>
      <c r="H55">
        <v>4.91</v>
      </c>
    </row>
    <row r="56" spans="1:8" x14ac:dyDescent="0.25">
      <c r="A56" s="1" t="s">
        <v>344</v>
      </c>
      <c r="B56" s="101">
        <f>B55</f>
        <v>1340.081971502917</v>
      </c>
      <c r="C56" s="88">
        <f>C55*'I-SECT'!E45/10^6</f>
        <v>996.91383015565452</v>
      </c>
      <c r="D56" s="88">
        <f>D55</f>
        <v>1383.1415772494877</v>
      </c>
      <c r="H56" s="111">
        <f>H55*10^12/70/10^9</f>
        <v>70.142857142857153</v>
      </c>
    </row>
    <row r="57" spans="1:8" x14ac:dyDescent="0.25">
      <c r="A57" t="s">
        <v>334</v>
      </c>
      <c r="B57" s="87">
        <f>MIN(SQRT('I-SECT'!$E$45*'I-SECT'!$E$30/(B56*10^6)),SQRT(1.2*'I-SECT'!$E$43*'I-SECT'!$E$30/(B56*10^6)))</f>
        <v>0.85957705388302197</v>
      </c>
      <c r="C57" s="87">
        <f>MIN(SQRT('I-SECT'!$E$45*'I-SECT'!$E$30/(C56*10^6)),SQRT(1.2*'I-SECT'!$E$43*'I-SECT'!$E$30/(C56*10^6)))</f>
        <v>0.99660184170737476</v>
      </c>
      <c r="D57" s="87">
        <f>MIN(SQRT('I-SECT'!$E$45*'I-SECT'!$E$30/(D56*10^6)),SQRT(1.2*'I-SECT'!$E$43*'I-SECT'!$E$30/(D56*10^6)))</f>
        <v>0.84609119925788812</v>
      </c>
    </row>
    <row r="58" spans="1:8" x14ac:dyDescent="0.25">
      <c r="B58" s="87"/>
      <c r="C58" s="87"/>
      <c r="D58" s="87"/>
    </row>
    <row r="59" spans="1:8" x14ac:dyDescent="0.25">
      <c r="B59" s="87"/>
      <c r="C59" s="87"/>
      <c r="D59" s="87"/>
    </row>
    <row r="60" spans="1:8" x14ac:dyDescent="0.25">
      <c r="A60" s="103" t="s">
        <v>335</v>
      </c>
      <c r="B60" s="27">
        <f>0.5*(1+0.49*(B57-0.2)+B57^2)</f>
        <v>1.0310327339824481</v>
      </c>
      <c r="C60" s="27">
        <f>0.5*(1+0.49*(C57-0.2)+C57^2)</f>
        <v>1.1917750666655724</v>
      </c>
      <c r="D60" s="27">
        <f>0.5*(1+0.49*(D57-0.2)+D57^2)</f>
        <v>1.0162275025490082</v>
      </c>
    </row>
    <row r="61" spans="1:8" x14ac:dyDescent="0.25">
      <c r="A61" s="85" t="s">
        <v>355</v>
      </c>
      <c r="B61" s="87">
        <f>MIN(1/(B60+(B60^2-B57^2)^0.5),1)</f>
        <v>0.62485177684759496</v>
      </c>
      <c r="C61" s="87">
        <f>MIN(1/(C60+(C60^2-C57^2)^0.5),1)</f>
        <v>0.54191331754836736</v>
      </c>
      <c r="D61" s="87">
        <f>MIN(1/(D60+(D60^2-D57^2)^0.5),1)</f>
        <v>0.63326407658591211</v>
      </c>
    </row>
    <row r="62" spans="1:8" x14ac:dyDescent="0.25">
      <c r="A62" s="103" t="s">
        <v>356</v>
      </c>
      <c r="B62" s="27">
        <f>B61*350/1.1</f>
        <v>198.81647445150747</v>
      </c>
      <c r="C62" s="27">
        <f>C61*350/1.1</f>
        <v>172.4269646744805</v>
      </c>
      <c r="D62" s="27">
        <f>D61*350/1.1</f>
        <v>201.49311527733568</v>
      </c>
    </row>
    <row r="63" spans="1:8" x14ac:dyDescent="0.25">
      <c r="A63" s="85" t="s">
        <v>98</v>
      </c>
      <c r="B63" s="104">
        <f>'I-SECT'!$E$45*B62/10^6</f>
        <v>562.45180622331463</v>
      </c>
      <c r="C63" s="104">
        <f>'I-SECT'!$E$45*C62/10^6</f>
        <v>487.79588306410534</v>
      </c>
      <c r="D63" s="104">
        <f>'I-SECT'!$E$45*D62/10^6</f>
        <v>570.02402311958269</v>
      </c>
    </row>
    <row r="68" spans="1:4" x14ac:dyDescent="0.25">
      <c r="B68" t="s">
        <v>371</v>
      </c>
      <c r="C68" t="s">
        <v>373</v>
      </c>
    </row>
    <row r="69" spans="1:4" x14ac:dyDescent="0.25">
      <c r="A69" t="s">
        <v>371</v>
      </c>
      <c r="B69">
        <v>143</v>
      </c>
      <c r="C69">
        <v>46</v>
      </c>
      <c r="D69" t="s">
        <v>372</v>
      </c>
    </row>
    <row r="75" spans="1:4" x14ac:dyDescent="0.25">
      <c r="A75" t="s">
        <v>715</v>
      </c>
    </row>
    <row r="76" spans="1:4" x14ac:dyDescent="0.25">
      <c r="A76" t="s">
        <v>716</v>
      </c>
      <c r="B76" t="s">
        <v>717</v>
      </c>
    </row>
    <row r="77" spans="1:4" x14ac:dyDescent="0.25">
      <c r="A77" t="s">
        <v>718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155"/>
  <sheetViews>
    <sheetView workbookViewId="0">
      <pane xSplit="6" ySplit="1" topLeftCell="G74" activePane="bottomRight" state="frozen"/>
      <selection activeCell="P11" sqref="P11"/>
      <selection pane="topRight" activeCell="P11" sqref="P11"/>
      <selection pane="bottomLeft" activeCell="P11" sqref="P11"/>
      <selection pane="bottomRight" activeCell="P11" sqref="P11"/>
    </sheetView>
  </sheetViews>
  <sheetFormatPr defaultRowHeight="15" x14ac:dyDescent="0.25"/>
  <cols>
    <col min="1" max="1" width="10.28515625" style="135" bestFit="1" customWidth="1"/>
    <col min="5" max="5" width="9.5703125" bestFit="1" customWidth="1"/>
  </cols>
  <sheetData>
    <row r="1" spans="1:16" s="82" customFormat="1" ht="75.75" thickBot="1" x14ac:dyDescent="0.3">
      <c r="A1" s="139" t="s">
        <v>25</v>
      </c>
      <c r="B1" s="140" t="s">
        <v>416</v>
      </c>
      <c r="C1" s="141" t="s">
        <v>417</v>
      </c>
      <c r="D1" s="141" t="s">
        <v>224</v>
      </c>
      <c r="E1" s="141" t="s">
        <v>418</v>
      </c>
      <c r="F1" s="141" t="s">
        <v>423</v>
      </c>
      <c r="G1" s="141" t="s">
        <v>419</v>
      </c>
      <c r="H1" s="141" t="s">
        <v>420</v>
      </c>
      <c r="I1" s="141" t="s">
        <v>421</v>
      </c>
      <c r="J1" s="141" t="s">
        <v>26</v>
      </c>
      <c r="K1" s="141" t="s">
        <v>422</v>
      </c>
      <c r="L1" s="141" t="s">
        <v>27</v>
      </c>
      <c r="M1" s="142" t="s">
        <v>424</v>
      </c>
      <c r="N1" s="142" t="s">
        <v>426</v>
      </c>
    </row>
    <row r="2" spans="1:16" x14ac:dyDescent="0.25">
      <c r="A2" s="113" t="str">
        <f t="shared" ref="A2:A65" si="0">"NB"&amp;B2&amp;"X"&amp;D2</f>
        <v>NB15X2</v>
      </c>
      <c r="B2" s="131">
        <v>15</v>
      </c>
      <c r="C2" s="114">
        <v>21.3</v>
      </c>
      <c r="D2" s="114">
        <v>2</v>
      </c>
      <c r="E2" s="115">
        <f>F2*7850/10^4</f>
        <v>0.9519339899642435</v>
      </c>
      <c r="F2" s="116">
        <f>PI()/4*(C2^2-(C2-2*D2)^2)/10^2</f>
        <v>1.2126547642856604</v>
      </c>
      <c r="G2" s="128">
        <f>PI()/4*((C2-2*D2)^2)</f>
        <v>235.0618163232223</v>
      </c>
      <c r="H2" s="128">
        <f t="shared" ref="H2:H33" si="1">PI()*C2*10</f>
        <v>669.15923521462605</v>
      </c>
      <c r="I2" s="128">
        <f t="shared" ref="I2:I33" si="2">PI()*(C2-2*D2)*10</f>
        <v>543.49552907103418</v>
      </c>
      <c r="J2" s="115">
        <f t="shared" ref="J2:J33" si="3">PI()/64*(C2^4-(C2-2*D2)^4)/10^4</f>
        <v>0.57069049025738539</v>
      </c>
      <c r="K2" s="115">
        <f t="shared" ref="K2:K33" si="4">PI()/32*(C2^4-(C2-2*D2)^4)/C2/10^3</f>
        <v>0.53585961526515069</v>
      </c>
      <c r="L2" s="115">
        <f t="shared" ref="L2:L33" si="5">SQRT(J2/F2)</f>
        <v>0.68601202613365309</v>
      </c>
      <c r="M2" s="117">
        <f>L2^2</f>
        <v>0.47061249999999993</v>
      </c>
      <c r="N2" s="117" t="s">
        <v>425</v>
      </c>
      <c r="P2" s="101"/>
    </row>
    <row r="3" spans="1:16" x14ac:dyDescent="0.25">
      <c r="A3" s="118" t="str">
        <f t="shared" si="0"/>
        <v>NB15X2.6</v>
      </c>
      <c r="B3" s="132">
        <v>15</v>
      </c>
      <c r="C3" s="119">
        <v>21.3</v>
      </c>
      <c r="D3" s="119">
        <v>2.6</v>
      </c>
      <c r="E3" s="120">
        <f t="shared" ref="E3:E66" si="6">F3*7850/10^4</f>
        <v>1.1990422433176557</v>
      </c>
      <c r="F3" s="121">
        <f t="shared" ref="F3:F66" si="7">PI()/4*(C3^2-(C3-2*D3)^2)/10^2</f>
        <v>1.5274423481753576</v>
      </c>
      <c r="G3" s="129">
        <f t="shared" ref="G3:G66" si="8">PI()/4*((C3-2*D3)^2)</f>
        <v>203.58305793425259</v>
      </c>
      <c r="H3" s="129">
        <f t="shared" si="1"/>
        <v>669.15923521462605</v>
      </c>
      <c r="I3" s="129">
        <f t="shared" si="2"/>
        <v>505.79641722795668</v>
      </c>
      <c r="J3" s="120">
        <f t="shared" si="3"/>
        <v>0.68057103125888274</v>
      </c>
      <c r="K3" s="120">
        <f t="shared" si="4"/>
        <v>0.63903383216796494</v>
      </c>
      <c r="L3" s="120">
        <f t="shared" si="5"/>
        <v>0.66750468163152232</v>
      </c>
      <c r="M3" s="122">
        <f t="shared" ref="M3:M66" si="9">L3^2</f>
        <v>0.44556249999999997</v>
      </c>
      <c r="N3" s="122" t="s">
        <v>425</v>
      </c>
      <c r="P3" s="101"/>
    </row>
    <row r="4" spans="1:16" ht="15.75" thickBot="1" x14ac:dyDescent="0.3">
      <c r="A4" s="123" t="str">
        <f t="shared" si="0"/>
        <v>NB15X3.2</v>
      </c>
      <c r="B4" s="133">
        <v>15</v>
      </c>
      <c r="C4" s="124">
        <v>21.3</v>
      </c>
      <c r="D4" s="124">
        <v>3.2</v>
      </c>
      <c r="E4" s="125">
        <f t="shared" si="6"/>
        <v>1.4283942149929787</v>
      </c>
      <c r="F4" s="126">
        <f t="shared" si="7"/>
        <v>1.8196104649592084</v>
      </c>
      <c r="G4" s="130">
        <f t="shared" si="8"/>
        <v>174.36624625586751</v>
      </c>
      <c r="H4" s="130">
        <f t="shared" si="1"/>
        <v>669.15923521462605</v>
      </c>
      <c r="I4" s="130">
        <f t="shared" si="2"/>
        <v>468.09730538487918</v>
      </c>
      <c r="J4" s="125">
        <f t="shared" si="3"/>
        <v>0.76844424448308579</v>
      </c>
      <c r="K4" s="125">
        <f t="shared" si="4"/>
        <v>0.72154389153341392</v>
      </c>
      <c r="L4" s="125">
        <f t="shared" si="5"/>
        <v>0.64985575322528311</v>
      </c>
      <c r="M4" s="127">
        <f t="shared" si="9"/>
        <v>0.42231250000000004</v>
      </c>
      <c r="N4" s="127" t="s">
        <v>425</v>
      </c>
      <c r="P4" s="101"/>
    </row>
    <row r="5" spans="1:16" x14ac:dyDescent="0.25">
      <c r="A5" s="113" t="str">
        <f t="shared" si="0"/>
        <v>NB20X2.3</v>
      </c>
      <c r="B5" s="131">
        <v>20</v>
      </c>
      <c r="C5" s="114">
        <v>26.9</v>
      </c>
      <c r="D5" s="114">
        <v>2.2999999999999998</v>
      </c>
      <c r="E5" s="115">
        <f t="shared" si="6"/>
        <v>1.3953478018698675</v>
      </c>
      <c r="F5" s="116">
        <f t="shared" si="7"/>
        <v>1.7775131234011052</v>
      </c>
      <c r="G5" s="128">
        <f t="shared" si="8"/>
        <v>390.57065267591696</v>
      </c>
      <c r="H5" s="128">
        <f t="shared" si="1"/>
        <v>845.08842381565432</v>
      </c>
      <c r="I5" s="128">
        <f t="shared" si="2"/>
        <v>700.57516175052365</v>
      </c>
      <c r="J5" s="115">
        <f t="shared" si="3"/>
        <v>1.3563536077252556</v>
      </c>
      <c r="K5" s="115">
        <f t="shared" si="4"/>
        <v>1.0084413440336475</v>
      </c>
      <c r="L5" s="115">
        <f t="shared" si="5"/>
        <v>0.87353448701239034</v>
      </c>
      <c r="M5" s="117">
        <f t="shared" si="9"/>
        <v>0.76306249999999998</v>
      </c>
      <c r="N5" s="117" t="s">
        <v>425</v>
      </c>
      <c r="P5" s="101"/>
    </row>
    <row r="6" spans="1:16" x14ac:dyDescent="0.25">
      <c r="A6" s="118" t="str">
        <f t="shared" si="0"/>
        <v>NB20X2.6</v>
      </c>
      <c r="B6" s="132">
        <v>20</v>
      </c>
      <c r="C6" s="119">
        <v>26.9</v>
      </c>
      <c r="D6" s="119">
        <v>2.6</v>
      </c>
      <c r="E6" s="120">
        <f t="shared" si="6"/>
        <v>1.5581137172523538</v>
      </c>
      <c r="F6" s="121">
        <f t="shared" si="7"/>
        <v>1.9848582385380305</v>
      </c>
      <c r="G6" s="129">
        <f t="shared" si="8"/>
        <v>369.83614116222441</v>
      </c>
      <c r="H6" s="129">
        <f t="shared" si="1"/>
        <v>845.08842381565432</v>
      </c>
      <c r="I6" s="129">
        <f t="shared" si="2"/>
        <v>681.72560582898518</v>
      </c>
      <c r="J6" s="120">
        <f t="shared" si="3"/>
        <v>1.4818207287085483</v>
      </c>
      <c r="K6" s="120">
        <f t="shared" si="4"/>
        <v>1.1017254488539392</v>
      </c>
      <c r="L6" s="120">
        <f t="shared" si="5"/>
        <v>0.86403848293927277</v>
      </c>
      <c r="M6" s="122">
        <f t="shared" si="9"/>
        <v>0.74656249999999991</v>
      </c>
      <c r="N6" s="122" t="s">
        <v>425</v>
      </c>
      <c r="P6" s="101"/>
    </row>
    <row r="7" spans="1:16" ht="15.75" thickBot="1" x14ac:dyDescent="0.3">
      <c r="A7" s="123" t="str">
        <f t="shared" si="0"/>
        <v>NB20X3.2</v>
      </c>
      <c r="B7" s="133">
        <v>20</v>
      </c>
      <c r="C7" s="124">
        <v>26.9</v>
      </c>
      <c r="D7" s="124">
        <v>3.2</v>
      </c>
      <c r="E7" s="125">
        <f t="shared" si="6"/>
        <v>1.8703283367587611</v>
      </c>
      <c r="F7" s="126">
        <f t="shared" si="7"/>
        <v>2.3825838684824983</v>
      </c>
      <c r="G7" s="130">
        <f t="shared" si="8"/>
        <v>330.06357816777762</v>
      </c>
      <c r="H7" s="130">
        <f t="shared" si="1"/>
        <v>845.08842381565432</v>
      </c>
      <c r="I7" s="130">
        <f t="shared" si="2"/>
        <v>644.02649398590756</v>
      </c>
      <c r="J7" s="125">
        <f t="shared" si="3"/>
        <v>1.7033389898764941</v>
      </c>
      <c r="K7" s="125">
        <f t="shared" si="4"/>
        <v>1.2664230408003676</v>
      </c>
      <c r="L7" s="125">
        <f t="shared" si="5"/>
        <v>0.84552498484669281</v>
      </c>
      <c r="M7" s="127">
        <f t="shared" si="9"/>
        <v>0.71491250000000006</v>
      </c>
      <c r="N7" s="127" t="s">
        <v>425</v>
      </c>
      <c r="P7" s="101"/>
    </row>
    <row r="8" spans="1:16" x14ac:dyDescent="0.25">
      <c r="A8" s="113" t="str">
        <f t="shared" si="0"/>
        <v>NB25X2.6</v>
      </c>
      <c r="B8" s="131">
        <v>25</v>
      </c>
      <c r="C8" s="114">
        <v>33.700000000000003</v>
      </c>
      <c r="D8" s="114">
        <v>2.6</v>
      </c>
      <c r="E8" s="115">
        <f t="shared" si="6"/>
        <v>1.9941290784587753</v>
      </c>
      <c r="F8" s="116">
        <f t="shared" si="7"/>
        <v>2.5402918196927073</v>
      </c>
      <c r="G8" s="128">
        <f t="shared" si="8"/>
        <v>637.9396582195775</v>
      </c>
      <c r="H8" s="128">
        <f t="shared" si="1"/>
        <v>1058.7167242597604</v>
      </c>
      <c r="I8" s="128">
        <f t="shared" si="2"/>
        <v>895.35390627309107</v>
      </c>
      <c r="J8" s="115">
        <f t="shared" si="3"/>
        <v>3.0927100295326331</v>
      </c>
      <c r="K8" s="115">
        <f t="shared" si="4"/>
        <v>1.8354362193072005</v>
      </c>
      <c r="L8" s="115">
        <f t="shared" si="5"/>
        <v>1.1033868315328039</v>
      </c>
      <c r="M8" s="117">
        <f t="shared" si="9"/>
        <v>1.2174625000000003</v>
      </c>
      <c r="N8" s="117" t="s">
        <v>425</v>
      </c>
      <c r="P8" s="101"/>
    </row>
    <row r="9" spans="1:16" x14ac:dyDescent="0.25">
      <c r="A9" s="118" t="str">
        <f t="shared" si="0"/>
        <v>NB25X3.2</v>
      </c>
      <c r="B9" s="132">
        <v>25</v>
      </c>
      <c r="C9" s="119">
        <v>33.700000000000003</v>
      </c>
      <c r="D9" s="119">
        <v>3.2</v>
      </c>
      <c r="E9" s="120">
        <f t="shared" si="6"/>
        <v>2.4069626274743565</v>
      </c>
      <c r="F9" s="121">
        <f t="shared" si="7"/>
        <v>3.0661944299036388</v>
      </c>
      <c r="G9" s="129">
        <f t="shared" si="8"/>
        <v>585.34939719848433</v>
      </c>
      <c r="H9" s="129">
        <f t="shared" si="1"/>
        <v>1058.7167242597604</v>
      </c>
      <c r="I9" s="129">
        <f t="shared" si="2"/>
        <v>857.65479443001368</v>
      </c>
      <c r="J9" s="120">
        <f t="shared" si="3"/>
        <v>3.6046564992250918</v>
      </c>
      <c r="K9" s="120">
        <f t="shared" si="4"/>
        <v>2.1392620173442678</v>
      </c>
      <c r="L9" s="120">
        <f t="shared" si="5"/>
        <v>1.0842566578075508</v>
      </c>
      <c r="M9" s="122">
        <f t="shared" si="9"/>
        <v>1.1756125000000002</v>
      </c>
      <c r="N9" s="122" t="s">
        <v>425</v>
      </c>
      <c r="P9" s="101"/>
    </row>
    <row r="10" spans="1:16" ht="15.75" thickBot="1" x14ac:dyDescent="0.3">
      <c r="A10" s="123" t="str">
        <f t="shared" si="0"/>
        <v>NB25X4</v>
      </c>
      <c r="B10" s="133">
        <v>25</v>
      </c>
      <c r="C10" s="124">
        <v>33.700000000000003</v>
      </c>
      <c r="D10" s="124">
        <v>4</v>
      </c>
      <c r="E10" s="125">
        <f t="shared" si="6"/>
        <v>2.9297864768847699</v>
      </c>
      <c r="F10" s="126">
        <f t="shared" si="7"/>
        <v>3.7322120724646752</v>
      </c>
      <c r="G10" s="130">
        <f t="shared" si="8"/>
        <v>518.74763294238073</v>
      </c>
      <c r="H10" s="130">
        <f t="shared" si="1"/>
        <v>1058.7167242597604</v>
      </c>
      <c r="I10" s="130">
        <f t="shared" si="2"/>
        <v>807.38931197257693</v>
      </c>
      <c r="J10" s="125">
        <f t="shared" si="3"/>
        <v>4.1898279251997508</v>
      </c>
      <c r="K10" s="125">
        <f t="shared" si="4"/>
        <v>2.4865447627298227</v>
      </c>
      <c r="L10" s="125">
        <f t="shared" si="5"/>
        <v>1.05953409572321</v>
      </c>
      <c r="M10" s="127">
        <f t="shared" si="9"/>
        <v>1.1226125000000002</v>
      </c>
      <c r="N10" s="127" t="s">
        <v>425</v>
      </c>
      <c r="P10" s="101"/>
    </row>
    <row r="11" spans="1:16" x14ac:dyDescent="0.25">
      <c r="A11" s="113" t="str">
        <f t="shared" si="0"/>
        <v>NB32X2.6</v>
      </c>
      <c r="B11" s="131">
        <v>32</v>
      </c>
      <c r="C11" s="114">
        <v>42.4</v>
      </c>
      <c r="D11" s="114">
        <v>2.6</v>
      </c>
      <c r="E11" s="115">
        <f t="shared" si="6"/>
        <v>2.5519722611787556</v>
      </c>
      <c r="F11" s="116">
        <f t="shared" si="7"/>
        <v>3.2509200779347203</v>
      </c>
      <c r="G11" s="128">
        <f t="shared" si="8"/>
        <v>1086.8653944359246</v>
      </c>
      <c r="H11" s="128">
        <f t="shared" si="1"/>
        <v>1332.0352851220721</v>
      </c>
      <c r="I11" s="128">
        <f t="shared" si="2"/>
        <v>1168.6724671354029</v>
      </c>
      <c r="J11" s="115">
        <f t="shared" si="3"/>
        <v>6.4644545749731899</v>
      </c>
      <c r="K11" s="115">
        <f t="shared" si="4"/>
        <v>3.0492710259307501</v>
      </c>
      <c r="L11" s="115">
        <f t="shared" si="5"/>
        <v>1.410141836837699</v>
      </c>
      <c r="M11" s="117">
        <f t="shared" si="9"/>
        <v>1.9884999999999997</v>
      </c>
      <c r="N11" s="117" t="s">
        <v>425</v>
      </c>
      <c r="P11" s="101"/>
    </row>
    <row r="12" spans="1:16" x14ac:dyDescent="0.25">
      <c r="A12" s="118" t="str">
        <f t="shared" si="0"/>
        <v>NB32X3.2</v>
      </c>
      <c r="B12" s="132">
        <v>32</v>
      </c>
      <c r="C12" s="119">
        <v>42.4</v>
      </c>
      <c r="D12" s="119">
        <v>3.2</v>
      </c>
      <c r="E12" s="120">
        <f t="shared" si="6"/>
        <v>3.0935388523604836</v>
      </c>
      <c r="F12" s="121">
        <f t="shared" si="7"/>
        <v>3.9408138246630364</v>
      </c>
      <c r="G12" s="129">
        <f t="shared" si="8"/>
        <v>1017.8760197630929</v>
      </c>
      <c r="H12" s="129">
        <f t="shared" si="1"/>
        <v>1332.0352851220721</v>
      </c>
      <c r="I12" s="129">
        <f t="shared" si="2"/>
        <v>1130.9733552923256</v>
      </c>
      <c r="J12" s="120">
        <f t="shared" si="3"/>
        <v>7.6199576113684468</v>
      </c>
      <c r="K12" s="120">
        <f t="shared" si="4"/>
        <v>3.5943196280039844</v>
      </c>
      <c r="L12" s="120">
        <f t="shared" si="5"/>
        <v>1.3905394636614956</v>
      </c>
      <c r="M12" s="122">
        <f t="shared" si="9"/>
        <v>1.9336</v>
      </c>
      <c r="N12" s="122" t="s">
        <v>425</v>
      </c>
      <c r="P12" s="101"/>
    </row>
    <row r="13" spans="1:16" ht="15.75" thickBot="1" x14ac:dyDescent="0.3">
      <c r="A13" s="123" t="str">
        <f t="shared" si="0"/>
        <v>NB32X4</v>
      </c>
      <c r="B13" s="133">
        <v>32</v>
      </c>
      <c r="C13" s="124">
        <v>42.4</v>
      </c>
      <c r="D13" s="124">
        <v>4</v>
      </c>
      <c r="E13" s="125">
        <f t="shared" si="6"/>
        <v>3.7880067579924295</v>
      </c>
      <c r="F13" s="126">
        <f t="shared" si="7"/>
        <v>4.8254863159139232</v>
      </c>
      <c r="G13" s="130">
        <f t="shared" si="8"/>
        <v>929.40877063800428</v>
      </c>
      <c r="H13" s="130">
        <f t="shared" si="1"/>
        <v>1332.0352851220721</v>
      </c>
      <c r="I13" s="130">
        <f t="shared" si="2"/>
        <v>1080.7078728348888</v>
      </c>
      <c r="J13" s="125">
        <f t="shared" si="3"/>
        <v>8.9908461038108207</v>
      </c>
      <c r="K13" s="125">
        <f t="shared" si="4"/>
        <v>4.2409651433069913</v>
      </c>
      <c r="L13" s="125">
        <f t="shared" si="5"/>
        <v>1.3649908424601243</v>
      </c>
      <c r="M13" s="127">
        <f t="shared" si="9"/>
        <v>1.8631999999999997</v>
      </c>
      <c r="N13" s="127" t="s">
        <v>425</v>
      </c>
      <c r="P13" s="101"/>
    </row>
    <row r="14" spans="1:16" x14ac:dyDescent="0.25">
      <c r="A14" s="113" t="str">
        <f t="shared" si="0"/>
        <v>NB40X2.9</v>
      </c>
      <c r="B14" s="131">
        <v>40</v>
      </c>
      <c r="C14" s="114">
        <v>48.3</v>
      </c>
      <c r="D14" s="114">
        <v>2.9</v>
      </c>
      <c r="E14" s="115">
        <f t="shared" si="6"/>
        <v>3.2469333968573117</v>
      </c>
      <c r="F14" s="116">
        <f t="shared" si="7"/>
        <v>4.1362208877163207</v>
      </c>
      <c r="G14" s="128">
        <f t="shared" si="8"/>
        <v>1418.6254326366409</v>
      </c>
      <c r="H14" s="128">
        <f t="shared" si="1"/>
        <v>1517.38925168387</v>
      </c>
      <c r="I14" s="128">
        <f t="shared" si="2"/>
        <v>1335.176877775662</v>
      </c>
      <c r="J14" s="115">
        <f t="shared" si="3"/>
        <v>10.70024832823883</v>
      </c>
      <c r="K14" s="115">
        <f t="shared" si="4"/>
        <v>4.4307446493742573</v>
      </c>
      <c r="L14" s="115">
        <f t="shared" si="5"/>
        <v>1.6084037117589598</v>
      </c>
      <c r="M14" s="117">
        <f t="shared" si="9"/>
        <v>2.5869624999999989</v>
      </c>
      <c r="N14" s="117" t="s">
        <v>425</v>
      </c>
      <c r="P14" s="101"/>
    </row>
    <row r="15" spans="1:16" x14ac:dyDescent="0.25">
      <c r="A15" s="118" t="str">
        <f t="shared" si="0"/>
        <v>NB40X3.2</v>
      </c>
      <c r="B15" s="132">
        <v>40</v>
      </c>
      <c r="C15" s="119">
        <v>48.3</v>
      </c>
      <c r="D15" s="119">
        <v>3.2</v>
      </c>
      <c r="E15" s="120">
        <f t="shared" si="6"/>
        <v>3.5591480163637192</v>
      </c>
      <c r="F15" s="121">
        <f t="shared" si="7"/>
        <v>4.5339465176607892</v>
      </c>
      <c r="G15" s="129">
        <f t="shared" si="8"/>
        <v>1378.852869642194</v>
      </c>
      <c r="H15" s="129">
        <f t="shared" si="1"/>
        <v>1517.38925168387</v>
      </c>
      <c r="I15" s="129">
        <f t="shared" si="2"/>
        <v>1316.3273218541233</v>
      </c>
      <c r="J15" s="120">
        <f t="shared" si="3"/>
        <v>11.585650210910085</v>
      </c>
      <c r="K15" s="120">
        <f t="shared" si="4"/>
        <v>4.7973706877474482</v>
      </c>
      <c r="L15" s="120">
        <f t="shared" si="5"/>
        <v>1.5985344850831338</v>
      </c>
      <c r="M15" s="122">
        <f t="shared" si="9"/>
        <v>2.5553124999999999</v>
      </c>
      <c r="N15" s="122" t="s">
        <v>425</v>
      </c>
      <c r="P15" s="101"/>
    </row>
    <row r="16" spans="1:16" ht="15.75" thickBot="1" x14ac:dyDescent="0.3">
      <c r="A16" s="123" t="str">
        <f t="shared" si="0"/>
        <v>NB40X4</v>
      </c>
      <c r="B16" s="133">
        <v>40</v>
      </c>
      <c r="C16" s="124">
        <v>48.3</v>
      </c>
      <c r="D16" s="124">
        <v>4</v>
      </c>
      <c r="E16" s="125">
        <f t="shared" si="6"/>
        <v>4.3700182129964746</v>
      </c>
      <c r="F16" s="126">
        <f t="shared" si="7"/>
        <v>5.5669021821611144</v>
      </c>
      <c r="G16" s="130">
        <f t="shared" si="8"/>
        <v>1275.5573031921615</v>
      </c>
      <c r="H16" s="130">
        <f t="shared" si="1"/>
        <v>1517.38925168387</v>
      </c>
      <c r="I16" s="130">
        <f t="shared" si="2"/>
        <v>1266.0618393966865</v>
      </c>
      <c r="J16" s="125">
        <f t="shared" si="3"/>
        <v>13.767575372979927</v>
      </c>
      <c r="K16" s="125">
        <f t="shared" si="4"/>
        <v>5.7008593676935515</v>
      </c>
      <c r="L16" s="125">
        <f t="shared" si="5"/>
        <v>1.5726132709601555</v>
      </c>
      <c r="M16" s="127">
        <f t="shared" si="9"/>
        <v>2.4731124999999992</v>
      </c>
      <c r="N16" s="127" t="s">
        <v>425</v>
      </c>
      <c r="P16" s="101"/>
    </row>
    <row r="17" spans="1:17" x14ac:dyDescent="0.25">
      <c r="A17" s="113" t="str">
        <f t="shared" si="0"/>
        <v>NB50X2.9</v>
      </c>
      <c r="B17" s="131">
        <v>50</v>
      </c>
      <c r="C17" s="114">
        <v>60.3</v>
      </c>
      <c r="D17" s="114">
        <v>2.9</v>
      </c>
      <c r="E17" s="115">
        <f t="shared" si="6"/>
        <v>4.10515367796497</v>
      </c>
      <c r="F17" s="116">
        <f t="shared" si="7"/>
        <v>5.2294951311655673</v>
      </c>
      <c r="G17" s="128">
        <f t="shared" si="8"/>
        <v>2332.8288948312706</v>
      </c>
      <c r="H17" s="128">
        <f t="shared" si="1"/>
        <v>1894.3803701146451</v>
      </c>
      <c r="I17" s="128">
        <f t="shared" si="2"/>
        <v>1712.1679962064372</v>
      </c>
      <c r="J17" s="115">
        <f t="shared" si="3"/>
        <v>21.592389290515207</v>
      </c>
      <c r="K17" s="115">
        <f t="shared" si="4"/>
        <v>7.1616548227247794</v>
      </c>
      <c r="L17" s="115">
        <f t="shared" si="5"/>
        <v>2.0319848670696343</v>
      </c>
      <c r="M17" s="117">
        <f t="shared" si="9"/>
        <v>4.1289624999999992</v>
      </c>
      <c r="N17" s="117" t="s">
        <v>425</v>
      </c>
      <c r="P17" s="101"/>
    </row>
    <row r="18" spans="1:17" x14ac:dyDescent="0.25">
      <c r="A18" s="118" t="str">
        <f t="shared" si="0"/>
        <v>NB50X3.6</v>
      </c>
      <c r="B18" s="132">
        <v>50</v>
      </c>
      <c r="C18" s="119">
        <v>60.3</v>
      </c>
      <c r="D18" s="119">
        <v>3.6</v>
      </c>
      <c r="E18" s="120">
        <f t="shared" si="6"/>
        <v>5.0339058557383787</v>
      </c>
      <c r="F18" s="121">
        <f t="shared" si="7"/>
        <v>6.4126189245074894</v>
      </c>
      <c r="G18" s="129">
        <f t="shared" si="8"/>
        <v>2214.5165154970787</v>
      </c>
      <c r="H18" s="129">
        <f t="shared" si="1"/>
        <v>1894.3803701146451</v>
      </c>
      <c r="I18" s="129">
        <f t="shared" si="2"/>
        <v>1668.1856990561801</v>
      </c>
      <c r="J18" s="120">
        <f t="shared" si="3"/>
        <v>25.87371499433937</v>
      </c>
      <c r="K18" s="120">
        <f t="shared" si="4"/>
        <v>8.5816633480395925</v>
      </c>
      <c r="L18" s="120">
        <f t="shared" si="5"/>
        <v>2.008684270859908</v>
      </c>
      <c r="M18" s="122">
        <f t="shared" si="9"/>
        <v>4.0348125000000001</v>
      </c>
      <c r="N18" s="122" t="s">
        <v>425</v>
      </c>
      <c r="P18" s="101"/>
    </row>
    <row r="19" spans="1:17" ht="15.75" thickBot="1" x14ac:dyDescent="0.3">
      <c r="A19" s="123" t="str">
        <f t="shared" si="0"/>
        <v>NB50X4.5</v>
      </c>
      <c r="B19" s="133">
        <v>50</v>
      </c>
      <c r="C19" s="124">
        <v>60.3</v>
      </c>
      <c r="D19" s="124">
        <v>4.5</v>
      </c>
      <c r="E19" s="125">
        <f t="shared" si="6"/>
        <v>6.1925032352337173</v>
      </c>
      <c r="F19" s="126">
        <f t="shared" si="7"/>
        <v>7.888539153163971</v>
      </c>
      <c r="G19" s="130">
        <f t="shared" si="8"/>
        <v>2066.9244926314304</v>
      </c>
      <c r="H19" s="130">
        <f t="shared" si="1"/>
        <v>1894.3803701146451</v>
      </c>
      <c r="I19" s="130">
        <f t="shared" si="2"/>
        <v>1611.6370312915637</v>
      </c>
      <c r="J19" s="125">
        <f t="shared" si="3"/>
        <v>30.902267458386294</v>
      </c>
      <c r="K19" s="125">
        <f t="shared" si="4"/>
        <v>10.24950827807174</v>
      </c>
      <c r="L19" s="125">
        <f t="shared" si="5"/>
        <v>1.9792328059124322</v>
      </c>
      <c r="M19" s="127">
        <f t="shared" si="9"/>
        <v>3.9173624999999994</v>
      </c>
      <c r="N19" s="127" t="s">
        <v>427</v>
      </c>
      <c r="P19" s="101"/>
      <c r="Q19" s="109"/>
    </row>
    <row r="20" spans="1:17" x14ac:dyDescent="0.25">
      <c r="A20" s="113" t="str">
        <f t="shared" si="0"/>
        <v>NB65X2.9</v>
      </c>
      <c r="B20" s="131">
        <v>65</v>
      </c>
      <c r="C20" s="114">
        <v>76.099999999999994</v>
      </c>
      <c r="D20" s="114">
        <v>2.9</v>
      </c>
      <c r="E20" s="115">
        <f t="shared" si="6"/>
        <v>5.235143714756723</v>
      </c>
      <c r="F20" s="116">
        <f t="shared" si="7"/>
        <v>6.6689728850404117</v>
      </c>
      <c r="G20" s="128">
        <f t="shared" si="8"/>
        <v>3881.5084093448945</v>
      </c>
      <c r="H20" s="128">
        <f t="shared" si="1"/>
        <v>2390.7520093818321</v>
      </c>
      <c r="I20" s="128">
        <f t="shared" si="2"/>
        <v>2208.5396354736245</v>
      </c>
      <c r="J20" s="115">
        <f t="shared" si="3"/>
        <v>44.737554166877636</v>
      </c>
      <c r="K20" s="115">
        <f t="shared" si="4"/>
        <v>11.757570083279276</v>
      </c>
      <c r="L20" s="115">
        <f t="shared" si="5"/>
        <v>2.5900410228411435</v>
      </c>
      <c r="M20" s="117">
        <f t="shared" si="9"/>
        <v>6.7083124999999963</v>
      </c>
      <c r="N20" s="117" t="s">
        <v>427</v>
      </c>
      <c r="P20" s="101"/>
    </row>
    <row r="21" spans="1:17" x14ac:dyDescent="0.25">
      <c r="A21" s="118" t="str">
        <f t="shared" si="0"/>
        <v>NB65X3.6</v>
      </c>
      <c r="B21" s="132">
        <v>65</v>
      </c>
      <c r="C21" s="119">
        <v>76.099999999999994</v>
      </c>
      <c r="D21" s="119">
        <v>3.6</v>
      </c>
      <c r="E21" s="120">
        <f t="shared" si="6"/>
        <v>6.4366521083074479</v>
      </c>
      <c r="F21" s="121">
        <f t="shared" si="7"/>
        <v>8.1995568258693599</v>
      </c>
      <c r="G21" s="129">
        <f t="shared" si="8"/>
        <v>3728.4500152619999</v>
      </c>
      <c r="H21" s="129">
        <f t="shared" si="1"/>
        <v>2390.7520093818321</v>
      </c>
      <c r="I21" s="129">
        <f t="shared" si="2"/>
        <v>2164.5573383233668</v>
      </c>
      <c r="J21" s="120">
        <f t="shared" si="3"/>
        <v>54.006483528048847</v>
      </c>
      <c r="K21" s="120">
        <f t="shared" si="4"/>
        <v>14.193556774782879</v>
      </c>
      <c r="L21" s="120">
        <f t="shared" si="5"/>
        <v>2.5664201721464077</v>
      </c>
      <c r="M21" s="122">
        <f t="shared" si="9"/>
        <v>6.5865124999999969</v>
      </c>
      <c r="N21" s="122" t="s">
        <v>425</v>
      </c>
      <c r="P21" s="101"/>
    </row>
    <row r="22" spans="1:17" ht="15.75" thickBot="1" x14ac:dyDescent="0.3">
      <c r="A22" s="123" t="str">
        <f t="shared" si="0"/>
        <v>NB65X4.5</v>
      </c>
      <c r="B22" s="133">
        <v>65</v>
      </c>
      <c r="C22" s="124">
        <v>76.099999999999994</v>
      </c>
      <c r="D22" s="124">
        <v>4.5</v>
      </c>
      <c r="E22" s="125">
        <f t="shared" si="6"/>
        <v>7.9459360509450558</v>
      </c>
      <c r="F22" s="126">
        <f t="shared" si="7"/>
        <v>10.122211529866314</v>
      </c>
      <c r="G22" s="130">
        <f t="shared" si="8"/>
        <v>3536.1845448623044</v>
      </c>
      <c r="H22" s="130">
        <f t="shared" si="1"/>
        <v>2390.7520093818321</v>
      </c>
      <c r="I22" s="130">
        <f t="shared" si="2"/>
        <v>2108.008670558751</v>
      </c>
      <c r="J22" s="125">
        <f t="shared" si="3"/>
        <v>65.121374405039049</v>
      </c>
      <c r="K22" s="125">
        <f t="shared" si="4"/>
        <v>17.114684469129848</v>
      </c>
      <c r="L22" s="125">
        <f t="shared" si="5"/>
        <v>2.5364369694514388</v>
      </c>
      <c r="M22" s="127">
        <f t="shared" si="9"/>
        <v>6.4335124999999991</v>
      </c>
      <c r="N22" s="127" t="s">
        <v>425</v>
      </c>
      <c r="P22" s="101"/>
    </row>
    <row r="23" spans="1:17" x14ac:dyDescent="0.25">
      <c r="A23" s="113" t="str">
        <f t="shared" si="0"/>
        <v>NB80X3.2</v>
      </c>
      <c r="B23" s="131">
        <v>80</v>
      </c>
      <c r="C23" s="114">
        <v>88.9</v>
      </c>
      <c r="D23" s="114">
        <v>3.2</v>
      </c>
      <c r="E23" s="115">
        <f t="shared" si="6"/>
        <v>6.7631703991656558</v>
      </c>
      <c r="F23" s="116">
        <f t="shared" si="7"/>
        <v>8.6155036932046567</v>
      </c>
      <c r="G23" s="128">
        <f t="shared" si="8"/>
        <v>5345.6162496238821</v>
      </c>
      <c r="H23" s="128">
        <f t="shared" si="1"/>
        <v>2792.8758690413265</v>
      </c>
      <c r="I23" s="128">
        <f t="shared" si="2"/>
        <v>2591.8139392115791</v>
      </c>
      <c r="J23" s="115">
        <f t="shared" si="3"/>
        <v>79.205879346903856</v>
      </c>
      <c r="K23" s="115">
        <f t="shared" si="4"/>
        <v>17.819095466120103</v>
      </c>
      <c r="L23" s="115">
        <f t="shared" si="5"/>
        <v>3.0320640659458369</v>
      </c>
      <c r="M23" s="117">
        <f t="shared" si="9"/>
        <v>9.1934125000000009</v>
      </c>
      <c r="N23" s="117" t="s">
        <v>425</v>
      </c>
      <c r="P23" s="101"/>
    </row>
    <row r="24" spans="1:17" x14ac:dyDescent="0.25">
      <c r="A24" s="118" t="str">
        <f t="shared" si="0"/>
        <v>NB80X4</v>
      </c>
      <c r="B24" s="132">
        <v>80</v>
      </c>
      <c r="C24" s="119">
        <v>88.9</v>
      </c>
      <c r="D24" s="119">
        <v>4</v>
      </c>
      <c r="E24" s="120">
        <f t="shared" si="6"/>
        <v>8.3750461914988819</v>
      </c>
      <c r="F24" s="121">
        <f t="shared" si="7"/>
        <v>10.668848651590933</v>
      </c>
      <c r="G24" s="129">
        <f t="shared" si="8"/>
        <v>5140.2817537852543</v>
      </c>
      <c r="H24" s="129">
        <f t="shared" si="1"/>
        <v>2792.8758690413265</v>
      </c>
      <c r="I24" s="129">
        <f t="shared" si="2"/>
        <v>2541.548456754143</v>
      </c>
      <c r="J24" s="120">
        <f t="shared" si="3"/>
        <v>96.339836684474321</v>
      </c>
      <c r="K24" s="120">
        <f t="shared" si="4"/>
        <v>21.673754034752374</v>
      </c>
      <c r="L24" s="120">
        <f t="shared" si="5"/>
        <v>3.0049979201323924</v>
      </c>
      <c r="M24" s="122">
        <f t="shared" si="9"/>
        <v>9.0300125000000051</v>
      </c>
      <c r="N24" s="122" t="s">
        <v>425</v>
      </c>
      <c r="P24" s="101"/>
    </row>
    <row r="25" spans="1:17" ht="15.75" thickBot="1" x14ac:dyDescent="0.3">
      <c r="A25" s="123" t="str">
        <f t="shared" si="0"/>
        <v>NB80X4.8</v>
      </c>
      <c r="B25" s="133">
        <v>80</v>
      </c>
      <c r="C25" s="124">
        <v>88.9</v>
      </c>
      <c r="D25" s="124">
        <v>4.8</v>
      </c>
      <c r="E25" s="125">
        <f t="shared" si="6"/>
        <v>9.9553552608488491</v>
      </c>
      <c r="F25" s="126">
        <f t="shared" si="7"/>
        <v>12.681981224011272</v>
      </c>
      <c r="G25" s="130">
        <f t="shared" si="8"/>
        <v>4938.9684965432207</v>
      </c>
      <c r="H25" s="130">
        <f t="shared" si="1"/>
        <v>2792.8758690413265</v>
      </c>
      <c r="I25" s="130">
        <f t="shared" si="2"/>
        <v>2491.282974296706</v>
      </c>
      <c r="J25" s="125">
        <f t="shared" si="3"/>
        <v>112.4867955855005</v>
      </c>
      <c r="K25" s="125">
        <f t="shared" si="4"/>
        <v>25.306365711023734</v>
      </c>
      <c r="L25" s="125">
        <f t="shared" si="5"/>
        <v>2.9782230440314579</v>
      </c>
      <c r="M25" s="127">
        <f t="shared" si="9"/>
        <v>8.8698125000000037</v>
      </c>
      <c r="N25" s="127" t="s">
        <v>425</v>
      </c>
      <c r="P25" s="101"/>
    </row>
    <row r="26" spans="1:17" x14ac:dyDescent="0.25">
      <c r="A26" s="113" t="str">
        <f t="shared" si="0"/>
        <v>NB90X3.6</v>
      </c>
      <c r="B26" s="131">
        <v>90</v>
      </c>
      <c r="C26" s="114">
        <v>101.6</v>
      </c>
      <c r="D26" s="114">
        <v>3.6</v>
      </c>
      <c r="E26" s="115">
        <f t="shared" si="6"/>
        <v>8.7005780222638638</v>
      </c>
      <c r="F26" s="116">
        <f t="shared" si="7"/>
        <v>11.083538881864795</v>
      </c>
      <c r="G26" s="128">
        <f t="shared" si="8"/>
        <v>6998.9657773734834</v>
      </c>
      <c r="H26" s="128">
        <f t="shared" si="1"/>
        <v>3191.8581360472299</v>
      </c>
      <c r="I26" s="128">
        <f t="shared" si="2"/>
        <v>2965.6634649887646</v>
      </c>
      <c r="J26" s="115">
        <f t="shared" si="3"/>
        <v>133.23743760667307</v>
      </c>
      <c r="K26" s="115">
        <f t="shared" si="4"/>
        <v>26.227842048557694</v>
      </c>
      <c r="L26" s="115">
        <f t="shared" si="5"/>
        <v>3.4671602212761958</v>
      </c>
      <c r="M26" s="117">
        <f t="shared" si="9"/>
        <v>12.021199999999999</v>
      </c>
      <c r="N26" s="117" t="s">
        <v>427</v>
      </c>
      <c r="P26" s="101"/>
    </row>
    <row r="27" spans="1:17" x14ac:dyDescent="0.25">
      <c r="A27" s="118" t="str">
        <f t="shared" si="0"/>
        <v>NB90X4</v>
      </c>
      <c r="B27" s="132">
        <v>90</v>
      </c>
      <c r="C27" s="119">
        <v>101.6</v>
      </c>
      <c r="D27" s="119">
        <v>4</v>
      </c>
      <c r="E27" s="120">
        <f t="shared" si="6"/>
        <v>9.6278505098974261</v>
      </c>
      <c r="F27" s="121">
        <f t="shared" si="7"/>
        <v>12.264777719614555</v>
      </c>
      <c r="G27" s="129">
        <f t="shared" si="8"/>
        <v>6880.8418935985073</v>
      </c>
      <c r="H27" s="129">
        <f t="shared" si="1"/>
        <v>3191.8581360472299</v>
      </c>
      <c r="I27" s="129">
        <f t="shared" si="2"/>
        <v>2940.5307237600459</v>
      </c>
      <c r="J27" s="120">
        <f t="shared" si="3"/>
        <v>146.28445681738668</v>
      </c>
      <c r="K27" s="120">
        <f t="shared" si="4"/>
        <v>28.796152916808406</v>
      </c>
      <c r="L27" s="120">
        <f t="shared" si="5"/>
        <v>3.4535778549208933</v>
      </c>
      <c r="M27" s="122">
        <f t="shared" si="9"/>
        <v>11.927199999999999</v>
      </c>
      <c r="N27" s="122" t="s">
        <v>427</v>
      </c>
      <c r="P27" s="101"/>
    </row>
    <row r="28" spans="1:17" ht="15.75" thickBot="1" x14ac:dyDescent="0.3">
      <c r="A28" s="123" t="str">
        <f t="shared" si="0"/>
        <v>NB90X4.8</v>
      </c>
      <c r="B28" s="133">
        <v>90</v>
      </c>
      <c r="C28" s="124">
        <v>101.6</v>
      </c>
      <c r="D28" s="124">
        <v>4.8</v>
      </c>
      <c r="E28" s="125">
        <f t="shared" si="6"/>
        <v>11.458720442927095</v>
      </c>
      <c r="F28" s="126">
        <f t="shared" si="7"/>
        <v>14.597096105639611</v>
      </c>
      <c r="G28" s="130">
        <f t="shared" si="8"/>
        <v>6647.610054996002</v>
      </c>
      <c r="H28" s="130">
        <f t="shared" si="1"/>
        <v>3191.8581360472299</v>
      </c>
      <c r="I28" s="130">
        <f t="shared" si="2"/>
        <v>2890.2652413026094</v>
      </c>
      <c r="J28" s="125">
        <f t="shared" si="3"/>
        <v>171.39326363397805</v>
      </c>
      <c r="K28" s="125">
        <f t="shared" si="4"/>
        <v>33.73883142401143</v>
      </c>
      <c r="L28" s="125">
        <f t="shared" si="5"/>
        <v>3.4266018152099318</v>
      </c>
      <c r="M28" s="127">
        <f t="shared" si="9"/>
        <v>11.7416</v>
      </c>
      <c r="N28" s="127" t="s">
        <v>427</v>
      </c>
      <c r="P28" s="101"/>
    </row>
    <row r="29" spans="1:17" x14ac:dyDescent="0.25">
      <c r="A29" s="113" t="str">
        <f t="shared" si="0"/>
        <v>NB100X3.6</v>
      </c>
      <c r="B29" s="131">
        <v>100</v>
      </c>
      <c r="C29" s="114">
        <v>114.3</v>
      </c>
      <c r="D29" s="114">
        <v>3.6</v>
      </c>
      <c r="E29" s="115">
        <f t="shared" si="6"/>
        <v>9.8281019088225552</v>
      </c>
      <c r="F29" s="116">
        <f t="shared" si="7"/>
        <v>12.519875043086058</v>
      </c>
      <c r="G29" s="128">
        <f t="shared" si="8"/>
        <v>9008.8389474157229</v>
      </c>
      <c r="H29" s="128">
        <f t="shared" si="1"/>
        <v>3590.8404030531337</v>
      </c>
      <c r="I29" s="128">
        <f t="shared" si="2"/>
        <v>3364.6457319946685</v>
      </c>
      <c r="J29" s="115">
        <f t="shared" si="3"/>
        <v>191.98367637163253</v>
      </c>
      <c r="K29" s="115">
        <f t="shared" si="4"/>
        <v>33.592944247004816</v>
      </c>
      <c r="L29" s="115">
        <f t="shared" si="5"/>
        <v>3.915905067797226</v>
      </c>
      <c r="M29" s="117">
        <f t="shared" si="9"/>
        <v>15.334312499999998</v>
      </c>
      <c r="N29" s="117" t="s">
        <v>425</v>
      </c>
      <c r="P29" s="101"/>
    </row>
    <row r="30" spans="1:17" x14ac:dyDescent="0.25">
      <c r="A30" s="118" t="str">
        <f t="shared" si="0"/>
        <v>NB100X4.5</v>
      </c>
      <c r="B30" s="132">
        <v>100</v>
      </c>
      <c r="C30" s="119">
        <v>114.3</v>
      </c>
      <c r="D30" s="119">
        <v>4.5</v>
      </c>
      <c r="E30" s="120">
        <f t="shared" si="6"/>
        <v>12.185248301588924</v>
      </c>
      <c r="F30" s="121">
        <f t="shared" si="7"/>
        <v>15.522609301387165</v>
      </c>
      <c r="G30" s="129">
        <f t="shared" si="8"/>
        <v>8708.5655215856132</v>
      </c>
      <c r="H30" s="129">
        <f t="shared" si="1"/>
        <v>3590.8404030531337</v>
      </c>
      <c r="I30" s="129">
        <f t="shared" si="2"/>
        <v>3308.0970642300517</v>
      </c>
      <c r="J30" s="120">
        <f t="shared" si="3"/>
        <v>234.31941435031098</v>
      </c>
      <c r="K30" s="120">
        <f t="shared" si="4"/>
        <v>41.000772414752582</v>
      </c>
      <c r="L30" s="120">
        <f t="shared" si="5"/>
        <v>3.8852750867860051</v>
      </c>
      <c r="M30" s="122">
        <f t="shared" si="9"/>
        <v>15.095362499999998</v>
      </c>
      <c r="N30" s="122" t="s">
        <v>425</v>
      </c>
      <c r="P30" s="101"/>
    </row>
    <row r="31" spans="1:17" ht="15.75" thickBot="1" x14ac:dyDescent="0.3">
      <c r="A31" s="123" t="str">
        <f t="shared" si="0"/>
        <v>NB100X5.4</v>
      </c>
      <c r="B31" s="133">
        <v>100</v>
      </c>
      <c r="C31" s="124">
        <v>114.3</v>
      </c>
      <c r="D31" s="124">
        <v>5.4</v>
      </c>
      <c r="E31" s="125">
        <f t="shared" si="6"/>
        <v>14.502443060579605</v>
      </c>
      <c r="F31" s="126">
        <f t="shared" si="7"/>
        <v>18.474449758700136</v>
      </c>
      <c r="G31" s="130">
        <f t="shared" si="8"/>
        <v>8413.3814758543158</v>
      </c>
      <c r="H31" s="130">
        <f t="shared" si="1"/>
        <v>3590.8404030531337</v>
      </c>
      <c r="I31" s="130">
        <f t="shared" si="2"/>
        <v>3251.5483964654359</v>
      </c>
      <c r="J31" s="125">
        <f t="shared" si="3"/>
        <v>274.53886784729741</v>
      </c>
      <c r="K31" s="125">
        <f t="shared" si="4"/>
        <v>48.038297086141284</v>
      </c>
      <c r="L31" s="125">
        <f t="shared" si="5"/>
        <v>3.8549270421111732</v>
      </c>
      <c r="M31" s="127">
        <f t="shared" si="9"/>
        <v>14.860462499999999</v>
      </c>
      <c r="N31" s="127" t="s">
        <v>425</v>
      </c>
      <c r="P31" s="101"/>
    </row>
    <row r="32" spans="1:17" x14ac:dyDescent="0.25">
      <c r="A32" s="113" t="str">
        <f t="shared" si="0"/>
        <v>NB110X4.5</v>
      </c>
      <c r="B32" s="131">
        <v>110</v>
      </c>
      <c r="C32" s="114">
        <v>127</v>
      </c>
      <c r="D32" s="114">
        <v>4.5</v>
      </c>
      <c r="E32" s="115">
        <f t="shared" si="6"/>
        <v>13.594653159787281</v>
      </c>
      <c r="F32" s="116">
        <f t="shared" si="7"/>
        <v>17.318029502913735</v>
      </c>
      <c r="G32" s="128">
        <f t="shared" si="8"/>
        <v>10935.88402714607</v>
      </c>
      <c r="H32" s="128">
        <f t="shared" si="1"/>
        <v>3989.8226700590376</v>
      </c>
      <c r="I32" s="128">
        <f t="shared" si="2"/>
        <v>3707.0793312359556</v>
      </c>
      <c r="J32" s="115">
        <f t="shared" si="3"/>
        <v>325.28671290691653</v>
      </c>
      <c r="K32" s="115">
        <f t="shared" si="4"/>
        <v>51.226254001089217</v>
      </c>
      <c r="L32" s="115">
        <f t="shared" si="5"/>
        <v>4.3339502765952451</v>
      </c>
      <c r="M32" s="117">
        <f t="shared" si="9"/>
        <v>18.783125000000002</v>
      </c>
      <c r="N32" s="117" t="s">
        <v>427</v>
      </c>
      <c r="P32" s="101"/>
    </row>
    <row r="33" spans="1:16" x14ac:dyDescent="0.25">
      <c r="A33" s="118" t="str">
        <f t="shared" si="0"/>
        <v>NB110X4.8</v>
      </c>
      <c r="B33" s="132">
        <v>110</v>
      </c>
      <c r="C33" s="119">
        <v>127</v>
      </c>
      <c r="D33" s="119">
        <v>4.8</v>
      </c>
      <c r="E33" s="120">
        <f t="shared" si="6"/>
        <v>14.465450807083576</v>
      </c>
      <c r="F33" s="121">
        <f t="shared" si="7"/>
        <v>18.427325868896276</v>
      </c>
      <c r="G33" s="129">
        <f t="shared" si="8"/>
        <v>10824.954390547817</v>
      </c>
      <c r="H33" s="129">
        <f t="shared" si="1"/>
        <v>3989.8226700590376</v>
      </c>
      <c r="I33" s="129">
        <f t="shared" si="2"/>
        <v>3688.2297753144171</v>
      </c>
      <c r="J33" s="120">
        <f t="shared" si="3"/>
        <v>344.49609302013556</v>
      </c>
      <c r="K33" s="120">
        <f t="shared" si="4"/>
        <v>54.251353231517413</v>
      </c>
      <c r="L33" s="120">
        <f t="shared" si="5"/>
        <v>4.3237541558233863</v>
      </c>
      <c r="M33" s="122">
        <f t="shared" si="9"/>
        <v>18.694850000000002</v>
      </c>
      <c r="N33" s="122" t="s">
        <v>427</v>
      </c>
      <c r="P33" s="101"/>
    </row>
    <row r="34" spans="1:16" ht="15.75" thickBot="1" x14ac:dyDescent="0.3">
      <c r="A34" s="123" t="str">
        <f t="shared" si="0"/>
        <v>NB110X5.4</v>
      </c>
      <c r="B34" s="133">
        <v>110</v>
      </c>
      <c r="C34" s="124">
        <v>127</v>
      </c>
      <c r="D34" s="124">
        <v>5.4</v>
      </c>
      <c r="E34" s="125">
        <f t="shared" si="6"/>
        <v>16.193728890417631</v>
      </c>
      <c r="F34" s="126">
        <f t="shared" si="7"/>
        <v>20.628954000532012</v>
      </c>
      <c r="G34" s="130">
        <f t="shared" si="8"/>
        <v>10604.791577384241</v>
      </c>
      <c r="H34" s="130">
        <f t="shared" ref="H34:H65" si="10">PI()*C34*10</f>
        <v>3989.8226700590376</v>
      </c>
      <c r="I34" s="130">
        <f t="shared" ref="I34:I65" si="11">PI()*(C34-2*D34)*10</f>
        <v>3650.5306634713397</v>
      </c>
      <c r="J34" s="125">
        <f t="shared" ref="J34:J65" si="12">PI()/64*(C34^4-(C34-2*D34)^4)/10^4</f>
        <v>382.04100795595269</v>
      </c>
      <c r="K34" s="125">
        <f t="shared" ref="K34:K65" si="13">PI()/32*(C34^4-(C34-2*D34)^4)/C34/10^3</f>
        <v>60.16393826077995</v>
      </c>
      <c r="L34" s="125">
        <f t="shared" ref="L34:L65" si="14">SQRT(J34/F34)</f>
        <v>4.3034462933792961</v>
      </c>
      <c r="M34" s="127">
        <f t="shared" si="9"/>
        <v>18.519650000000002</v>
      </c>
      <c r="N34" s="127" t="s">
        <v>427</v>
      </c>
      <c r="P34" s="101"/>
    </row>
    <row r="35" spans="1:16" x14ac:dyDescent="0.25">
      <c r="A35" s="113" t="str">
        <f t="shared" si="0"/>
        <v>NB125X4.5</v>
      </c>
      <c r="B35" s="131">
        <v>125</v>
      </c>
      <c r="C35" s="114">
        <v>139.69999999999999</v>
      </c>
      <c r="D35" s="114">
        <v>4.5</v>
      </c>
      <c r="E35" s="115">
        <f t="shared" si="6"/>
        <v>15.00405801798563</v>
      </c>
      <c r="F35" s="116">
        <f t="shared" si="7"/>
        <v>19.113449704440292</v>
      </c>
      <c r="G35" s="128">
        <f t="shared" si="8"/>
        <v>13416.556272255275</v>
      </c>
      <c r="H35" s="128">
        <f t="shared" si="10"/>
        <v>4388.8049370649405</v>
      </c>
      <c r="I35" s="128">
        <f t="shared" si="11"/>
        <v>4106.0615982418594</v>
      </c>
      <c r="J35" s="115">
        <f t="shared" si="12"/>
        <v>437.20319880245887</v>
      </c>
      <c r="K35" s="115">
        <f t="shared" si="13"/>
        <v>62.59172495382375</v>
      </c>
      <c r="L35" s="115">
        <f t="shared" si="14"/>
        <v>4.7826888357910127</v>
      </c>
      <c r="M35" s="117">
        <f t="shared" si="9"/>
        <v>22.874112499999992</v>
      </c>
      <c r="N35" s="117" t="s">
        <v>425</v>
      </c>
      <c r="P35" s="101"/>
    </row>
    <row r="36" spans="1:16" x14ac:dyDescent="0.25">
      <c r="A36" s="118" t="str">
        <f t="shared" si="0"/>
        <v>NB125X4.8</v>
      </c>
      <c r="B36" s="132">
        <v>125</v>
      </c>
      <c r="C36" s="119">
        <v>139.69999999999999</v>
      </c>
      <c r="D36" s="119">
        <v>4.8</v>
      </c>
      <c r="E36" s="120">
        <f t="shared" si="6"/>
        <v>15.968815989161822</v>
      </c>
      <c r="F36" s="121">
        <f t="shared" si="7"/>
        <v>20.342440750524613</v>
      </c>
      <c r="G36" s="129">
        <f t="shared" si="8"/>
        <v>13293.657167646843</v>
      </c>
      <c r="H36" s="129">
        <f t="shared" si="10"/>
        <v>4388.8049370649405</v>
      </c>
      <c r="I36" s="129">
        <f t="shared" si="11"/>
        <v>4087.2120423203205</v>
      </c>
      <c r="J36" s="120">
        <f t="shared" si="12"/>
        <v>463.32578754668299</v>
      </c>
      <c r="K36" s="120">
        <f t="shared" si="13"/>
        <v>66.331537229303223</v>
      </c>
      <c r="L36" s="120">
        <f t="shared" si="14"/>
        <v>4.7724535094644969</v>
      </c>
      <c r="M36" s="122">
        <f t="shared" si="9"/>
        <v>22.776312499999992</v>
      </c>
      <c r="N36" s="122" t="s">
        <v>425</v>
      </c>
      <c r="P36" s="101"/>
    </row>
    <row r="37" spans="1:16" ht="15.75" thickBot="1" x14ac:dyDescent="0.3">
      <c r="A37" s="123" t="str">
        <f t="shared" si="0"/>
        <v>NB125X5.4</v>
      </c>
      <c r="B37" s="133">
        <v>125</v>
      </c>
      <c r="C37" s="124">
        <v>139.69999999999999</v>
      </c>
      <c r="D37" s="124">
        <v>5.4</v>
      </c>
      <c r="E37" s="125">
        <f t="shared" si="6"/>
        <v>17.885014720255665</v>
      </c>
      <c r="F37" s="126">
        <f t="shared" si="7"/>
        <v>22.783458242363903</v>
      </c>
      <c r="G37" s="130">
        <f t="shared" si="8"/>
        <v>13049.555418462913</v>
      </c>
      <c r="H37" s="130">
        <f t="shared" si="10"/>
        <v>4388.8049370649405</v>
      </c>
      <c r="I37" s="130">
        <f t="shared" si="11"/>
        <v>4049.5129304772427</v>
      </c>
      <c r="J37" s="125">
        <f t="shared" si="12"/>
        <v>514.49747799520162</v>
      </c>
      <c r="K37" s="125">
        <f t="shared" si="13"/>
        <v>73.65747716466737</v>
      </c>
      <c r="L37" s="125">
        <f t="shared" si="14"/>
        <v>4.752058764367292</v>
      </c>
      <c r="M37" s="127">
        <f t="shared" si="9"/>
        <v>22.582062499999996</v>
      </c>
      <c r="N37" s="127" t="s">
        <v>425</v>
      </c>
      <c r="P37" s="101"/>
    </row>
    <row r="38" spans="1:16" x14ac:dyDescent="0.25">
      <c r="A38" s="113" t="str">
        <f t="shared" si="0"/>
        <v>NB135X4.5</v>
      </c>
      <c r="B38" s="131">
        <v>135</v>
      </c>
      <c r="C38" s="114">
        <v>152.4</v>
      </c>
      <c r="D38" s="114">
        <v>4.5</v>
      </c>
      <c r="E38" s="115">
        <f t="shared" si="6"/>
        <v>16.413462876183992</v>
      </c>
      <c r="F38" s="116">
        <f t="shared" si="7"/>
        <v>20.908869905966871</v>
      </c>
      <c r="G38" s="128">
        <f t="shared" si="8"/>
        <v>16150.582256913232</v>
      </c>
      <c r="H38" s="128">
        <f t="shared" si="10"/>
        <v>4787.7872040708453</v>
      </c>
      <c r="I38" s="128">
        <f t="shared" si="11"/>
        <v>4505.0438652477633</v>
      </c>
      <c r="J38" s="115">
        <f t="shared" si="12"/>
        <v>572.24074696922094</v>
      </c>
      <c r="K38" s="115">
        <f t="shared" si="13"/>
        <v>75.09721088834921</v>
      </c>
      <c r="L38" s="115">
        <f t="shared" si="14"/>
        <v>5.2314744575501857</v>
      </c>
      <c r="M38" s="117">
        <f t="shared" si="9"/>
        <v>27.368325000000009</v>
      </c>
      <c r="N38" s="117" t="s">
        <v>427</v>
      </c>
      <c r="P38" s="101"/>
    </row>
    <row r="39" spans="1:16" x14ac:dyDescent="0.25">
      <c r="A39" s="118" t="str">
        <f t="shared" si="0"/>
        <v>NB135X4.8</v>
      </c>
      <c r="B39" s="132">
        <v>135</v>
      </c>
      <c r="C39" s="119">
        <v>152.4</v>
      </c>
      <c r="D39" s="119">
        <v>4.8</v>
      </c>
      <c r="E39" s="120">
        <f t="shared" si="6"/>
        <v>17.47218117124007</v>
      </c>
      <c r="F39" s="121">
        <f t="shared" si="7"/>
        <v>22.257555632152954</v>
      </c>
      <c r="G39" s="129">
        <f t="shared" si="8"/>
        <v>16015.713684294624</v>
      </c>
      <c r="H39" s="129">
        <f t="shared" si="10"/>
        <v>4787.7872040708453</v>
      </c>
      <c r="I39" s="129">
        <f t="shared" si="11"/>
        <v>4486.1943093262253</v>
      </c>
      <c r="J39" s="120">
        <f t="shared" si="12"/>
        <v>606.763224088122</v>
      </c>
      <c r="K39" s="120">
        <f t="shared" si="13"/>
        <v>79.627719696603933</v>
      </c>
      <c r="L39" s="120">
        <f t="shared" si="14"/>
        <v>5.2212067570629701</v>
      </c>
      <c r="M39" s="122">
        <f t="shared" si="9"/>
        <v>27.261000000000017</v>
      </c>
      <c r="N39" s="122" t="s">
        <v>427</v>
      </c>
      <c r="P39" s="101"/>
    </row>
    <row r="40" spans="1:16" ht="15.75" thickBot="1" x14ac:dyDescent="0.3">
      <c r="A40" s="123" t="str">
        <f t="shared" si="0"/>
        <v>NB135X5.4</v>
      </c>
      <c r="B40" s="133">
        <v>135</v>
      </c>
      <c r="C40" s="124">
        <v>152.4</v>
      </c>
      <c r="D40" s="124">
        <v>5.4</v>
      </c>
      <c r="E40" s="125">
        <f t="shared" si="6"/>
        <v>19.576300550093713</v>
      </c>
      <c r="F40" s="126">
        <f t="shared" si="7"/>
        <v>24.937962484195815</v>
      </c>
      <c r="G40" s="130">
        <f t="shared" si="8"/>
        <v>15747.672999090339</v>
      </c>
      <c r="H40" s="130">
        <f t="shared" si="10"/>
        <v>4787.7872040708453</v>
      </c>
      <c r="I40" s="130">
        <f t="shared" si="11"/>
        <v>4448.4951974831465</v>
      </c>
      <c r="J40" s="125">
        <f t="shared" si="12"/>
        <v>674.51452788378322</v>
      </c>
      <c r="K40" s="125">
        <f t="shared" si="13"/>
        <v>88.518966913882309</v>
      </c>
      <c r="L40" s="125">
        <f t="shared" si="14"/>
        <v>5.200740331914294</v>
      </c>
      <c r="M40" s="127">
        <f t="shared" si="9"/>
        <v>27.047699999999999</v>
      </c>
      <c r="N40" s="127" t="s">
        <v>427</v>
      </c>
      <c r="P40" s="101"/>
    </row>
    <row r="41" spans="1:16" x14ac:dyDescent="0.25">
      <c r="A41" s="113" t="str">
        <f t="shared" si="0"/>
        <v>NB150X4.5</v>
      </c>
      <c r="B41" s="131">
        <v>150</v>
      </c>
      <c r="C41" s="114">
        <v>165.1</v>
      </c>
      <c r="D41" s="114">
        <v>4.5</v>
      </c>
      <c r="E41" s="115">
        <f t="shared" si="6"/>
        <v>17.822867734382342</v>
      </c>
      <c r="F41" s="116">
        <f t="shared" si="7"/>
        <v>22.704290107493431</v>
      </c>
      <c r="G41" s="128">
        <f t="shared" si="8"/>
        <v>19137.961981119934</v>
      </c>
      <c r="H41" s="128">
        <f t="shared" si="10"/>
        <v>5186.7694710767482</v>
      </c>
      <c r="I41" s="128">
        <f t="shared" si="11"/>
        <v>4904.0261322536671</v>
      </c>
      <c r="J41" s="115">
        <f t="shared" si="12"/>
        <v>732.57123233948244</v>
      </c>
      <c r="K41" s="115">
        <f t="shared" si="13"/>
        <v>88.742729538398834</v>
      </c>
      <c r="L41" s="115">
        <f t="shared" si="14"/>
        <v>5.6802959870063106</v>
      </c>
      <c r="M41" s="117">
        <f t="shared" si="9"/>
        <v>32.265762499999994</v>
      </c>
      <c r="N41" s="117" t="s">
        <v>425</v>
      </c>
      <c r="P41" s="101"/>
    </row>
    <row r="42" spans="1:16" x14ac:dyDescent="0.25">
      <c r="A42" s="118" t="str">
        <f t="shared" si="0"/>
        <v>NB150X4.8</v>
      </c>
      <c r="B42" s="132">
        <v>150</v>
      </c>
      <c r="C42" s="119">
        <v>165.1</v>
      </c>
      <c r="D42" s="119">
        <v>4.8</v>
      </c>
      <c r="E42" s="120">
        <f t="shared" si="6"/>
        <v>18.975546353318311</v>
      </c>
      <c r="F42" s="121">
        <f t="shared" si="7"/>
        <v>24.172670513781291</v>
      </c>
      <c r="G42" s="129">
        <f t="shared" si="8"/>
        <v>18991.12394049115</v>
      </c>
      <c r="H42" s="129">
        <f t="shared" si="10"/>
        <v>5186.7694710767482</v>
      </c>
      <c r="I42" s="129">
        <f t="shared" si="11"/>
        <v>4885.1765763321282</v>
      </c>
      <c r="J42" s="120">
        <f t="shared" si="12"/>
        <v>777.12506923888452</v>
      </c>
      <c r="K42" s="120">
        <f t="shared" si="13"/>
        <v>94.139923590416061</v>
      </c>
      <c r="L42" s="120">
        <f t="shared" si="14"/>
        <v>5.6700011022926606</v>
      </c>
      <c r="M42" s="122">
        <f t="shared" si="9"/>
        <v>32.148912499999987</v>
      </c>
      <c r="N42" s="122" t="s">
        <v>425</v>
      </c>
      <c r="P42" s="101"/>
    </row>
    <row r="43" spans="1:16" x14ac:dyDescent="0.25">
      <c r="A43" s="118" t="str">
        <f t="shared" si="0"/>
        <v>NB150X5.4</v>
      </c>
      <c r="B43" s="132">
        <v>150</v>
      </c>
      <c r="C43" s="119">
        <v>165.1</v>
      </c>
      <c r="D43" s="119">
        <v>5.4</v>
      </c>
      <c r="E43" s="120">
        <f t="shared" si="6"/>
        <v>21.267586379931739</v>
      </c>
      <c r="F43" s="121">
        <f t="shared" si="7"/>
        <v>27.092466726027691</v>
      </c>
      <c r="G43" s="129">
        <f t="shared" si="8"/>
        <v>18699.14431926651</v>
      </c>
      <c r="H43" s="129">
        <f t="shared" si="10"/>
        <v>5186.7694710767482</v>
      </c>
      <c r="I43" s="129">
        <f t="shared" si="11"/>
        <v>4847.4774644890504</v>
      </c>
      <c r="J43" s="120">
        <f t="shared" si="12"/>
        <v>864.69840754043287</v>
      </c>
      <c r="K43" s="120">
        <f t="shared" si="13"/>
        <v>104.74844428109424</v>
      </c>
      <c r="L43" s="120">
        <f t="shared" si="14"/>
        <v>5.6494745330871252</v>
      </c>
      <c r="M43" s="122">
        <f t="shared" si="9"/>
        <v>31.916562499999991</v>
      </c>
      <c r="N43" s="122" t="s">
        <v>425</v>
      </c>
      <c r="P43" s="101"/>
    </row>
    <row r="44" spans="1:16" x14ac:dyDescent="0.25">
      <c r="A44" s="118" t="str">
        <f t="shared" si="0"/>
        <v>NB150X5.9</v>
      </c>
      <c r="B44" s="132">
        <v>150</v>
      </c>
      <c r="C44" s="119">
        <v>165.1</v>
      </c>
      <c r="D44" s="119">
        <v>5.9</v>
      </c>
      <c r="E44" s="120">
        <f t="shared" si="6"/>
        <v>23.164055909161014</v>
      </c>
      <c r="F44" s="121">
        <f t="shared" si="7"/>
        <v>29.508351476638232</v>
      </c>
      <c r="G44" s="129">
        <f t="shared" si="8"/>
        <v>18457.555844205453</v>
      </c>
      <c r="H44" s="129">
        <f t="shared" si="10"/>
        <v>5186.7694710767482</v>
      </c>
      <c r="I44" s="129">
        <f t="shared" si="11"/>
        <v>4816.0615379531519</v>
      </c>
      <c r="J44" s="120">
        <f t="shared" si="12"/>
        <v>936.1321636047071</v>
      </c>
      <c r="K44" s="120">
        <f t="shared" si="13"/>
        <v>113.40183689941941</v>
      </c>
      <c r="L44" s="120">
        <f t="shared" si="14"/>
        <v>5.6324339765327016</v>
      </c>
      <c r="M44" s="122">
        <f t="shared" si="9"/>
        <v>31.724312499999982</v>
      </c>
      <c r="N44" s="122" t="s">
        <v>427</v>
      </c>
      <c r="P44" s="101"/>
    </row>
    <row r="45" spans="1:16" x14ac:dyDescent="0.25">
      <c r="A45" s="118" t="str">
        <f t="shared" si="0"/>
        <v>NB150X6.3</v>
      </c>
      <c r="B45" s="132">
        <v>150</v>
      </c>
      <c r="C45" s="119">
        <v>165.1</v>
      </c>
      <c r="D45" s="119">
        <v>6.3</v>
      </c>
      <c r="E45" s="120">
        <f t="shared" si="6"/>
        <v>24.672353391705364</v>
      </c>
      <c r="F45" s="121">
        <f t="shared" si="7"/>
        <v>31.429749543573713</v>
      </c>
      <c r="G45" s="129">
        <f t="shared" si="8"/>
        <v>18265.416037511906</v>
      </c>
      <c r="H45" s="129">
        <f t="shared" si="10"/>
        <v>5186.7694710767482</v>
      </c>
      <c r="I45" s="129">
        <f t="shared" si="11"/>
        <v>4790.9287967244345</v>
      </c>
      <c r="J45" s="120">
        <f t="shared" si="12"/>
        <v>992.28158761185216</v>
      </c>
      <c r="K45" s="120">
        <f t="shared" si="13"/>
        <v>120.2037053436526</v>
      </c>
      <c r="L45" s="120">
        <f t="shared" si="14"/>
        <v>5.6188444096628967</v>
      </c>
      <c r="M45" s="122">
        <f t="shared" si="9"/>
        <v>31.571412499999987</v>
      </c>
      <c r="N45" s="122" t="s">
        <v>427</v>
      </c>
      <c r="P45" s="101"/>
    </row>
    <row r="46" spans="1:16" ht="15.75" thickBot="1" x14ac:dyDescent="0.3">
      <c r="A46" s="123" t="str">
        <f t="shared" si="0"/>
        <v>NB150X8</v>
      </c>
      <c r="B46" s="133">
        <v>150</v>
      </c>
      <c r="C46" s="124">
        <v>165.1</v>
      </c>
      <c r="D46" s="124">
        <v>8</v>
      </c>
      <c r="E46" s="125">
        <f t="shared" si="6"/>
        <v>30.994576129198471</v>
      </c>
      <c r="F46" s="126">
        <f t="shared" si="7"/>
        <v>39.483536470316523</v>
      </c>
      <c r="G46" s="130">
        <f t="shared" si="8"/>
        <v>17460.037344837627</v>
      </c>
      <c r="H46" s="130">
        <f t="shared" si="10"/>
        <v>5186.7694710767482</v>
      </c>
      <c r="I46" s="130">
        <f t="shared" si="11"/>
        <v>4684.1146465023812</v>
      </c>
      <c r="J46" s="125">
        <f t="shared" si="12"/>
        <v>1221.2460183393309</v>
      </c>
      <c r="K46" s="125">
        <f t="shared" si="13"/>
        <v>147.94015970191774</v>
      </c>
      <c r="L46" s="125">
        <f t="shared" si="14"/>
        <v>5.5615207003121006</v>
      </c>
      <c r="M46" s="127">
        <f t="shared" si="9"/>
        <v>30.930512499999999</v>
      </c>
      <c r="N46" s="127" t="s">
        <v>427</v>
      </c>
      <c r="P46" s="101"/>
    </row>
    <row r="47" spans="1:16" x14ac:dyDescent="0.25">
      <c r="A47" s="113" t="str">
        <f t="shared" si="0"/>
        <v>NB150X4.5</v>
      </c>
      <c r="B47" s="131">
        <v>150</v>
      </c>
      <c r="C47" s="114">
        <v>168.3</v>
      </c>
      <c r="D47" s="114">
        <v>4.5</v>
      </c>
      <c r="E47" s="115">
        <f t="shared" si="6"/>
        <v>18.177993367944122</v>
      </c>
      <c r="F47" s="116">
        <f t="shared" si="7"/>
        <v>23.156679449610348</v>
      </c>
      <c r="G47" s="128">
        <f t="shared" si="8"/>
        <v>19930.648639473715</v>
      </c>
      <c r="H47" s="128">
        <f t="shared" si="10"/>
        <v>5287.3004359916213</v>
      </c>
      <c r="I47" s="128">
        <f t="shared" si="11"/>
        <v>5004.5570971685411</v>
      </c>
      <c r="J47" s="115">
        <f t="shared" si="12"/>
        <v>777.21602666357285</v>
      </c>
      <c r="K47" s="115">
        <f t="shared" si="13"/>
        <v>92.360787482302172</v>
      </c>
      <c r="L47" s="115">
        <f t="shared" si="14"/>
        <v>5.79338955189447</v>
      </c>
      <c r="M47" s="117">
        <f t="shared" si="9"/>
        <v>33.563362500000011</v>
      </c>
      <c r="N47" s="117" t="s">
        <v>427</v>
      </c>
      <c r="P47" s="101"/>
    </row>
    <row r="48" spans="1:16" x14ac:dyDescent="0.25">
      <c r="A48" s="118" t="str">
        <f t="shared" si="0"/>
        <v>NB150X4.8</v>
      </c>
      <c r="B48" s="132">
        <v>150</v>
      </c>
      <c r="C48" s="119">
        <v>168.3</v>
      </c>
      <c r="D48" s="119">
        <v>4.8</v>
      </c>
      <c r="E48" s="120">
        <f t="shared" si="6"/>
        <v>19.354347029117552</v>
      </c>
      <c r="F48" s="121">
        <f t="shared" si="7"/>
        <v>24.655219145372676</v>
      </c>
      <c r="G48" s="129">
        <f t="shared" si="8"/>
        <v>19780.794669897485</v>
      </c>
      <c r="H48" s="129">
        <f t="shared" si="10"/>
        <v>5287.3004359916213</v>
      </c>
      <c r="I48" s="129">
        <f t="shared" si="11"/>
        <v>4985.7075412470022</v>
      </c>
      <c r="J48" s="120">
        <f t="shared" si="12"/>
        <v>824.571922809998</v>
      </c>
      <c r="K48" s="120">
        <f t="shared" si="13"/>
        <v>97.988344956624829</v>
      </c>
      <c r="L48" s="120">
        <f t="shared" si="14"/>
        <v>5.7830884914550644</v>
      </c>
      <c r="M48" s="122">
        <f t="shared" si="9"/>
        <v>33.44411250000001</v>
      </c>
      <c r="N48" s="122" t="s">
        <v>427</v>
      </c>
      <c r="P48" s="101"/>
    </row>
    <row r="49" spans="1:16" x14ac:dyDescent="0.25">
      <c r="A49" s="118" t="str">
        <f t="shared" si="0"/>
        <v>NB150X5.4</v>
      </c>
      <c r="B49" s="132">
        <v>150</v>
      </c>
      <c r="C49" s="119">
        <v>168.3</v>
      </c>
      <c r="D49" s="119">
        <v>5.4</v>
      </c>
      <c r="E49" s="120">
        <f t="shared" si="6"/>
        <v>21.693737140205879</v>
      </c>
      <c r="F49" s="121">
        <f t="shared" si="7"/>
        <v>27.635333936567999</v>
      </c>
      <c r="G49" s="129">
        <f t="shared" si="8"/>
        <v>19482.783190777951</v>
      </c>
      <c r="H49" s="129">
        <f t="shared" si="10"/>
        <v>5287.3004359916213</v>
      </c>
      <c r="I49" s="129">
        <f t="shared" si="11"/>
        <v>4948.0084294039243</v>
      </c>
      <c r="J49" s="120">
        <f t="shared" si="12"/>
        <v>917.68549770659115</v>
      </c>
      <c r="K49" s="120">
        <f t="shared" si="13"/>
        <v>109.05353508099715</v>
      </c>
      <c r="L49" s="120">
        <f t="shared" si="14"/>
        <v>5.7625482644399613</v>
      </c>
      <c r="M49" s="122">
        <f t="shared" si="9"/>
        <v>33.20696250000001</v>
      </c>
      <c r="N49" s="122" t="s">
        <v>427</v>
      </c>
      <c r="P49" s="101"/>
    </row>
    <row r="50" spans="1:16" x14ac:dyDescent="0.25">
      <c r="A50" s="118" t="str">
        <f t="shared" si="0"/>
        <v>NB150X6.3</v>
      </c>
      <c r="B50" s="132">
        <v>150</v>
      </c>
      <c r="C50" s="119">
        <v>168.3</v>
      </c>
      <c r="D50" s="119">
        <v>6.3</v>
      </c>
      <c r="E50" s="120">
        <f t="shared" si="6"/>
        <v>25.169529278691869</v>
      </c>
      <c r="F50" s="121">
        <f t="shared" si="7"/>
        <v>32.063094622537413</v>
      </c>
      <c r="G50" s="129">
        <f t="shared" si="8"/>
        <v>19040.00712218101</v>
      </c>
      <c r="H50" s="129">
        <f t="shared" si="10"/>
        <v>5287.3004359916213</v>
      </c>
      <c r="I50" s="129">
        <f t="shared" si="11"/>
        <v>4891.4597616393085</v>
      </c>
      <c r="J50" s="120">
        <f t="shared" si="12"/>
        <v>1053.4205493743009</v>
      </c>
      <c r="K50" s="120">
        <f t="shared" si="13"/>
        <v>125.1836659981344</v>
      </c>
      <c r="L50" s="120">
        <f t="shared" si="14"/>
        <v>5.7318943203796087</v>
      </c>
      <c r="M50" s="122">
        <f t="shared" si="9"/>
        <v>32.854612500000016</v>
      </c>
      <c r="N50" s="122" t="s">
        <v>427</v>
      </c>
      <c r="P50" s="101"/>
    </row>
    <row r="51" spans="1:16" x14ac:dyDescent="0.25">
      <c r="A51" s="118" t="str">
        <f t="shared" si="0"/>
        <v>NB150X8</v>
      </c>
      <c r="B51" s="132">
        <v>150</v>
      </c>
      <c r="C51" s="119">
        <v>168.3</v>
      </c>
      <c r="D51" s="119">
        <v>8</v>
      </c>
      <c r="E51" s="120">
        <f t="shared" si="6"/>
        <v>31.625910588863864</v>
      </c>
      <c r="F51" s="121">
        <f t="shared" si="7"/>
        <v>40.287784189635495</v>
      </c>
      <c r="G51" s="129">
        <f t="shared" si="8"/>
        <v>18217.5381654712</v>
      </c>
      <c r="H51" s="129">
        <f t="shared" si="10"/>
        <v>5287.3004359916213</v>
      </c>
      <c r="I51" s="129">
        <f t="shared" si="11"/>
        <v>4784.6456114172552</v>
      </c>
      <c r="J51" s="120">
        <f t="shared" si="12"/>
        <v>1297.271183281985</v>
      </c>
      <c r="K51" s="120">
        <f t="shared" si="13"/>
        <v>154.16175677741947</v>
      </c>
      <c r="L51" s="120">
        <f t="shared" si="14"/>
        <v>5.6745142963957731</v>
      </c>
      <c r="M51" s="122">
        <f t="shared" si="9"/>
        <v>32.200112500000017</v>
      </c>
      <c r="N51" s="122" t="s">
        <v>427</v>
      </c>
      <c r="P51" s="101"/>
    </row>
    <row r="52" spans="1:16" ht="15.75" thickBot="1" x14ac:dyDescent="0.3">
      <c r="A52" s="123" t="str">
        <f t="shared" si="0"/>
        <v>NB150X10</v>
      </c>
      <c r="B52" s="133">
        <v>150</v>
      </c>
      <c r="C52" s="124">
        <v>168.3</v>
      </c>
      <c r="D52" s="124">
        <v>10</v>
      </c>
      <c r="E52" s="125">
        <f t="shared" si="6"/>
        <v>39.039158189466249</v>
      </c>
      <c r="F52" s="126">
        <f t="shared" si="7"/>
        <v>49.731411706326426</v>
      </c>
      <c r="G52" s="130">
        <f t="shared" si="8"/>
        <v>17273.17541380211</v>
      </c>
      <c r="H52" s="130">
        <f t="shared" si="10"/>
        <v>5287.3004359916213</v>
      </c>
      <c r="I52" s="130">
        <f t="shared" si="11"/>
        <v>4658.9819052736639</v>
      </c>
      <c r="J52" s="125">
        <f t="shared" si="12"/>
        <v>1563.9838958302241</v>
      </c>
      <c r="K52" s="125">
        <f t="shared" si="13"/>
        <v>185.85667211292025</v>
      </c>
      <c r="L52" s="125">
        <f t="shared" si="14"/>
        <v>5.6079062492163692</v>
      </c>
      <c r="M52" s="127">
        <f t="shared" si="9"/>
        <v>31.448612500000007</v>
      </c>
      <c r="N52" s="127" t="s">
        <v>427</v>
      </c>
      <c r="P52" s="101"/>
    </row>
    <row r="53" spans="1:16" x14ac:dyDescent="0.25">
      <c r="A53" s="113" t="str">
        <f t="shared" si="0"/>
        <v>NB175X4.8</v>
      </c>
      <c r="B53" s="131">
        <v>175</v>
      </c>
      <c r="C53" s="114">
        <v>193.7</v>
      </c>
      <c r="D53" s="114">
        <v>4.8</v>
      </c>
      <c r="E53" s="115">
        <f t="shared" si="6"/>
        <v>22.361077393274041</v>
      </c>
      <c r="F53" s="116">
        <f t="shared" si="7"/>
        <v>28.485448908629351</v>
      </c>
      <c r="G53" s="128">
        <f t="shared" si="8"/>
        <v>26619.350726378667</v>
      </c>
      <c r="H53" s="128">
        <f t="shared" si="10"/>
        <v>6085.264970003429</v>
      </c>
      <c r="I53" s="128">
        <f t="shared" si="11"/>
        <v>5783.6720752588089</v>
      </c>
      <c r="J53" s="115">
        <f t="shared" si="12"/>
        <v>1271.3857001171832</v>
      </c>
      <c r="K53" s="115">
        <f t="shared" si="13"/>
        <v>131.27369128726724</v>
      </c>
      <c r="L53" s="115">
        <f t="shared" si="14"/>
        <v>6.6807793332814098</v>
      </c>
      <c r="M53" s="117">
        <f t="shared" si="9"/>
        <v>44.6328125</v>
      </c>
      <c r="N53" s="117" t="s">
        <v>427</v>
      </c>
      <c r="P53" s="101"/>
    </row>
    <row r="54" spans="1:16" x14ac:dyDescent="0.25">
      <c r="A54" s="118" t="str">
        <f t="shared" si="0"/>
        <v>NB175X5.4</v>
      </c>
      <c r="B54" s="132">
        <v>175</v>
      </c>
      <c r="C54" s="119">
        <v>193.7</v>
      </c>
      <c r="D54" s="119">
        <v>5.4</v>
      </c>
      <c r="E54" s="120">
        <f t="shared" si="6"/>
        <v>25.07630879988195</v>
      </c>
      <c r="F54" s="121">
        <f t="shared" si="7"/>
        <v>31.944342420231784</v>
      </c>
      <c r="G54" s="129">
        <f t="shared" si="8"/>
        <v>26273.461375218423</v>
      </c>
      <c r="H54" s="129">
        <f t="shared" si="10"/>
        <v>6085.264970003429</v>
      </c>
      <c r="I54" s="129">
        <f t="shared" si="11"/>
        <v>5745.9729634157302</v>
      </c>
      <c r="J54" s="120">
        <f t="shared" si="12"/>
        <v>1416.9731654268317</v>
      </c>
      <c r="K54" s="120">
        <f t="shared" si="13"/>
        <v>146.30595409673018</v>
      </c>
      <c r="L54" s="120">
        <f t="shared" si="14"/>
        <v>6.6601473332051722</v>
      </c>
      <c r="M54" s="122">
        <f t="shared" si="9"/>
        <v>44.357562499999965</v>
      </c>
      <c r="N54" s="122" t="s">
        <v>427</v>
      </c>
      <c r="P54" s="101"/>
    </row>
    <row r="55" spans="1:16" x14ac:dyDescent="0.25">
      <c r="A55" s="118" t="str">
        <f t="shared" si="0"/>
        <v>NB175X5.9</v>
      </c>
      <c r="B55" s="132">
        <v>175</v>
      </c>
      <c r="C55" s="119">
        <v>193.7</v>
      </c>
      <c r="D55" s="119">
        <v>5.9</v>
      </c>
      <c r="E55" s="120">
        <f t="shared" si="6"/>
        <v>27.32543781243993</v>
      </c>
      <c r="F55" s="121">
        <f t="shared" si="7"/>
        <v>34.80947492030564</v>
      </c>
      <c r="G55" s="129">
        <f t="shared" si="8"/>
        <v>25986.948125211038</v>
      </c>
      <c r="H55" s="129">
        <f t="shared" si="10"/>
        <v>6085.264970003429</v>
      </c>
      <c r="I55" s="129">
        <f t="shared" si="11"/>
        <v>5714.5570368798326</v>
      </c>
      <c r="J55" s="120">
        <f t="shared" si="12"/>
        <v>1536.1268990878098</v>
      </c>
      <c r="K55" s="120">
        <f t="shared" si="13"/>
        <v>158.60886929146204</v>
      </c>
      <c r="L55" s="120">
        <f t="shared" si="14"/>
        <v>6.6430085428215415</v>
      </c>
      <c r="M55" s="122">
        <f t="shared" si="9"/>
        <v>44.129562499999977</v>
      </c>
      <c r="N55" s="122" t="s">
        <v>427</v>
      </c>
      <c r="P55" s="101"/>
    </row>
    <row r="56" spans="1:16" x14ac:dyDescent="0.25">
      <c r="A56" s="118" t="str">
        <f t="shared" si="0"/>
        <v>NB175X6.3</v>
      </c>
      <c r="B56" s="132">
        <v>175</v>
      </c>
      <c r="C56" s="119">
        <v>193.7</v>
      </c>
      <c r="D56" s="119">
        <v>6.3</v>
      </c>
      <c r="E56" s="120">
        <f t="shared" si="6"/>
        <v>29.115862881647249</v>
      </c>
      <c r="F56" s="121">
        <f t="shared" si="7"/>
        <v>37.090271186811783</v>
      </c>
      <c r="G56" s="129">
        <f t="shared" si="8"/>
        <v>25758.868498560423</v>
      </c>
      <c r="H56" s="129">
        <f t="shared" si="10"/>
        <v>6085.264970003429</v>
      </c>
      <c r="I56" s="129">
        <f t="shared" si="11"/>
        <v>5689.4242956511152</v>
      </c>
      <c r="J56" s="120">
        <f t="shared" si="12"/>
        <v>1630.0455562599523</v>
      </c>
      <c r="K56" s="120">
        <f t="shared" si="13"/>
        <v>168.3062009561128</v>
      </c>
      <c r="L56" s="120">
        <f t="shared" si="14"/>
        <v>6.6293334883681911</v>
      </c>
      <c r="M56" s="122">
        <f t="shared" si="9"/>
        <v>43.94806249999997</v>
      </c>
      <c r="N56" s="122" t="s">
        <v>427</v>
      </c>
      <c r="P56" s="101"/>
    </row>
    <row r="57" spans="1:16" x14ac:dyDescent="0.25">
      <c r="A57" s="118" t="str">
        <f t="shared" si="0"/>
        <v>NB175X8</v>
      </c>
      <c r="B57" s="132">
        <v>175</v>
      </c>
      <c r="C57" s="119">
        <v>193.7</v>
      </c>
      <c r="D57" s="119">
        <v>8</v>
      </c>
      <c r="E57" s="120">
        <f t="shared" si="6"/>
        <v>36.637127862458009</v>
      </c>
      <c r="F57" s="121">
        <f t="shared" si="7"/>
        <v>46.671500461729948</v>
      </c>
      <c r="G57" s="129">
        <f t="shared" si="8"/>
        <v>24800.745571068608</v>
      </c>
      <c r="H57" s="129">
        <f t="shared" si="10"/>
        <v>6085.264970003429</v>
      </c>
      <c r="I57" s="129">
        <f t="shared" si="11"/>
        <v>5582.610145429062</v>
      </c>
      <c r="J57" s="120">
        <f t="shared" si="12"/>
        <v>2015.5373337338399</v>
      </c>
      <c r="K57" s="120">
        <f t="shared" si="13"/>
        <v>208.10917230086113</v>
      </c>
      <c r="L57" s="120">
        <f t="shared" si="14"/>
        <v>6.5715761047103447</v>
      </c>
      <c r="M57" s="122">
        <f t="shared" si="9"/>
        <v>43.185612499999991</v>
      </c>
      <c r="N57" s="122" t="s">
        <v>427</v>
      </c>
      <c r="P57" s="101"/>
    </row>
    <row r="58" spans="1:16" x14ac:dyDescent="0.25">
      <c r="A58" s="118" t="str">
        <f t="shared" si="0"/>
        <v>NB175X10</v>
      </c>
      <c r="B58" s="132">
        <v>175</v>
      </c>
      <c r="C58" s="119">
        <v>193.7</v>
      </c>
      <c r="D58" s="119">
        <v>10</v>
      </c>
      <c r="E58" s="120">
        <f t="shared" si="6"/>
        <v>45.303179781458937</v>
      </c>
      <c r="F58" s="121">
        <f t="shared" si="7"/>
        <v>57.711057046444502</v>
      </c>
      <c r="G58" s="129">
        <f t="shared" si="8"/>
        <v>23696.789912597153</v>
      </c>
      <c r="H58" s="129">
        <f t="shared" si="10"/>
        <v>6085.264970003429</v>
      </c>
      <c r="I58" s="129">
        <f t="shared" si="11"/>
        <v>5456.9464392854707</v>
      </c>
      <c r="J58" s="120">
        <f t="shared" si="12"/>
        <v>2441.5881829578439</v>
      </c>
      <c r="K58" s="120">
        <f t="shared" si="13"/>
        <v>252.09996726461995</v>
      </c>
      <c r="L58" s="120">
        <f t="shared" si="14"/>
        <v>6.504391785555355</v>
      </c>
      <c r="M58" s="122">
        <f t="shared" si="9"/>
        <v>42.307112499999981</v>
      </c>
      <c r="N58" s="122" t="s">
        <v>427</v>
      </c>
      <c r="P58" s="101"/>
    </row>
    <row r="59" spans="1:16" ht="15.75" thickBot="1" x14ac:dyDescent="0.3">
      <c r="A59" s="123" t="str">
        <f t="shared" si="0"/>
        <v>NB175X12</v>
      </c>
      <c r="B59" s="133">
        <v>175</v>
      </c>
      <c r="C59" s="124">
        <v>193.7</v>
      </c>
      <c r="D59" s="124">
        <v>12</v>
      </c>
      <c r="E59" s="125">
        <f t="shared" si="6"/>
        <v>53.771939681814402</v>
      </c>
      <c r="F59" s="126">
        <f t="shared" si="7"/>
        <v>68.499286218871845</v>
      </c>
      <c r="G59" s="130">
        <f t="shared" si="8"/>
        <v>22617.966995354418</v>
      </c>
      <c r="H59" s="130">
        <f t="shared" si="10"/>
        <v>6085.264970003429</v>
      </c>
      <c r="I59" s="130">
        <f t="shared" si="11"/>
        <v>5331.2827331418785</v>
      </c>
      <c r="J59" s="125">
        <f t="shared" si="12"/>
        <v>2839.2003710126082</v>
      </c>
      <c r="K59" s="125">
        <f t="shared" si="13"/>
        <v>293.15440072406903</v>
      </c>
      <c r="L59" s="125">
        <f t="shared" si="14"/>
        <v>6.4380596844080271</v>
      </c>
      <c r="M59" s="127">
        <f t="shared" si="9"/>
        <v>41.448612499999989</v>
      </c>
      <c r="N59" s="127" t="s">
        <v>427</v>
      </c>
      <c r="P59" s="101"/>
    </row>
    <row r="60" spans="1:16" x14ac:dyDescent="0.25">
      <c r="A60" s="113" t="str">
        <f t="shared" si="0"/>
        <v>NB200X4.8</v>
      </c>
      <c r="B60" s="131">
        <v>200</v>
      </c>
      <c r="C60" s="114">
        <v>219.1</v>
      </c>
      <c r="D60" s="114">
        <v>4.8</v>
      </c>
      <c r="E60" s="115">
        <f t="shared" si="6"/>
        <v>25.367807757430537</v>
      </c>
      <c r="F60" s="116">
        <f t="shared" si="7"/>
        <v>32.315678671886033</v>
      </c>
      <c r="G60" s="128">
        <f t="shared" si="8"/>
        <v>34471.321741054853</v>
      </c>
      <c r="H60" s="128">
        <f t="shared" si="10"/>
        <v>6883.2295040152358</v>
      </c>
      <c r="I60" s="128">
        <f t="shared" si="11"/>
        <v>6581.6366092706166</v>
      </c>
      <c r="J60" s="115">
        <f t="shared" si="12"/>
        <v>1856.0320190585546</v>
      </c>
      <c r="K60" s="115">
        <f t="shared" si="13"/>
        <v>169.42327878215926</v>
      </c>
      <c r="L60" s="115">
        <f t="shared" si="14"/>
        <v>7.578549498419866</v>
      </c>
      <c r="M60" s="117">
        <f t="shared" si="9"/>
        <v>57.434412500000001</v>
      </c>
      <c r="N60" s="117" t="s">
        <v>425</v>
      </c>
      <c r="P60" s="101"/>
    </row>
    <row r="61" spans="1:16" x14ac:dyDescent="0.25">
      <c r="A61" s="118" t="str">
        <f t="shared" si="0"/>
        <v>NB200X5.6</v>
      </c>
      <c r="B61" s="132">
        <v>200</v>
      </c>
      <c r="C61" s="119">
        <v>219.1</v>
      </c>
      <c r="D61" s="119">
        <v>5.6</v>
      </c>
      <c r="E61" s="120">
        <f t="shared" si="6"/>
        <v>29.48529218656082</v>
      </c>
      <c r="F61" s="121">
        <f t="shared" si="7"/>
        <v>37.560881766319518</v>
      </c>
      <c r="G61" s="129">
        <f t="shared" si="8"/>
        <v>33946.801431611508</v>
      </c>
      <c r="H61" s="129">
        <f t="shared" si="10"/>
        <v>6883.2295040152358</v>
      </c>
      <c r="I61" s="129">
        <f t="shared" si="11"/>
        <v>6531.371126813181</v>
      </c>
      <c r="J61" s="120">
        <f t="shared" si="12"/>
        <v>2141.6092651812623</v>
      </c>
      <c r="K61" s="120">
        <f t="shared" si="13"/>
        <v>195.49148929085007</v>
      </c>
      <c r="L61" s="120">
        <f t="shared" si="14"/>
        <v>7.5509610315508855</v>
      </c>
      <c r="M61" s="122">
        <f t="shared" si="9"/>
        <v>57.017012500000014</v>
      </c>
      <c r="N61" s="122" t="s">
        <v>427</v>
      </c>
      <c r="P61" s="101"/>
    </row>
    <row r="62" spans="1:16" x14ac:dyDescent="0.25">
      <c r="A62" s="118" t="str">
        <f t="shared" si="0"/>
        <v>NB200X5.9</v>
      </c>
      <c r="B62" s="132">
        <v>200</v>
      </c>
      <c r="C62" s="119">
        <v>219.1</v>
      </c>
      <c r="D62" s="119">
        <v>5.9</v>
      </c>
      <c r="E62" s="120">
        <f t="shared" si="6"/>
        <v>31.021210551715626</v>
      </c>
      <c r="F62" s="121">
        <f t="shared" si="7"/>
        <v>39.517465670975319</v>
      </c>
      <c r="G62" s="129">
        <f t="shared" si="8"/>
        <v>33751.143041145922</v>
      </c>
      <c r="H62" s="129">
        <f t="shared" si="10"/>
        <v>6883.2295040152358</v>
      </c>
      <c r="I62" s="129">
        <f t="shared" si="11"/>
        <v>6512.5215708916403</v>
      </c>
      <c r="J62" s="120">
        <f t="shared" si="12"/>
        <v>2247.0149647253497</v>
      </c>
      <c r="K62" s="120">
        <f t="shared" si="13"/>
        <v>205.11318710409401</v>
      </c>
      <c r="L62" s="120">
        <f t="shared" si="14"/>
        <v>7.5406440374811483</v>
      </c>
      <c r="M62" s="122">
        <f t="shared" si="9"/>
        <v>56.861312499999997</v>
      </c>
      <c r="N62" s="122" t="s">
        <v>427</v>
      </c>
      <c r="P62" s="101"/>
    </row>
    <row r="63" spans="1:16" x14ac:dyDescent="0.25">
      <c r="A63" s="118" t="str">
        <f t="shared" si="0"/>
        <v>NB200X6.3</v>
      </c>
      <c r="B63" s="132">
        <v>200</v>
      </c>
      <c r="C63" s="119">
        <v>219.1</v>
      </c>
      <c r="D63" s="119">
        <v>6.3</v>
      </c>
      <c r="E63" s="120">
        <f t="shared" si="6"/>
        <v>33.062196484602651</v>
      </c>
      <c r="F63" s="121">
        <f t="shared" si="7"/>
        <v>42.117447751086182</v>
      </c>
      <c r="G63" s="129">
        <f t="shared" si="8"/>
        <v>33491.144833134837</v>
      </c>
      <c r="H63" s="129">
        <f t="shared" si="10"/>
        <v>6883.2295040152358</v>
      </c>
      <c r="I63" s="129">
        <f t="shared" si="11"/>
        <v>6487.3888296629229</v>
      </c>
      <c r="J63" s="120">
        <f t="shared" si="12"/>
        <v>2386.139258337234</v>
      </c>
      <c r="K63" s="120">
        <f t="shared" si="13"/>
        <v>217.81280313438921</v>
      </c>
      <c r="L63" s="120">
        <f t="shared" si="14"/>
        <v>7.5269125476519259</v>
      </c>
      <c r="M63" s="122">
        <f t="shared" si="9"/>
        <v>56.654412500000007</v>
      </c>
      <c r="N63" s="122" t="s">
        <v>427</v>
      </c>
      <c r="P63" s="101"/>
    </row>
    <row r="64" spans="1:16" x14ac:dyDescent="0.25">
      <c r="A64" s="118" t="str">
        <f t="shared" si="0"/>
        <v>NB200X8</v>
      </c>
      <c r="B64" s="132">
        <v>200</v>
      </c>
      <c r="C64" s="119">
        <v>219.1</v>
      </c>
      <c r="D64" s="119">
        <v>8</v>
      </c>
      <c r="E64" s="120">
        <f t="shared" si="6"/>
        <v>41.648345136052157</v>
      </c>
      <c r="F64" s="121">
        <f t="shared" si="7"/>
        <v>53.055216733824402</v>
      </c>
      <c r="G64" s="129">
        <f t="shared" si="8"/>
        <v>32397.367934861017</v>
      </c>
      <c r="H64" s="129">
        <f t="shared" si="10"/>
        <v>6883.2295040152358</v>
      </c>
      <c r="I64" s="129">
        <f t="shared" si="11"/>
        <v>6380.5746794408697</v>
      </c>
      <c r="J64" s="120">
        <f t="shared" si="12"/>
        <v>2959.63287346987</v>
      </c>
      <c r="K64" s="120">
        <f t="shared" si="13"/>
        <v>270.16274518209673</v>
      </c>
      <c r="L64" s="120">
        <f t="shared" si="14"/>
        <v>7.468869559712501</v>
      </c>
      <c r="M64" s="122">
        <f t="shared" si="9"/>
        <v>55.78401250000001</v>
      </c>
      <c r="N64" s="122" t="s">
        <v>425</v>
      </c>
      <c r="P64" s="101"/>
    </row>
    <row r="65" spans="1:16" x14ac:dyDescent="0.25">
      <c r="A65" s="118" t="str">
        <f t="shared" si="0"/>
        <v>NB200X10</v>
      </c>
      <c r="B65" s="132">
        <v>200</v>
      </c>
      <c r="C65" s="119">
        <v>219.1</v>
      </c>
      <c r="D65" s="119">
        <v>10</v>
      </c>
      <c r="E65" s="120">
        <f t="shared" si="6"/>
        <v>51.567201373451624</v>
      </c>
      <c r="F65" s="121">
        <f t="shared" si="7"/>
        <v>65.690702386562577</v>
      </c>
      <c r="G65" s="129">
        <f t="shared" si="8"/>
        <v>31133.8193695872</v>
      </c>
      <c r="H65" s="129">
        <f t="shared" si="10"/>
        <v>6883.2295040152358</v>
      </c>
      <c r="I65" s="129">
        <f t="shared" si="11"/>
        <v>6254.9109732972784</v>
      </c>
      <c r="J65" s="120">
        <f t="shared" si="12"/>
        <v>3598.4389618160976</v>
      </c>
      <c r="K65" s="120">
        <f t="shared" si="13"/>
        <v>328.474574332825</v>
      </c>
      <c r="L65" s="120">
        <f t="shared" si="14"/>
        <v>7.4012507388954196</v>
      </c>
      <c r="M65" s="122">
        <f t="shared" si="9"/>
        <v>54.778512499999998</v>
      </c>
      <c r="N65" s="122" t="s">
        <v>425</v>
      </c>
      <c r="P65" s="101"/>
    </row>
    <row r="66" spans="1:16" ht="15.75" thickBot="1" x14ac:dyDescent="0.3">
      <c r="A66" s="123" t="str">
        <f t="shared" ref="A66:A82" si="15">"NB"&amp;B66&amp;"X"&amp;D66</f>
        <v>NB200X12</v>
      </c>
      <c r="B66" s="133">
        <v>200</v>
      </c>
      <c r="C66" s="124">
        <v>219.1</v>
      </c>
      <c r="D66" s="124">
        <v>12</v>
      </c>
      <c r="E66" s="125">
        <f t="shared" si="6"/>
        <v>61.28876559220565</v>
      </c>
      <c r="F66" s="126">
        <f t="shared" si="7"/>
        <v>78.074860627013564</v>
      </c>
      <c r="G66" s="130">
        <f t="shared" si="8"/>
        <v>29895.4035455421</v>
      </c>
      <c r="H66" s="130">
        <f t="shared" ref="H66:H82" si="16">PI()*C66*10</f>
        <v>6883.2295040152358</v>
      </c>
      <c r="I66" s="130">
        <f t="shared" ref="I66:I82" si="17">PI()*(C66-2*D66)*10</f>
        <v>6129.2472671536862</v>
      </c>
      <c r="J66" s="125">
        <f t="shared" ref="J66:J82" si="18">PI()/64*(C66^4-(C66-2*D66)^4)/10^4</f>
        <v>4199.8819536446981</v>
      </c>
      <c r="K66" s="125">
        <f t="shared" ref="K66:K82" si="19">PI()/32*(C66^4-(C66-2*D66)^4)/C66/10^3</f>
        <v>383.37580590093091</v>
      </c>
      <c r="L66" s="125">
        <f t="shared" ref="L66:L82" si="20">SQRT(J66/F66)</f>
        <v>7.3343719908387515</v>
      </c>
      <c r="M66" s="127">
        <f t="shared" si="9"/>
        <v>53.793012499999989</v>
      </c>
      <c r="N66" s="127" t="s">
        <v>427</v>
      </c>
      <c r="P66" s="101"/>
    </row>
    <row r="67" spans="1:16" x14ac:dyDescent="0.25">
      <c r="A67" s="113" t="str">
        <f t="shared" si="15"/>
        <v>NB225X5.9</v>
      </c>
      <c r="B67" s="131">
        <v>225</v>
      </c>
      <c r="C67" s="114">
        <v>244.5</v>
      </c>
      <c r="D67" s="114">
        <v>5.9</v>
      </c>
      <c r="E67" s="115">
        <f t="shared" ref="E67:E82" si="21">F67*7850/10^4</f>
        <v>34.71698329099133</v>
      </c>
      <c r="F67" s="116">
        <f t="shared" ref="F67:F82" si="22">PI()/4*(C67^2-(C67-2*D67)^2)/10^2</f>
        <v>44.225456421645006</v>
      </c>
      <c r="G67" s="128">
        <f t="shared" ref="G67:G82" si="23">PI()/4*((C67-2*D67)^2)</f>
        <v>42528.752915275807</v>
      </c>
      <c r="H67" s="128">
        <f t="shared" si="16"/>
        <v>7681.1940380270435</v>
      </c>
      <c r="I67" s="128">
        <f t="shared" si="17"/>
        <v>7310.486104903448</v>
      </c>
      <c r="J67" s="115">
        <f t="shared" si="18"/>
        <v>3149.1161915050379</v>
      </c>
      <c r="K67" s="115">
        <f t="shared" si="19"/>
        <v>257.59641648302971</v>
      </c>
      <c r="L67" s="115">
        <f t="shared" si="20"/>
        <v>8.4383625485042995</v>
      </c>
      <c r="M67" s="117">
        <f t="shared" ref="M67:M82" si="24">L67^2</f>
        <v>71.20596249999997</v>
      </c>
      <c r="N67" s="117" t="s">
        <v>427</v>
      </c>
      <c r="P67" s="101"/>
    </row>
    <row r="68" spans="1:16" x14ac:dyDescent="0.25">
      <c r="A68" s="118" t="str">
        <f t="shared" si="15"/>
        <v>NB225X6.3</v>
      </c>
      <c r="B68" s="132">
        <v>225</v>
      </c>
      <c r="C68" s="119">
        <v>244.5</v>
      </c>
      <c r="D68" s="119">
        <v>6.3</v>
      </c>
      <c r="E68" s="120">
        <f t="shared" si="21"/>
        <v>37.008530087558064</v>
      </c>
      <c r="F68" s="121">
        <f t="shared" si="22"/>
        <v>47.144624315360588</v>
      </c>
      <c r="G68" s="129">
        <f t="shared" si="23"/>
        <v>42236.83612590425</v>
      </c>
      <c r="H68" s="129">
        <f t="shared" si="16"/>
        <v>7681.1940380270435</v>
      </c>
      <c r="I68" s="129">
        <f t="shared" si="17"/>
        <v>7285.3533636747306</v>
      </c>
      <c r="J68" s="120">
        <f t="shared" si="18"/>
        <v>3346.0266548476966</v>
      </c>
      <c r="K68" s="120">
        <f t="shared" si="19"/>
        <v>273.70361184848235</v>
      </c>
      <c r="L68" s="120">
        <f t="shared" si="20"/>
        <v>8.4245867851189011</v>
      </c>
      <c r="M68" s="122">
        <f t="shared" si="24"/>
        <v>70.973662500000017</v>
      </c>
      <c r="N68" s="122" t="s">
        <v>427</v>
      </c>
      <c r="P68" s="101"/>
    </row>
    <row r="69" spans="1:16" x14ac:dyDescent="0.25">
      <c r="A69" s="118" t="str">
        <f t="shared" si="15"/>
        <v>NB225X8</v>
      </c>
      <c r="B69" s="132">
        <v>225</v>
      </c>
      <c r="C69" s="119">
        <v>244.5</v>
      </c>
      <c r="D69" s="119">
        <v>8</v>
      </c>
      <c r="E69" s="120">
        <f t="shared" si="21"/>
        <v>46.659562409646334</v>
      </c>
      <c r="F69" s="121">
        <f t="shared" si="22"/>
        <v>59.438933005918891</v>
      </c>
      <c r="G69" s="129">
        <f t="shared" si="23"/>
        <v>41007.405256848419</v>
      </c>
      <c r="H69" s="129">
        <f t="shared" si="16"/>
        <v>7681.1940380270435</v>
      </c>
      <c r="I69" s="129">
        <f t="shared" si="17"/>
        <v>7178.5392134526774</v>
      </c>
      <c r="J69" s="120">
        <f t="shared" si="18"/>
        <v>4160.4466904158571</v>
      </c>
      <c r="K69" s="120">
        <f t="shared" si="19"/>
        <v>340.32283766182877</v>
      </c>
      <c r="L69" s="120">
        <f t="shared" si="20"/>
        <v>8.3663201289455813</v>
      </c>
      <c r="M69" s="122">
        <f t="shared" si="24"/>
        <v>69.995312500000011</v>
      </c>
      <c r="N69" s="122" t="s">
        <v>427</v>
      </c>
      <c r="P69" s="101"/>
    </row>
    <row r="70" spans="1:16" ht="15.75" thickBot="1" x14ac:dyDescent="0.3">
      <c r="A70" s="123" t="str">
        <f t="shared" si="15"/>
        <v>NB225X10</v>
      </c>
      <c r="B70" s="133">
        <v>225</v>
      </c>
      <c r="C70" s="124">
        <v>244.5</v>
      </c>
      <c r="D70" s="124">
        <v>10</v>
      </c>
      <c r="E70" s="125">
        <f t="shared" si="21"/>
        <v>57.831222965444312</v>
      </c>
      <c r="F70" s="126">
        <f t="shared" si="22"/>
        <v>73.670347726680646</v>
      </c>
      <c r="G70" s="130">
        <f t="shared" si="23"/>
        <v>39584.263784772244</v>
      </c>
      <c r="H70" s="130">
        <f t="shared" si="16"/>
        <v>7681.1940380270435</v>
      </c>
      <c r="I70" s="130">
        <f t="shared" si="17"/>
        <v>7052.8755073090861</v>
      </c>
      <c r="J70" s="125">
        <f t="shared" si="18"/>
        <v>5073.1473423122106</v>
      </c>
      <c r="K70" s="125">
        <f t="shared" si="19"/>
        <v>414.9813776942504</v>
      </c>
      <c r="L70" s="125">
        <f t="shared" si="20"/>
        <v>8.2983620371733604</v>
      </c>
      <c r="M70" s="127">
        <f t="shared" si="24"/>
        <v>68.862812500000004</v>
      </c>
      <c r="N70" s="127" t="s">
        <v>427</v>
      </c>
      <c r="P70" s="101"/>
    </row>
    <row r="71" spans="1:16" x14ac:dyDescent="0.25">
      <c r="A71" s="113" t="str">
        <f t="shared" si="15"/>
        <v>NB250X5.9</v>
      </c>
      <c r="B71" s="131">
        <v>250</v>
      </c>
      <c r="C71" s="114">
        <v>273</v>
      </c>
      <c r="D71" s="114">
        <v>5.9</v>
      </c>
      <c r="E71" s="115">
        <f t="shared" si="21"/>
        <v>38.863814907895183</v>
      </c>
      <c r="F71" s="116">
        <f t="shared" si="22"/>
        <v>49.508044468656287</v>
      </c>
      <c r="G71" s="128">
        <f t="shared" si="23"/>
        <v>53584.135272982792</v>
      </c>
      <c r="H71" s="128">
        <f t="shared" si="16"/>
        <v>8576.547944300135</v>
      </c>
      <c r="I71" s="128">
        <f t="shared" si="17"/>
        <v>8205.8400111765386</v>
      </c>
      <c r="J71" s="115">
        <f t="shared" si="18"/>
        <v>4417.1832272613265</v>
      </c>
      <c r="K71" s="115">
        <f t="shared" si="19"/>
        <v>323.60316683233162</v>
      </c>
      <c r="L71" s="115">
        <f t="shared" si="20"/>
        <v>9.4457146368075264</v>
      </c>
      <c r="M71" s="117">
        <f t="shared" si="24"/>
        <v>89.221524999999943</v>
      </c>
      <c r="N71" s="117" t="s">
        <v>427</v>
      </c>
      <c r="P71" s="101"/>
    </row>
    <row r="72" spans="1:16" x14ac:dyDescent="0.25">
      <c r="A72" s="118" t="str">
        <f t="shared" si="15"/>
        <v>NB250X6.3</v>
      </c>
      <c r="B72" s="132">
        <v>250</v>
      </c>
      <c r="C72" s="119">
        <v>273</v>
      </c>
      <c r="D72" s="119">
        <v>6.3</v>
      </c>
      <c r="E72" s="120">
        <f t="shared" si="21"/>
        <v>41.436502831031703</v>
      </c>
      <c r="F72" s="121">
        <f t="shared" si="22"/>
        <v>52.78535392488115</v>
      </c>
      <c r="G72" s="129">
        <f t="shared" si="23"/>
        <v>53256.404327360309</v>
      </c>
      <c r="H72" s="129">
        <f t="shared" si="16"/>
        <v>8576.547944300135</v>
      </c>
      <c r="I72" s="129">
        <f t="shared" si="17"/>
        <v>8180.7072699478204</v>
      </c>
      <c r="J72" s="120">
        <f t="shared" si="18"/>
        <v>4695.8233545390203</v>
      </c>
      <c r="K72" s="120">
        <f t="shared" si="19"/>
        <v>344.01636296989159</v>
      </c>
      <c r="L72" s="120">
        <f t="shared" si="20"/>
        <v>9.4318993315238444</v>
      </c>
      <c r="M72" s="122">
        <f t="shared" si="24"/>
        <v>88.96072499999994</v>
      </c>
      <c r="N72" s="122" t="s">
        <v>427</v>
      </c>
      <c r="P72" s="101"/>
    </row>
    <row r="73" spans="1:16" x14ac:dyDescent="0.25">
      <c r="A73" s="118" t="str">
        <f t="shared" si="15"/>
        <v>NB250X8</v>
      </c>
      <c r="B73" s="132">
        <v>250</v>
      </c>
      <c r="C73" s="119">
        <v>273</v>
      </c>
      <c r="D73" s="119">
        <v>8</v>
      </c>
      <c r="E73" s="120">
        <f t="shared" si="21"/>
        <v>52.282384941041343</v>
      </c>
      <c r="F73" s="121">
        <f t="shared" si="22"/>
        <v>66.601764256103621</v>
      </c>
      <c r="G73" s="129">
        <f t="shared" si="23"/>
        <v>51874.763294238059</v>
      </c>
      <c r="H73" s="129">
        <f t="shared" si="16"/>
        <v>8576.547944300135</v>
      </c>
      <c r="I73" s="129">
        <f t="shared" si="17"/>
        <v>8073.893119725768</v>
      </c>
      <c r="J73" s="120">
        <f t="shared" si="18"/>
        <v>5851.7142597465836</v>
      </c>
      <c r="K73" s="120">
        <f t="shared" si="19"/>
        <v>428.69701536605004</v>
      </c>
      <c r="L73" s="120">
        <f t="shared" si="20"/>
        <v>9.3734332024077496</v>
      </c>
      <c r="M73" s="122">
        <f t="shared" si="24"/>
        <v>87.861249999999998</v>
      </c>
      <c r="N73" s="122" t="s">
        <v>425</v>
      </c>
      <c r="P73" s="101"/>
    </row>
    <row r="74" spans="1:16" x14ac:dyDescent="0.25">
      <c r="A74" s="118" t="str">
        <f t="shared" si="15"/>
        <v>NB250X10</v>
      </c>
      <c r="B74" s="132">
        <v>250</v>
      </c>
      <c r="C74" s="119">
        <v>273</v>
      </c>
      <c r="D74" s="119">
        <v>10</v>
      </c>
      <c r="E74" s="120">
        <f t="shared" si="21"/>
        <v>64.859751129688078</v>
      </c>
      <c r="F74" s="121">
        <f t="shared" si="22"/>
        <v>82.623886789411557</v>
      </c>
      <c r="G74" s="129">
        <f t="shared" si="23"/>
        <v>50272.551040907267</v>
      </c>
      <c r="H74" s="129">
        <f t="shared" si="16"/>
        <v>8576.547944300135</v>
      </c>
      <c r="I74" s="129">
        <f t="shared" si="17"/>
        <v>7948.2294135821767</v>
      </c>
      <c r="J74" s="120">
        <f t="shared" si="18"/>
        <v>7154.0925175196871</v>
      </c>
      <c r="K74" s="120">
        <f t="shared" si="19"/>
        <v>524.10934194283425</v>
      </c>
      <c r="L74" s="120">
        <f t="shared" si="20"/>
        <v>9.3051732923143362</v>
      </c>
      <c r="M74" s="122">
        <f t="shared" si="24"/>
        <v>86.586250000000021</v>
      </c>
      <c r="N74" s="122" t="s">
        <v>425</v>
      </c>
      <c r="P74" s="101"/>
    </row>
    <row r="75" spans="1:16" ht="15.75" thickBot="1" x14ac:dyDescent="0.3">
      <c r="A75" s="123" t="str">
        <f t="shared" si="15"/>
        <v>NB250X12</v>
      </c>
      <c r="B75" s="133">
        <v>250</v>
      </c>
      <c r="C75" s="124">
        <v>273</v>
      </c>
      <c r="D75" s="124">
        <v>12</v>
      </c>
      <c r="E75" s="125">
        <f t="shared" si="21"/>
        <v>77.239825299689372</v>
      </c>
      <c r="F75" s="126">
        <f t="shared" si="22"/>
        <v>98.394681910432325</v>
      </c>
      <c r="G75" s="130">
        <f t="shared" si="23"/>
        <v>48695.471528805188</v>
      </c>
      <c r="H75" s="130">
        <f t="shared" si="16"/>
        <v>8576.547944300135</v>
      </c>
      <c r="I75" s="130">
        <f t="shared" si="17"/>
        <v>7822.5657074385845</v>
      </c>
      <c r="J75" s="125">
        <f t="shared" si="18"/>
        <v>8396.1412007695781</v>
      </c>
      <c r="K75" s="125">
        <f t="shared" si="19"/>
        <v>615.10191947029875</v>
      </c>
      <c r="L75" s="125">
        <f t="shared" si="20"/>
        <v>9.2374915426212976</v>
      </c>
      <c r="M75" s="127">
        <f t="shared" si="24"/>
        <v>85.331249999999997</v>
      </c>
      <c r="N75" s="127" t="s">
        <v>427</v>
      </c>
      <c r="P75" s="101"/>
    </row>
    <row r="76" spans="1:16" x14ac:dyDescent="0.25">
      <c r="A76" s="113" t="str">
        <f t="shared" si="15"/>
        <v>NB300X6.3</v>
      </c>
      <c r="B76" s="131">
        <v>300</v>
      </c>
      <c r="C76" s="114">
        <v>323.89999999999998</v>
      </c>
      <c r="D76" s="114">
        <v>6.3</v>
      </c>
      <c r="E76" s="115">
        <f t="shared" si="21"/>
        <v>49.344706783410864</v>
      </c>
      <c r="F76" s="116">
        <f t="shared" si="22"/>
        <v>62.859499087147597</v>
      </c>
      <c r="G76" s="128">
        <f t="shared" si="23"/>
        <v>76111.121745089244</v>
      </c>
      <c r="H76" s="128">
        <f t="shared" si="16"/>
        <v>10175.618604977339</v>
      </c>
      <c r="I76" s="128">
        <f t="shared" si="17"/>
        <v>9779.777930625025</v>
      </c>
      <c r="J76" s="115">
        <f t="shared" si="18"/>
        <v>7928.8968501994577</v>
      </c>
      <c r="K76" s="115">
        <f t="shared" si="19"/>
        <v>489.58918494593752</v>
      </c>
      <c r="L76" s="115">
        <f t="shared" si="20"/>
        <v>11.231064620061627</v>
      </c>
      <c r="M76" s="117">
        <f t="shared" si="24"/>
        <v>126.13681250000002</v>
      </c>
      <c r="N76" s="117" t="s">
        <v>425</v>
      </c>
      <c r="P76" s="101"/>
    </row>
    <row r="77" spans="1:16" x14ac:dyDescent="0.25">
      <c r="A77" s="118" t="str">
        <f t="shared" si="15"/>
        <v>NB300X8</v>
      </c>
      <c r="B77" s="132">
        <v>300</v>
      </c>
      <c r="C77" s="119">
        <v>323.89999999999998</v>
      </c>
      <c r="D77" s="119">
        <v>8</v>
      </c>
      <c r="E77" s="120">
        <f t="shared" si="21"/>
        <v>62.324548690094204</v>
      </c>
      <c r="F77" s="121">
        <f t="shared" si="22"/>
        <v>79.394329541521273</v>
      </c>
      <c r="G77" s="129">
        <f t="shared" si="23"/>
        <v>74457.63869965187</v>
      </c>
      <c r="H77" s="129">
        <f t="shared" si="16"/>
        <v>10175.618604977339</v>
      </c>
      <c r="I77" s="129">
        <f t="shared" si="17"/>
        <v>9672.9637804029717</v>
      </c>
      <c r="J77" s="120">
        <f t="shared" si="18"/>
        <v>9910.0806001313485</v>
      </c>
      <c r="K77" s="120">
        <f t="shared" si="19"/>
        <v>611.92223526590612</v>
      </c>
      <c r="L77" s="120">
        <f t="shared" si="20"/>
        <v>11.172332455669229</v>
      </c>
      <c r="M77" s="122">
        <f t="shared" si="24"/>
        <v>124.82101250000004</v>
      </c>
      <c r="N77" s="122" t="s">
        <v>425</v>
      </c>
      <c r="P77" s="101"/>
    </row>
    <row r="78" spans="1:16" x14ac:dyDescent="0.25">
      <c r="A78" s="118" t="str">
        <f t="shared" si="15"/>
        <v>NB300X10</v>
      </c>
      <c r="B78" s="132">
        <v>300</v>
      </c>
      <c r="C78" s="119">
        <v>323.89999999999998</v>
      </c>
      <c r="D78" s="119">
        <v>10</v>
      </c>
      <c r="E78" s="120">
        <f t="shared" si="21"/>
        <v>77.41245581600414</v>
      </c>
      <c r="F78" s="121">
        <f t="shared" si="22"/>
        <v>98.614593396183608</v>
      </c>
      <c r="G78" s="129">
        <f t="shared" si="23"/>
        <v>72535.612314185637</v>
      </c>
      <c r="H78" s="129">
        <f t="shared" si="16"/>
        <v>10175.618604977339</v>
      </c>
      <c r="I78" s="129">
        <f t="shared" si="17"/>
        <v>9547.3000742593813</v>
      </c>
      <c r="J78" s="120">
        <f t="shared" si="18"/>
        <v>12158.342374387992</v>
      </c>
      <c r="K78" s="120">
        <f t="shared" si="19"/>
        <v>750.74667331818409</v>
      </c>
      <c r="L78" s="120">
        <f t="shared" si="20"/>
        <v>11.1036711271543</v>
      </c>
      <c r="M78" s="122">
        <f t="shared" si="24"/>
        <v>123.29151250000004</v>
      </c>
      <c r="N78" s="122" t="s">
        <v>425</v>
      </c>
      <c r="P78" s="101"/>
    </row>
    <row r="79" spans="1:16" ht="15.75" thickBot="1" x14ac:dyDescent="0.3">
      <c r="A79" s="123" t="str">
        <f t="shared" si="15"/>
        <v>NB300X12</v>
      </c>
      <c r="B79" s="133">
        <v>300</v>
      </c>
      <c r="C79" s="124">
        <v>323.89999999999998</v>
      </c>
      <c r="D79" s="124">
        <v>12</v>
      </c>
      <c r="E79" s="125">
        <f t="shared" si="21"/>
        <v>92.303070923268706</v>
      </c>
      <c r="F79" s="126">
        <f t="shared" si="22"/>
        <v>117.58352983855886</v>
      </c>
      <c r="G79" s="130">
        <f t="shared" si="23"/>
        <v>70638.71866994811</v>
      </c>
      <c r="H79" s="130">
        <f t="shared" si="16"/>
        <v>10175.618604977339</v>
      </c>
      <c r="I79" s="130">
        <f t="shared" si="17"/>
        <v>9421.6363681157891</v>
      </c>
      <c r="J79" s="125">
        <f t="shared" si="18"/>
        <v>14319.558900593498</v>
      </c>
      <c r="K79" s="125">
        <f t="shared" si="19"/>
        <v>884.19628901472674</v>
      </c>
      <c r="L79" s="125">
        <f t="shared" si="20"/>
        <v>11.035488774857233</v>
      </c>
      <c r="M79" s="127">
        <f t="shared" si="24"/>
        <v>121.78201250000001</v>
      </c>
      <c r="N79" s="127" t="s">
        <v>427</v>
      </c>
      <c r="P79" s="101"/>
    </row>
    <row r="80" spans="1:16" x14ac:dyDescent="0.25">
      <c r="A80" s="113" t="str">
        <f t="shared" si="15"/>
        <v>NB350X8</v>
      </c>
      <c r="B80" s="131">
        <v>350</v>
      </c>
      <c r="C80" s="114">
        <v>355.6</v>
      </c>
      <c r="D80" s="114">
        <v>8</v>
      </c>
      <c r="E80" s="115">
        <f t="shared" si="21"/>
        <v>68.578705681154588</v>
      </c>
      <c r="F80" s="116">
        <f t="shared" si="22"/>
        <v>87.361408511024948</v>
      </c>
      <c r="G80" s="128">
        <f t="shared" si="23"/>
        <v>90578.525052007069</v>
      </c>
      <c r="H80" s="128">
        <f t="shared" si="16"/>
        <v>11171.503476165306</v>
      </c>
      <c r="I80" s="128">
        <f t="shared" si="17"/>
        <v>10668.848651590939</v>
      </c>
      <c r="J80" s="115">
        <f t="shared" si="18"/>
        <v>13201.374635199709</v>
      </c>
      <c r="K80" s="115">
        <f t="shared" si="19"/>
        <v>742.48451266590041</v>
      </c>
      <c r="L80" s="115">
        <f t="shared" si="20"/>
        <v>12.29277023294587</v>
      </c>
      <c r="M80" s="117">
        <f t="shared" si="24"/>
        <v>151.11220000000006</v>
      </c>
      <c r="N80" s="117" t="s">
        <v>427</v>
      </c>
      <c r="P80" s="101"/>
    </row>
    <row r="81" spans="1:16" x14ac:dyDescent="0.25">
      <c r="A81" s="118" t="str">
        <f t="shared" si="15"/>
        <v>NB350X10</v>
      </c>
      <c r="B81" s="132">
        <v>350</v>
      </c>
      <c r="C81" s="119">
        <v>355.6</v>
      </c>
      <c r="D81" s="119">
        <v>10</v>
      </c>
      <c r="E81" s="120">
        <f t="shared" si="21"/>
        <v>85.230152054829645</v>
      </c>
      <c r="F81" s="121">
        <f t="shared" si="22"/>
        <v>108.57344210806325</v>
      </c>
      <c r="G81" s="129">
        <f t="shared" si="23"/>
        <v>88457.321692303245</v>
      </c>
      <c r="H81" s="129">
        <f t="shared" si="16"/>
        <v>11171.503476165306</v>
      </c>
      <c r="I81" s="129">
        <f t="shared" si="17"/>
        <v>10543.184945447347</v>
      </c>
      <c r="J81" s="120">
        <f t="shared" si="18"/>
        <v>16223.499728243667</v>
      </c>
      <c r="K81" s="120">
        <f t="shared" si="19"/>
        <v>912.45780248839515</v>
      </c>
      <c r="L81" s="120">
        <f t="shared" si="20"/>
        <v>12.223919175125465</v>
      </c>
      <c r="M81" s="122">
        <f t="shared" si="24"/>
        <v>149.42420000000001</v>
      </c>
      <c r="N81" s="122" t="s">
        <v>427</v>
      </c>
      <c r="P81" s="101"/>
    </row>
    <row r="82" spans="1:16" ht="15.75" thickBot="1" x14ac:dyDescent="0.3">
      <c r="A82" s="123" t="str">
        <f t="shared" si="15"/>
        <v>NB350X12</v>
      </c>
      <c r="B82" s="133">
        <v>350</v>
      </c>
      <c r="C82" s="124">
        <v>355.6</v>
      </c>
      <c r="D82" s="124">
        <v>12</v>
      </c>
      <c r="E82" s="125">
        <f t="shared" si="21"/>
        <v>101.68430640985927</v>
      </c>
      <c r="F82" s="126">
        <f t="shared" si="22"/>
        <v>129.53414829281436</v>
      </c>
      <c r="G82" s="130">
        <f t="shared" si="23"/>
        <v>86361.251073828127</v>
      </c>
      <c r="H82" s="130">
        <f t="shared" si="16"/>
        <v>11171.503476165306</v>
      </c>
      <c r="I82" s="130">
        <f t="shared" si="17"/>
        <v>10417.521239303755</v>
      </c>
      <c r="J82" s="125">
        <f t="shared" si="18"/>
        <v>19139.473521982734</v>
      </c>
      <c r="K82" s="125">
        <f t="shared" si="19"/>
        <v>1076.4608280080276</v>
      </c>
      <c r="L82" s="125">
        <f t="shared" si="20"/>
        <v>12.155500812389425</v>
      </c>
      <c r="M82" s="127">
        <f t="shared" si="24"/>
        <v>147.75619999999998</v>
      </c>
      <c r="N82" s="127" t="s">
        <v>427</v>
      </c>
      <c r="P82" s="101"/>
    </row>
    <row r="83" spans="1:16" x14ac:dyDescent="0.25">
      <c r="A83" s="134"/>
      <c r="B83" s="112"/>
      <c r="C83" s="111"/>
      <c r="D83" s="111"/>
      <c r="E83" s="109"/>
      <c r="F83" s="110"/>
      <c r="G83" s="112"/>
      <c r="H83" s="112"/>
      <c r="I83" s="112"/>
      <c r="J83" s="109"/>
      <c r="K83" s="109"/>
      <c r="L83" s="109"/>
      <c r="M83" s="109"/>
      <c r="N83" s="109"/>
      <c r="P83" s="101"/>
    </row>
    <row r="84" spans="1:16" x14ac:dyDescent="0.25">
      <c r="A84" s="134"/>
      <c r="B84" s="112"/>
      <c r="C84" s="111"/>
      <c r="D84" s="111"/>
      <c r="E84" s="109"/>
      <c r="F84" s="110"/>
      <c r="G84" s="112"/>
      <c r="H84" s="112"/>
      <c r="I84" s="112"/>
      <c r="J84" s="109"/>
      <c r="K84" s="109"/>
      <c r="L84" s="109"/>
      <c r="M84" s="109"/>
      <c r="N84" s="109"/>
      <c r="P84" s="101"/>
    </row>
    <row r="85" spans="1:16" x14ac:dyDescent="0.25">
      <c r="A85" s="134"/>
      <c r="B85" s="112"/>
      <c r="C85" s="111"/>
      <c r="D85" s="111"/>
      <c r="E85" s="109"/>
      <c r="F85" s="110"/>
      <c r="G85" s="112"/>
      <c r="H85" s="112"/>
      <c r="I85" s="112"/>
      <c r="J85" s="109"/>
      <c r="K85" s="109"/>
      <c r="L85" s="109"/>
      <c r="M85" s="109"/>
      <c r="N85" s="109"/>
      <c r="P85" s="101"/>
    </row>
    <row r="86" spans="1:16" x14ac:dyDescent="0.25">
      <c r="A86" s="134"/>
      <c r="B86" s="112"/>
      <c r="C86" s="111"/>
      <c r="D86" s="111"/>
      <c r="E86" s="109"/>
      <c r="F86" s="110"/>
      <c r="G86" s="112"/>
      <c r="H86" s="112"/>
      <c r="I86" s="112"/>
      <c r="J86" s="109"/>
      <c r="K86" s="109"/>
      <c r="L86" s="109"/>
      <c r="M86" s="109"/>
      <c r="N86" s="109"/>
      <c r="P86" s="101"/>
    </row>
    <row r="87" spans="1:16" x14ac:dyDescent="0.25">
      <c r="A87" s="134"/>
      <c r="B87" s="112"/>
      <c r="C87" s="111"/>
      <c r="D87" s="111"/>
      <c r="E87" s="109"/>
      <c r="F87" s="110"/>
      <c r="G87" s="112"/>
      <c r="H87" s="112"/>
      <c r="I87" s="112"/>
      <c r="J87" s="109"/>
      <c r="K87" s="109"/>
      <c r="L87" s="109"/>
      <c r="M87" s="109"/>
      <c r="N87" s="109"/>
      <c r="P87" s="101"/>
    </row>
    <row r="88" spans="1:16" x14ac:dyDescent="0.25">
      <c r="A88" s="134"/>
      <c r="B88" s="112"/>
      <c r="C88" s="111"/>
      <c r="D88" s="111"/>
      <c r="E88" s="109"/>
      <c r="F88" s="110"/>
      <c r="G88" s="112"/>
      <c r="H88" s="112"/>
      <c r="I88" s="112"/>
      <c r="J88" s="109"/>
      <c r="K88" s="109"/>
      <c r="L88" s="109"/>
      <c r="M88" s="109"/>
      <c r="N88" s="109"/>
      <c r="P88" s="101"/>
    </row>
    <row r="89" spans="1:16" x14ac:dyDescent="0.25">
      <c r="A89" s="134"/>
      <c r="B89" s="112"/>
      <c r="C89" s="111"/>
      <c r="D89" s="111"/>
      <c r="E89" s="109"/>
      <c r="F89" s="110"/>
      <c r="G89" s="112"/>
      <c r="H89" s="112"/>
      <c r="I89" s="112"/>
      <c r="J89" s="109"/>
      <c r="K89" s="109"/>
      <c r="L89" s="109"/>
      <c r="M89" s="109"/>
      <c r="N89" s="109"/>
      <c r="P89" s="101"/>
    </row>
    <row r="90" spans="1:16" x14ac:dyDescent="0.25">
      <c r="A90" s="134"/>
      <c r="B90" s="112"/>
      <c r="C90" s="111"/>
      <c r="D90" s="111"/>
      <c r="E90" s="109"/>
      <c r="F90" s="110"/>
      <c r="G90" s="112"/>
      <c r="H90" s="112"/>
      <c r="I90" s="112"/>
      <c r="J90" s="109"/>
      <c r="K90" s="109"/>
      <c r="L90" s="109"/>
      <c r="M90" s="109"/>
      <c r="N90" s="109"/>
    </row>
    <row r="91" spans="1:16" x14ac:dyDescent="0.25">
      <c r="A91" s="134"/>
      <c r="B91" s="112"/>
      <c r="C91" s="111"/>
      <c r="D91" s="111"/>
      <c r="E91" s="109"/>
      <c r="F91" s="110"/>
      <c r="G91" s="112"/>
      <c r="H91" s="112"/>
      <c r="I91" s="112"/>
      <c r="J91" s="109"/>
      <c r="K91" s="109"/>
      <c r="L91" s="109"/>
      <c r="M91" s="109"/>
      <c r="N91" s="109"/>
    </row>
    <row r="92" spans="1:16" x14ac:dyDescent="0.25">
      <c r="A92" s="134"/>
      <c r="B92" s="112"/>
      <c r="C92" s="111"/>
      <c r="D92" s="111"/>
      <c r="E92" s="109"/>
      <c r="F92" s="110"/>
      <c r="G92" s="112"/>
      <c r="H92" s="112"/>
      <c r="I92" s="112"/>
      <c r="J92" s="109"/>
      <c r="K92" s="109"/>
      <c r="L92" s="109"/>
      <c r="M92" s="109"/>
      <c r="N92" s="109"/>
    </row>
    <row r="93" spans="1:16" x14ac:dyDescent="0.25">
      <c r="A93" s="134"/>
      <c r="B93" s="112"/>
      <c r="C93" s="111"/>
      <c r="D93" s="111"/>
      <c r="E93" s="109"/>
      <c r="F93" s="110"/>
      <c r="G93" s="112"/>
      <c r="H93" s="112"/>
      <c r="I93" s="112"/>
      <c r="J93" s="109"/>
      <c r="K93" s="109"/>
      <c r="L93" s="109"/>
      <c r="M93" s="109"/>
      <c r="N93" s="109"/>
    </row>
    <row r="94" spans="1:16" x14ac:dyDescent="0.25">
      <c r="A94" s="134"/>
      <c r="B94" s="112"/>
      <c r="C94" s="111"/>
      <c r="D94" s="111"/>
      <c r="E94" s="109"/>
      <c r="F94" s="110"/>
      <c r="G94" s="112"/>
      <c r="H94" s="112"/>
      <c r="I94" s="112"/>
      <c r="J94" s="109"/>
      <c r="K94" s="109"/>
      <c r="L94" s="109"/>
      <c r="M94" s="109"/>
      <c r="N94" s="109"/>
    </row>
    <row r="95" spans="1:16" x14ac:dyDescent="0.25">
      <c r="A95" s="134"/>
      <c r="B95" s="112"/>
      <c r="C95" s="111"/>
      <c r="D95" s="111"/>
      <c r="E95" s="109"/>
      <c r="F95" s="110"/>
      <c r="G95" s="112"/>
      <c r="H95" s="112"/>
      <c r="I95" s="112"/>
      <c r="J95" s="109"/>
      <c r="K95" s="109"/>
      <c r="L95" s="109"/>
      <c r="M95" s="109"/>
      <c r="N95" s="109"/>
    </row>
    <row r="96" spans="1:16" x14ac:dyDescent="0.25">
      <c r="A96" s="134"/>
      <c r="B96" s="112"/>
      <c r="C96" s="111"/>
      <c r="D96" s="111"/>
      <c r="E96" s="109"/>
      <c r="F96" s="110"/>
      <c r="G96" s="112"/>
      <c r="H96" s="112"/>
      <c r="I96" s="112"/>
      <c r="J96" s="109"/>
      <c r="K96" s="109"/>
      <c r="L96" s="109"/>
      <c r="M96" s="109"/>
      <c r="N96" s="109"/>
    </row>
    <row r="97" spans="1:14" x14ac:dyDescent="0.25">
      <c r="A97" s="134"/>
      <c r="B97" s="112"/>
      <c r="C97" s="111"/>
      <c r="D97" s="111"/>
      <c r="E97" s="109"/>
      <c r="F97" s="110"/>
      <c r="G97" s="112"/>
      <c r="H97" s="112"/>
      <c r="I97" s="112"/>
      <c r="J97" s="109"/>
      <c r="K97" s="109"/>
      <c r="L97" s="109"/>
      <c r="M97" s="109"/>
      <c r="N97" s="109"/>
    </row>
    <row r="98" spans="1:14" x14ac:dyDescent="0.25">
      <c r="A98" s="134"/>
      <c r="B98" s="112"/>
      <c r="C98" s="111"/>
      <c r="D98" s="111"/>
      <c r="E98" s="109"/>
      <c r="F98" s="110"/>
      <c r="G98" s="112"/>
      <c r="H98" s="112"/>
      <c r="I98" s="112"/>
      <c r="J98" s="109"/>
      <c r="K98" s="109"/>
      <c r="L98" s="109"/>
      <c r="M98" s="109"/>
      <c r="N98" s="109"/>
    </row>
    <row r="99" spans="1:14" x14ac:dyDescent="0.25">
      <c r="A99" s="134"/>
      <c r="B99" s="112"/>
      <c r="C99" s="111"/>
      <c r="D99" s="111"/>
      <c r="E99" s="109"/>
      <c r="F99" s="110"/>
      <c r="G99" s="112"/>
      <c r="H99" s="112"/>
      <c r="I99" s="112"/>
      <c r="J99" s="109"/>
      <c r="K99" s="109"/>
      <c r="L99" s="109"/>
      <c r="M99" s="109"/>
      <c r="N99" s="109"/>
    </row>
    <row r="100" spans="1:14" x14ac:dyDescent="0.25">
      <c r="A100" s="134"/>
      <c r="B100" s="112"/>
      <c r="C100" s="111"/>
      <c r="D100" s="111"/>
      <c r="E100" s="109"/>
      <c r="F100" s="110"/>
      <c r="G100" s="112"/>
      <c r="H100" s="112"/>
      <c r="I100" s="112"/>
      <c r="J100" s="109"/>
      <c r="K100" s="109"/>
      <c r="L100" s="109"/>
      <c r="M100" s="109"/>
      <c r="N100" s="109"/>
    </row>
    <row r="101" spans="1:14" x14ac:dyDescent="0.25">
      <c r="A101" s="134"/>
      <c r="B101" s="112"/>
      <c r="C101" s="111"/>
      <c r="D101" s="111"/>
      <c r="E101" s="109"/>
      <c r="F101" s="110"/>
      <c r="G101" s="112"/>
      <c r="H101" s="112"/>
      <c r="I101" s="112"/>
      <c r="J101" s="109"/>
      <c r="K101" s="109"/>
      <c r="L101" s="109"/>
      <c r="M101" s="109"/>
      <c r="N101" s="109"/>
    </row>
    <row r="102" spans="1:14" x14ac:dyDescent="0.25">
      <c r="A102" s="134"/>
      <c r="B102" s="112"/>
      <c r="C102" s="111"/>
      <c r="D102" s="111"/>
      <c r="E102" s="109"/>
      <c r="F102" s="110"/>
      <c r="G102" s="112"/>
      <c r="H102" s="112"/>
      <c r="I102" s="112"/>
      <c r="J102" s="109"/>
      <c r="K102" s="109"/>
      <c r="L102" s="109"/>
      <c r="M102" s="109"/>
      <c r="N102" s="109"/>
    </row>
    <row r="103" spans="1:14" x14ac:dyDescent="0.25">
      <c r="A103" s="134"/>
      <c r="B103" s="112"/>
      <c r="C103" s="111"/>
      <c r="D103" s="111"/>
      <c r="E103" s="109"/>
      <c r="F103" s="110"/>
      <c r="G103" s="112"/>
      <c r="H103" s="112"/>
      <c r="I103" s="112"/>
      <c r="J103" s="109"/>
      <c r="K103" s="109"/>
      <c r="L103" s="109"/>
      <c r="M103" s="109"/>
      <c r="N103" s="109"/>
    </row>
    <row r="104" spans="1:14" x14ac:dyDescent="0.25">
      <c r="A104" s="134"/>
      <c r="B104" s="112"/>
      <c r="C104" s="111"/>
      <c r="D104" s="111"/>
      <c r="E104" s="109"/>
      <c r="F104" s="110"/>
      <c r="G104" s="112"/>
      <c r="H104" s="112"/>
      <c r="I104" s="112"/>
      <c r="J104" s="109"/>
      <c r="K104" s="109"/>
      <c r="L104" s="109"/>
      <c r="M104" s="109"/>
      <c r="N104" s="109"/>
    </row>
    <row r="105" spans="1:14" x14ac:dyDescent="0.25">
      <c r="A105" s="134"/>
      <c r="B105" s="112"/>
      <c r="C105" s="111"/>
      <c r="D105" s="111"/>
      <c r="E105" s="109"/>
      <c r="F105" s="110"/>
      <c r="G105" s="112"/>
      <c r="H105" s="112"/>
      <c r="I105" s="112"/>
      <c r="J105" s="109"/>
      <c r="K105" s="109"/>
      <c r="L105" s="109"/>
      <c r="M105" s="109"/>
      <c r="N105" s="109"/>
    </row>
    <row r="106" spans="1:14" x14ac:dyDescent="0.25">
      <c r="A106" s="134"/>
      <c r="B106" s="112"/>
      <c r="C106" s="111"/>
      <c r="D106" s="111"/>
      <c r="E106" s="109"/>
      <c r="F106" s="110"/>
      <c r="G106" s="112"/>
      <c r="H106" s="112"/>
      <c r="I106" s="112"/>
      <c r="J106" s="109"/>
      <c r="K106" s="109"/>
      <c r="L106" s="109"/>
      <c r="M106" s="109"/>
      <c r="N106" s="109"/>
    </row>
    <row r="107" spans="1:14" x14ac:dyDescent="0.25">
      <c r="A107" s="134"/>
      <c r="B107" s="112"/>
      <c r="C107" s="111"/>
      <c r="D107" s="111"/>
      <c r="E107" s="109"/>
      <c r="F107" s="110"/>
      <c r="G107" s="112"/>
      <c r="H107" s="112"/>
      <c r="I107" s="112"/>
      <c r="J107" s="109"/>
      <c r="K107" s="109"/>
      <c r="L107" s="109"/>
      <c r="M107" s="109"/>
      <c r="N107" s="109"/>
    </row>
    <row r="108" spans="1:14" x14ac:dyDescent="0.25">
      <c r="A108" s="134"/>
      <c r="B108" s="112"/>
      <c r="C108" s="111"/>
      <c r="D108" s="111"/>
      <c r="E108" s="109"/>
      <c r="F108" s="110"/>
      <c r="G108" s="112"/>
      <c r="H108" s="112"/>
      <c r="I108" s="112"/>
      <c r="J108" s="109"/>
      <c r="K108" s="109"/>
      <c r="L108" s="109"/>
      <c r="M108" s="109"/>
      <c r="N108" s="109"/>
    </row>
    <row r="109" spans="1:14" x14ac:dyDescent="0.25">
      <c r="A109" s="134"/>
      <c r="B109" s="112"/>
      <c r="C109" s="111"/>
      <c r="D109" s="111"/>
      <c r="E109" s="109"/>
      <c r="F109" s="110"/>
      <c r="G109" s="112"/>
      <c r="H109" s="112"/>
      <c r="I109" s="112"/>
      <c r="J109" s="109"/>
      <c r="K109" s="109"/>
      <c r="L109" s="109"/>
      <c r="M109" s="109"/>
      <c r="N109" s="109"/>
    </row>
    <row r="110" spans="1:14" x14ac:dyDescent="0.25">
      <c r="A110" s="134"/>
      <c r="B110" s="112"/>
      <c r="C110" s="111"/>
      <c r="D110" s="111"/>
      <c r="E110" s="109"/>
      <c r="F110" s="110"/>
      <c r="G110" s="112"/>
      <c r="H110" s="112"/>
      <c r="I110" s="112"/>
      <c r="J110" s="109"/>
      <c r="K110" s="109"/>
      <c r="L110" s="109"/>
      <c r="M110" s="109"/>
      <c r="N110" s="109"/>
    </row>
    <row r="111" spans="1:14" x14ac:dyDescent="0.25">
      <c r="A111" s="134"/>
      <c r="B111" s="112"/>
      <c r="C111" s="111"/>
      <c r="D111" s="111"/>
      <c r="E111" s="109"/>
      <c r="F111" s="110"/>
      <c r="G111" s="112"/>
      <c r="H111" s="112"/>
      <c r="I111" s="112"/>
      <c r="J111" s="109"/>
      <c r="K111" s="109"/>
      <c r="L111" s="109"/>
      <c r="M111" s="109"/>
      <c r="N111" s="109"/>
    </row>
    <row r="112" spans="1:14" x14ac:dyDescent="0.25">
      <c r="A112" s="134"/>
      <c r="B112" s="112"/>
      <c r="C112" s="111"/>
      <c r="D112" s="111"/>
      <c r="E112" s="109"/>
      <c r="F112" s="110"/>
      <c r="G112" s="112"/>
      <c r="H112" s="112"/>
      <c r="I112" s="112"/>
      <c r="J112" s="109"/>
      <c r="K112" s="109"/>
      <c r="L112" s="109"/>
      <c r="M112" s="109"/>
      <c r="N112" s="109"/>
    </row>
    <row r="113" spans="1:14" x14ac:dyDescent="0.25">
      <c r="A113" s="134"/>
      <c r="B113" s="112"/>
      <c r="C113" s="111"/>
      <c r="D113" s="111"/>
      <c r="E113" s="109"/>
      <c r="F113" s="110"/>
      <c r="G113" s="112"/>
      <c r="H113" s="112"/>
      <c r="I113" s="112"/>
      <c r="J113" s="109"/>
      <c r="K113" s="109"/>
      <c r="L113" s="109"/>
      <c r="M113" s="109"/>
      <c r="N113" s="109"/>
    </row>
    <row r="114" spans="1:14" x14ac:dyDescent="0.25">
      <c r="A114" s="134"/>
      <c r="B114" s="112"/>
      <c r="C114" s="111"/>
      <c r="D114" s="111"/>
      <c r="E114" s="109"/>
      <c r="F114" s="110"/>
      <c r="G114" s="112"/>
      <c r="H114" s="112"/>
      <c r="I114" s="112"/>
      <c r="J114" s="109"/>
      <c r="K114" s="109"/>
      <c r="L114" s="109"/>
      <c r="M114" s="109"/>
      <c r="N114" s="109"/>
    </row>
    <row r="115" spans="1:14" x14ac:dyDescent="0.25">
      <c r="A115" s="134"/>
      <c r="B115" s="112"/>
      <c r="C115" s="111"/>
      <c r="D115" s="111"/>
      <c r="E115" s="109"/>
      <c r="F115" s="110"/>
      <c r="G115" s="112"/>
      <c r="H115" s="112"/>
      <c r="I115" s="112"/>
      <c r="J115" s="109"/>
      <c r="K115" s="109"/>
      <c r="L115" s="109"/>
      <c r="M115" s="109"/>
      <c r="N115" s="109"/>
    </row>
    <row r="116" spans="1:14" x14ac:dyDescent="0.25">
      <c r="A116" s="134"/>
      <c r="B116" s="112"/>
      <c r="C116" s="111"/>
      <c r="D116" s="111"/>
      <c r="E116" s="109"/>
      <c r="F116" s="110"/>
      <c r="G116" s="112"/>
      <c r="H116" s="112"/>
      <c r="I116" s="112"/>
      <c r="J116" s="109"/>
      <c r="K116" s="109"/>
      <c r="L116" s="109"/>
      <c r="M116" s="109"/>
      <c r="N116" s="109"/>
    </row>
    <row r="117" spans="1:14" x14ac:dyDescent="0.25">
      <c r="A117" s="134"/>
      <c r="B117" s="112"/>
      <c r="C117" s="111"/>
      <c r="D117" s="111"/>
      <c r="E117" s="109"/>
      <c r="F117" s="110"/>
      <c r="G117" s="112"/>
      <c r="H117" s="112"/>
      <c r="I117" s="112"/>
      <c r="J117" s="109"/>
      <c r="K117" s="109"/>
      <c r="L117" s="109"/>
      <c r="M117" s="109"/>
      <c r="N117" s="109"/>
    </row>
    <row r="118" spans="1:14" x14ac:dyDescent="0.25">
      <c r="A118" s="134"/>
      <c r="B118" s="112"/>
      <c r="C118" s="111"/>
      <c r="D118" s="111"/>
      <c r="E118" s="109"/>
      <c r="F118" s="110"/>
      <c r="G118" s="112"/>
      <c r="H118" s="112"/>
      <c r="I118" s="112"/>
      <c r="J118" s="109"/>
      <c r="K118" s="109"/>
      <c r="L118" s="109"/>
      <c r="M118" s="109"/>
      <c r="N118" s="109"/>
    </row>
    <row r="119" spans="1:14" x14ac:dyDescent="0.25">
      <c r="A119" s="134"/>
      <c r="B119" s="112"/>
      <c r="C119" s="111"/>
      <c r="D119" s="111"/>
      <c r="E119" s="109"/>
      <c r="F119" s="110"/>
      <c r="G119" s="112"/>
      <c r="H119" s="112"/>
      <c r="I119" s="112"/>
      <c r="J119" s="109"/>
      <c r="K119" s="109"/>
      <c r="L119" s="109"/>
      <c r="M119" s="109"/>
      <c r="N119" s="109"/>
    </row>
    <row r="120" spans="1:14" x14ac:dyDescent="0.25">
      <c r="A120" s="134"/>
      <c r="B120" s="112"/>
      <c r="C120" s="111"/>
      <c r="D120" s="111"/>
      <c r="E120" s="109"/>
      <c r="F120" s="110"/>
      <c r="G120" s="112"/>
      <c r="H120" s="112"/>
      <c r="I120" s="112"/>
      <c r="J120" s="109"/>
      <c r="K120" s="109"/>
      <c r="L120" s="109"/>
      <c r="M120" s="109"/>
      <c r="N120" s="109"/>
    </row>
    <row r="121" spans="1:14" x14ac:dyDescent="0.25">
      <c r="A121" s="134"/>
      <c r="B121" s="112"/>
      <c r="C121" s="111"/>
      <c r="D121" s="111"/>
      <c r="E121" s="109"/>
      <c r="F121" s="110"/>
      <c r="G121" s="112"/>
      <c r="H121" s="112"/>
      <c r="I121" s="112"/>
      <c r="J121" s="109"/>
      <c r="K121" s="109"/>
      <c r="L121" s="109"/>
      <c r="M121" s="109"/>
      <c r="N121" s="109"/>
    </row>
    <row r="122" spans="1:14" x14ac:dyDescent="0.25">
      <c r="A122" s="134"/>
      <c r="B122" s="112"/>
      <c r="C122" s="111"/>
      <c r="D122" s="111"/>
      <c r="E122" s="109"/>
      <c r="F122" s="110"/>
      <c r="G122" s="112"/>
      <c r="H122" s="112"/>
      <c r="I122" s="112"/>
      <c r="J122" s="109"/>
      <c r="K122" s="109"/>
      <c r="L122" s="109"/>
      <c r="M122" s="109"/>
      <c r="N122" s="109"/>
    </row>
    <row r="123" spans="1:14" x14ac:dyDescent="0.25">
      <c r="A123" s="134"/>
      <c r="B123" s="112"/>
      <c r="C123" s="111"/>
      <c r="D123" s="111"/>
      <c r="E123" s="109"/>
      <c r="F123" s="110"/>
      <c r="G123" s="112"/>
      <c r="H123" s="112"/>
      <c r="I123" s="112"/>
      <c r="J123" s="109"/>
      <c r="K123" s="109"/>
      <c r="L123" s="109"/>
      <c r="M123" s="109"/>
      <c r="N123" s="109"/>
    </row>
    <row r="124" spans="1:14" x14ac:dyDescent="0.25">
      <c r="A124" s="134"/>
      <c r="B124" s="112"/>
      <c r="C124" s="111"/>
      <c r="D124" s="111"/>
      <c r="E124" s="109"/>
      <c r="F124" s="110"/>
      <c r="G124" s="112"/>
      <c r="H124" s="112"/>
      <c r="I124" s="112"/>
      <c r="J124" s="109"/>
      <c r="K124" s="109"/>
      <c r="L124" s="109"/>
      <c r="M124" s="109"/>
      <c r="N124" s="109"/>
    </row>
    <row r="125" spans="1:14" x14ac:dyDescent="0.25">
      <c r="A125" s="134"/>
      <c r="B125" s="112"/>
      <c r="C125" s="111"/>
      <c r="D125" s="111"/>
      <c r="E125" s="109"/>
      <c r="F125" s="110"/>
      <c r="G125" s="112"/>
      <c r="H125" s="112"/>
      <c r="I125" s="112"/>
      <c r="J125" s="109"/>
      <c r="K125" s="109"/>
      <c r="L125" s="109"/>
      <c r="M125" s="109"/>
      <c r="N125" s="109"/>
    </row>
    <row r="126" spans="1:14" x14ac:dyDescent="0.25">
      <c r="A126" s="134"/>
      <c r="B126" s="112"/>
      <c r="C126" s="111"/>
      <c r="D126" s="111"/>
      <c r="E126" s="109"/>
      <c r="F126" s="110"/>
      <c r="G126" s="112"/>
      <c r="H126" s="112"/>
      <c r="I126" s="112"/>
      <c r="J126" s="109"/>
      <c r="K126" s="109"/>
      <c r="L126" s="109"/>
      <c r="M126" s="109"/>
      <c r="N126" s="109"/>
    </row>
    <row r="127" spans="1:14" x14ac:dyDescent="0.25">
      <c r="A127" s="134"/>
      <c r="B127" s="112"/>
      <c r="C127" s="111"/>
      <c r="D127" s="111"/>
      <c r="E127" s="109"/>
      <c r="F127" s="110"/>
      <c r="G127" s="112"/>
      <c r="H127" s="112"/>
      <c r="I127" s="112"/>
      <c r="J127" s="109"/>
      <c r="K127" s="109"/>
      <c r="L127" s="109"/>
      <c r="M127" s="109"/>
      <c r="N127" s="109"/>
    </row>
    <row r="128" spans="1:14" x14ac:dyDescent="0.25">
      <c r="A128" s="134"/>
      <c r="B128" s="112"/>
      <c r="C128" s="111"/>
      <c r="D128" s="111"/>
      <c r="E128" s="109"/>
      <c r="F128" s="110"/>
      <c r="G128" s="112"/>
      <c r="H128" s="112"/>
      <c r="I128" s="112"/>
      <c r="J128" s="109"/>
      <c r="K128" s="109"/>
      <c r="L128" s="109"/>
      <c r="M128" s="109"/>
      <c r="N128" s="109"/>
    </row>
    <row r="129" spans="1:14" x14ac:dyDescent="0.25">
      <c r="A129" s="134"/>
      <c r="B129" s="112"/>
      <c r="C129" s="111"/>
      <c r="D129" s="111"/>
      <c r="E129" s="109"/>
      <c r="F129" s="110"/>
      <c r="G129" s="112"/>
      <c r="H129" s="112"/>
      <c r="I129" s="112"/>
      <c r="J129" s="109"/>
      <c r="K129" s="109"/>
      <c r="L129" s="109"/>
      <c r="M129" s="109"/>
      <c r="N129" s="109"/>
    </row>
    <row r="130" spans="1:14" x14ac:dyDescent="0.25">
      <c r="A130" s="134"/>
      <c r="B130" s="112"/>
      <c r="C130" s="111"/>
      <c r="D130" s="111"/>
      <c r="E130" s="109"/>
      <c r="F130" s="110"/>
      <c r="G130" s="112"/>
      <c r="H130" s="112"/>
      <c r="I130" s="112"/>
      <c r="J130" s="109"/>
      <c r="K130" s="109"/>
      <c r="L130" s="109"/>
      <c r="M130" s="109"/>
      <c r="N130" s="109"/>
    </row>
    <row r="131" spans="1:14" x14ac:dyDescent="0.25">
      <c r="A131" s="134"/>
      <c r="B131" s="112"/>
      <c r="C131" s="111"/>
      <c r="D131" s="111"/>
      <c r="E131" s="109"/>
      <c r="F131" s="110"/>
      <c r="G131" s="112"/>
      <c r="H131" s="112"/>
      <c r="I131" s="112"/>
      <c r="J131" s="109"/>
      <c r="K131" s="109"/>
      <c r="L131" s="109"/>
      <c r="M131" s="109"/>
      <c r="N131" s="109"/>
    </row>
    <row r="132" spans="1:14" x14ac:dyDescent="0.25">
      <c r="A132" s="134"/>
      <c r="B132" s="112"/>
      <c r="C132" s="111"/>
      <c r="D132" s="111"/>
      <c r="E132" s="109"/>
      <c r="F132" s="110"/>
      <c r="G132" s="112"/>
      <c r="H132" s="112"/>
      <c r="I132" s="112"/>
      <c r="J132" s="109"/>
      <c r="K132" s="109"/>
      <c r="L132" s="109"/>
      <c r="M132" s="109"/>
      <c r="N132" s="109"/>
    </row>
    <row r="133" spans="1:14" x14ac:dyDescent="0.25">
      <c r="A133" s="134"/>
      <c r="B133" s="112"/>
      <c r="C133" s="111"/>
      <c r="D133" s="111"/>
      <c r="E133" s="109"/>
      <c r="F133" s="110"/>
      <c r="G133" s="112"/>
      <c r="H133" s="112"/>
      <c r="I133" s="112"/>
      <c r="J133" s="109"/>
      <c r="K133" s="109"/>
      <c r="L133" s="109"/>
      <c r="M133" s="109"/>
      <c r="N133" s="109"/>
    </row>
    <row r="134" spans="1:14" x14ac:dyDescent="0.25">
      <c r="A134" s="134"/>
      <c r="B134" s="112"/>
      <c r="C134" s="111"/>
      <c r="D134" s="111"/>
      <c r="E134" s="109"/>
      <c r="F134" s="110"/>
      <c r="G134" s="112"/>
      <c r="H134" s="112"/>
      <c r="I134" s="112"/>
      <c r="J134" s="109"/>
      <c r="K134" s="109"/>
      <c r="L134" s="109"/>
      <c r="M134" s="109"/>
      <c r="N134" s="109"/>
    </row>
    <row r="135" spans="1:14" x14ac:dyDescent="0.25">
      <c r="A135" s="134"/>
      <c r="B135" s="112"/>
      <c r="C135" s="111"/>
      <c r="D135" s="111"/>
      <c r="E135" s="109"/>
      <c r="F135" s="110"/>
      <c r="G135" s="112"/>
      <c r="H135" s="112"/>
      <c r="I135" s="112"/>
      <c r="J135" s="109"/>
      <c r="K135" s="109"/>
      <c r="L135" s="109"/>
      <c r="M135" s="109"/>
      <c r="N135" s="109"/>
    </row>
    <row r="136" spans="1:14" x14ac:dyDescent="0.25">
      <c r="A136" s="134"/>
      <c r="B136" s="112"/>
      <c r="C136" s="111"/>
      <c r="D136" s="111"/>
      <c r="E136" s="109"/>
      <c r="F136" s="110"/>
      <c r="G136" s="112"/>
      <c r="H136" s="112"/>
      <c r="I136" s="112"/>
      <c r="J136" s="109"/>
      <c r="K136" s="109"/>
      <c r="L136" s="109"/>
      <c r="M136" s="109"/>
      <c r="N136" s="109"/>
    </row>
    <row r="137" spans="1:14" x14ac:dyDescent="0.25">
      <c r="A137" s="134"/>
      <c r="B137" s="112"/>
      <c r="C137" s="111"/>
      <c r="D137" s="111"/>
      <c r="E137" s="109"/>
      <c r="F137" s="110"/>
      <c r="G137" s="112"/>
      <c r="H137" s="112"/>
      <c r="I137" s="112"/>
      <c r="J137" s="109"/>
      <c r="K137" s="109"/>
      <c r="L137" s="109"/>
      <c r="M137" s="109"/>
      <c r="N137" s="109"/>
    </row>
    <row r="138" spans="1:14" x14ac:dyDescent="0.25">
      <c r="A138" s="134"/>
      <c r="B138" s="112"/>
      <c r="C138" s="111"/>
      <c r="D138" s="111"/>
      <c r="E138" s="109"/>
      <c r="F138" s="110"/>
      <c r="G138" s="112"/>
      <c r="H138" s="112"/>
      <c r="I138" s="112"/>
      <c r="J138" s="109"/>
      <c r="K138" s="109"/>
      <c r="L138" s="109"/>
      <c r="M138" s="109"/>
      <c r="N138" s="109"/>
    </row>
    <row r="139" spans="1:14" x14ac:dyDescent="0.25">
      <c r="A139" s="134"/>
      <c r="B139" s="112"/>
      <c r="C139" s="111"/>
      <c r="D139" s="111"/>
      <c r="E139" s="109"/>
      <c r="F139" s="110"/>
      <c r="G139" s="112"/>
      <c r="H139" s="112"/>
      <c r="I139" s="112"/>
      <c r="J139" s="109"/>
      <c r="K139" s="109"/>
      <c r="L139" s="109"/>
      <c r="M139" s="109"/>
      <c r="N139" s="109"/>
    </row>
    <row r="140" spans="1:14" x14ac:dyDescent="0.25">
      <c r="A140" s="134"/>
      <c r="B140" s="112"/>
      <c r="C140" s="111"/>
      <c r="D140" s="111"/>
      <c r="E140" s="109"/>
      <c r="F140" s="110"/>
      <c r="G140" s="112"/>
      <c r="H140" s="112"/>
      <c r="I140" s="112"/>
      <c r="J140" s="109"/>
      <c r="K140" s="109"/>
      <c r="L140" s="109"/>
      <c r="M140" s="109"/>
      <c r="N140" s="109"/>
    </row>
    <row r="141" spans="1:14" x14ac:dyDescent="0.25">
      <c r="A141" s="134"/>
      <c r="B141" s="112"/>
      <c r="C141" s="111"/>
      <c r="D141" s="111"/>
      <c r="E141" s="109"/>
      <c r="F141" s="110"/>
      <c r="G141" s="112"/>
      <c r="H141" s="112"/>
      <c r="I141" s="112"/>
      <c r="J141" s="109"/>
      <c r="K141" s="109"/>
      <c r="L141" s="109"/>
      <c r="M141" s="109"/>
      <c r="N141" s="109"/>
    </row>
    <row r="142" spans="1:14" x14ac:dyDescent="0.25">
      <c r="A142" s="134"/>
      <c r="B142" s="112"/>
      <c r="C142" s="111"/>
      <c r="D142" s="111"/>
      <c r="E142" s="109"/>
      <c r="F142" s="110"/>
      <c r="G142" s="112"/>
      <c r="H142" s="112"/>
      <c r="I142" s="112"/>
      <c r="J142" s="109"/>
      <c r="K142" s="109"/>
      <c r="L142" s="109"/>
      <c r="M142" s="109"/>
      <c r="N142" s="109"/>
    </row>
    <row r="143" spans="1:14" x14ac:dyDescent="0.25">
      <c r="A143" s="134"/>
      <c r="B143" s="112"/>
      <c r="C143" s="111"/>
      <c r="D143" s="111"/>
      <c r="E143" s="109"/>
      <c r="F143" s="110"/>
      <c r="G143" s="112"/>
      <c r="H143" s="112"/>
      <c r="I143" s="112"/>
      <c r="J143" s="109"/>
      <c r="K143" s="109"/>
      <c r="L143" s="109"/>
      <c r="M143" s="109"/>
      <c r="N143" s="109"/>
    </row>
    <row r="144" spans="1:14" x14ac:dyDescent="0.25">
      <c r="A144" s="134"/>
      <c r="B144" s="112"/>
      <c r="C144" s="111"/>
      <c r="D144" s="111"/>
      <c r="E144" s="109"/>
      <c r="F144" s="110"/>
      <c r="G144" s="112"/>
      <c r="H144" s="112"/>
      <c r="I144" s="112"/>
      <c r="J144" s="109"/>
      <c r="K144" s="109"/>
      <c r="L144" s="109"/>
      <c r="M144" s="109"/>
      <c r="N144" s="109"/>
    </row>
    <row r="145" spans="1:14" x14ac:dyDescent="0.25">
      <c r="A145" s="134"/>
      <c r="B145" s="112"/>
      <c r="C145" s="111"/>
      <c r="D145" s="111"/>
      <c r="E145" s="109"/>
      <c r="F145" s="110"/>
      <c r="G145" s="112"/>
      <c r="H145" s="112"/>
      <c r="I145" s="112"/>
      <c r="J145" s="109"/>
      <c r="K145" s="109"/>
      <c r="L145" s="109"/>
      <c r="M145" s="109"/>
      <c r="N145" s="109"/>
    </row>
    <row r="146" spans="1:14" x14ac:dyDescent="0.25">
      <c r="A146" s="134"/>
      <c r="B146" s="112"/>
      <c r="C146" s="111"/>
      <c r="D146" s="111"/>
      <c r="E146" s="109"/>
      <c r="F146" s="110"/>
      <c r="G146" s="112"/>
      <c r="H146" s="112"/>
      <c r="I146" s="112"/>
      <c r="J146" s="109"/>
      <c r="K146" s="109"/>
      <c r="L146" s="109"/>
      <c r="M146" s="109"/>
      <c r="N146" s="109"/>
    </row>
    <row r="147" spans="1:14" x14ac:dyDescent="0.25">
      <c r="A147" s="134"/>
      <c r="B147" s="112"/>
      <c r="C147" s="111"/>
      <c r="D147" s="111"/>
      <c r="E147" s="109"/>
      <c r="F147" s="110"/>
      <c r="G147" s="112"/>
      <c r="H147" s="112"/>
      <c r="I147" s="112"/>
      <c r="J147" s="109"/>
      <c r="K147" s="109"/>
      <c r="L147" s="109"/>
      <c r="M147" s="109"/>
      <c r="N147" s="109"/>
    </row>
    <row r="148" spans="1:14" x14ac:dyDescent="0.25">
      <c r="A148" s="134"/>
      <c r="B148" s="112"/>
      <c r="C148" s="111"/>
      <c r="D148" s="111"/>
      <c r="E148" s="109"/>
      <c r="F148" s="110"/>
      <c r="G148" s="112"/>
      <c r="H148" s="112"/>
      <c r="I148" s="112"/>
      <c r="J148" s="109"/>
      <c r="K148" s="109"/>
      <c r="L148" s="109"/>
      <c r="M148" s="109"/>
      <c r="N148" s="109"/>
    </row>
    <row r="149" spans="1:14" x14ac:dyDescent="0.25">
      <c r="A149" s="134"/>
      <c r="B149" s="112"/>
      <c r="C149" s="111"/>
      <c r="D149" s="111"/>
      <c r="E149" s="109"/>
      <c r="F149" s="110"/>
      <c r="G149" s="112"/>
      <c r="H149" s="112"/>
      <c r="I149" s="112"/>
      <c r="J149" s="109"/>
      <c r="K149" s="109"/>
      <c r="L149" s="109"/>
      <c r="M149" s="109"/>
      <c r="N149" s="109"/>
    </row>
    <row r="150" spans="1:14" x14ac:dyDescent="0.25">
      <c r="A150" s="134"/>
      <c r="B150" s="112"/>
      <c r="C150" s="111"/>
      <c r="D150" s="111"/>
      <c r="E150" s="109"/>
      <c r="F150" s="110"/>
      <c r="G150" s="112"/>
      <c r="H150" s="112"/>
      <c r="I150" s="112"/>
      <c r="J150" s="109"/>
      <c r="K150" s="109"/>
      <c r="L150" s="109"/>
      <c r="M150" s="109"/>
      <c r="N150" s="109"/>
    </row>
    <row r="151" spans="1:14" x14ac:dyDescent="0.25">
      <c r="A151" s="134"/>
      <c r="B151" s="112"/>
      <c r="C151" s="111"/>
      <c r="D151" s="111"/>
      <c r="E151" s="109"/>
      <c r="F151" s="110"/>
      <c r="G151" s="112"/>
      <c r="H151" s="112"/>
      <c r="I151" s="112"/>
      <c r="J151" s="109"/>
      <c r="K151" s="109"/>
      <c r="L151" s="109"/>
      <c r="M151" s="109"/>
      <c r="N151" s="109"/>
    </row>
    <row r="152" spans="1:14" x14ac:dyDescent="0.25">
      <c r="A152" s="134"/>
      <c r="B152" s="112"/>
      <c r="C152" s="111"/>
      <c r="D152" s="111"/>
      <c r="E152" s="109"/>
      <c r="F152" s="110"/>
      <c r="G152" s="112"/>
      <c r="H152" s="112"/>
      <c r="I152" s="112"/>
      <c r="J152" s="109"/>
      <c r="K152" s="109"/>
      <c r="L152" s="109"/>
      <c r="M152" s="109"/>
      <c r="N152" s="109"/>
    </row>
    <row r="153" spans="1:14" x14ac:dyDescent="0.25">
      <c r="A153" s="134"/>
      <c r="B153" s="112"/>
      <c r="C153" s="111"/>
      <c r="D153" s="111"/>
      <c r="E153" s="109"/>
      <c r="F153" s="110"/>
      <c r="G153" s="112"/>
      <c r="H153" s="112"/>
      <c r="I153" s="112"/>
      <c r="J153" s="109"/>
      <c r="K153" s="109"/>
      <c r="L153" s="109"/>
      <c r="M153" s="109"/>
      <c r="N153" s="109"/>
    </row>
    <row r="154" spans="1:14" x14ac:dyDescent="0.25">
      <c r="A154" s="134"/>
      <c r="B154" s="112"/>
      <c r="C154" s="111"/>
      <c r="D154" s="111"/>
      <c r="E154" s="109"/>
      <c r="F154" s="110"/>
      <c r="G154" s="112"/>
      <c r="H154" s="112"/>
      <c r="I154" s="112"/>
      <c r="J154" s="109"/>
      <c r="K154" s="109"/>
      <c r="L154" s="109"/>
      <c r="M154" s="109"/>
      <c r="N154" s="109"/>
    </row>
    <row r="155" spans="1:14" x14ac:dyDescent="0.25">
      <c r="A155" s="134"/>
      <c r="B155" s="112"/>
      <c r="C155" s="111"/>
      <c r="D155" s="111"/>
      <c r="E155" s="109"/>
      <c r="F155" s="110"/>
      <c r="G155" s="112"/>
      <c r="H155" s="112"/>
      <c r="I155" s="112"/>
      <c r="J155" s="109"/>
      <c r="K155" s="109"/>
      <c r="L155" s="109"/>
      <c r="M155" s="109"/>
      <c r="N155" s="109"/>
    </row>
  </sheetData>
  <autoFilter ref="B1:M8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opLeftCell="A13" zoomScale="85" zoomScaleNormal="85" zoomScaleSheetLayoutView="70" workbookViewId="0">
      <selection activeCell="R69" sqref="R69"/>
    </sheetView>
  </sheetViews>
  <sheetFormatPr defaultRowHeight="15" x14ac:dyDescent="0.25"/>
  <cols>
    <col min="1" max="1" width="10.42578125" customWidth="1"/>
    <col min="2" max="2" width="8.7109375" customWidth="1"/>
    <col min="3" max="5" width="8.42578125" customWidth="1"/>
    <col min="6" max="7" width="13.42578125" customWidth="1"/>
    <col min="8" max="9" width="9.5703125" customWidth="1"/>
    <col min="10" max="12" width="9.140625" customWidth="1"/>
    <col min="13" max="18" width="7.85546875" customWidth="1"/>
  </cols>
  <sheetData>
    <row r="1" spans="1:17" ht="18.75" x14ac:dyDescent="0.3">
      <c r="A1" s="163" t="s">
        <v>653</v>
      </c>
      <c r="I1" s="163" t="s">
        <v>654</v>
      </c>
    </row>
    <row r="2" spans="1:17" ht="15" customHeight="1" x14ac:dyDescent="0.25">
      <c r="B2" s="164">
        <v>1</v>
      </c>
      <c r="C2" s="164">
        <v>2</v>
      </c>
      <c r="D2" s="164">
        <v>3</v>
      </c>
      <c r="E2" s="164">
        <v>4</v>
      </c>
      <c r="F2" s="164">
        <v>5</v>
      </c>
      <c r="G2" s="164">
        <v>6</v>
      </c>
      <c r="I2" s="164">
        <v>1</v>
      </c>
      <c r="J2" s="164">
        <v>2</v>
      </c>
      <c r="K2" s="164">
        <v>3</v>
      </c>
      <c r="L2" s="164">
        <v>4</v>
      </c>
      <c r="M2" s="164">
        <v>5</v>
      </c>
      <c r="N2" s="164">
        <v>6</v>
      </c>
      <c r="O2" s="164">
        <v>7</v>
      </c>
      <c r="P2" s="164">
        <v>8</v>
      </c>
      <c r="Q2" s="164">
        <v>9</v>
      </c>
    </row>
    <row r="3" spans="1:17" s="167" customFormat="1" ht="30" customHeight="1" thickBot="1" x14ac:dyDescent="0.3">
      <c r="A3" s="165" t="s">
        <v>655</v>
      </c>
      <c r="B3" s="165" t="s">
        <v>656</v>
      </c>
      <c r="C3" s="355" t="s">
        <v>657</v>
      </c>
      <c r="D3" s="356"/>
      <c r="E3" s="357"/>
      <c r="F3" s="165" t="s">
        <v>658</v>
      </c>
      <c r="G3" s="166" t="s">
        <v>659</v>
      </c>
      <c r="I3" s="165" t="s">
        <v>656</v>
      </c>
      <c r="J3" s="355" t="s">
        <v>660</v>
      </c>
      <c r="K3" s="356"/>
      <c r="L3" s="356"/>
      <c r="M3" s="356"/>
      <c r="N3" s="356"/>
      <c r="O3" s="357"/>
      <c r="P3" s="358" t="s">
        <v>658</v>
      </c>
      <c r="Q3" s="168" t="s">
        <v>659</v>
      </c>
    </row>
    <row r="4" spans="1:17" s="167" customFormat="1" ht="16.5" customHeight="1" thickTop="1" thickBot="1" x14ac:dyDescent="0.3">
      <c r="A4" s="165"/>
      <c r="B4" s="169"/>
      <c r="C4" s="169" t="s">
        <v>661</v>
      </c>
      <c r="D4" s="169" t="s">
        <v>662</v>
      </c>
      <c r="E4" s="169" t="s">
        <v>663</v>
      </c>
      <c r="F4" s="169"/>
      <c r="G4" s="169"/>
      <c r="I4" s="169"/>
      <c r="J4" s="169" t="s">
        <v>664</v>
      </c>
      <c r="K4" s="169" t="s">
        <v>665</v>
      </c>
      <c r="L4" s="169" t="s">
        <v>663</v>
      </c>
      <c r="M4" s="169" t="s">
        <v>666</v>
      </c>
      <c r="N4" s="169" t="s">
        <v>667</v>
      </c>
      <c r="O4" s="169" t="s">
        <v>668</v>
      </c>
      <c r="P4" s="358"/>
      <c r="Q4" s="170"/>
    </row>
    <row r="5" spans="1:17" ht="16.5" thickTop="1" thickBot="1" x14ac:dyDescent="0.3">
      <c r="A5" s="359" t="s">
        <v>669</v>
      </c>
      <c r="B5" s="171">
        <v>3.6</v>
      </c>
      <c r="C5" s="172">
        <v>180</v>
      </c>
      <c r="D5" s="172">
        <v>180</v>
      </c>
      <c r="E5" s="172">
        <v>180</v>
      </c>
      <c r="F5" s="172">
        <v>330</v>
      </c>
      <c r="G5" s="173">
        <v>25</v>
      </c>
      <c r="I5" s="169"/>
      <c r="J5" s="169"/>
      <c r="K5" s="169" t="s">
        <v>670</v>
      </c>
      <c r="L5" s="169" t="s">
        <v>671</v>
      </c>
      <c r="M5" s="169" t="s">
        <v>672</v>
      </c>
      <c r="N5" s="169" t="s">
        <v>673</v>
      </c>
      <c r="O5" s="169" t="s">
        <v>674</v>
      </c>
      <c r="P5" s="358"/>
      <c r="Q5" s="174"/>
    </row>
    <row r="6" spans="1:17" ht="15.75" thickTop="1" x14ac:dyDescent="0.25">
      <c r="A6" s="360"/>
      <c r="B6" s="175">
        <v>4.5999999999999996</v>
      </c>
      <c r="C6" s="176">
        <v>240</v>
      </c>
      <c r="D6" s="176">
        <v>240</v>
      </c>
      <c r="E6" s="176">
        <v>240</v>
      </c>
      <c r="F6" s="176">
        <v>400</v>
      </c>
      <c r="G6" s="177">
        <v>22</v>
      </c>
      <c r="I6" s="178" t="s">
        <v>675</v>
      </c>
      <c r="J6" s="179">
        <v>235</v>
      </c>
      <c r="K6" s="179">
        <f>J6-10</f>
        <v>225</v>
      </c>
      <c r="L6" s="179">
        <f t="shared" ref="L6:O6" si="0">K6-10</f>
        <v>215</v>
      </c>
      <c r="M6" s="179">
        <f t="shared" si="0"/>
        <v>205</v>
      </c>
      <c r="N6" s="179">
        <f t="shared" si="0"/>
        <v>195</v>
      </c>
      <c r="O6" s="179">
        <f t="shared" si="0"/>
        <v>185</v>
      </c>
      <c r="P6" s="179">
        <v>340</v>
      </c>
      <c r="Q6" s="179">
        <v>24</v>
      </c>
    </row>
    <row r="7" spans="1:17" x14ac:dyDescent="0.25">
      <c r="A7" s="360"/>
      <c r="B7" s="171">
        <v>4.8</v>
      </c>
      <c r="C7" s="172">
        <v>320</v>
      </c>
      <c r="D7" s="172">
        <v>320</v>
      </c>
      <c r="E7" s="172">
        <v>320</v>
      </c>
      <c r="F7" s="172">
        <v>420</v>
      </c>
      <c r="G7" s="173">
        <v>14</v>
      </c>
      <c r="I7" s="178" t="s">
        <v>676</v>
      </c>
      <c r="J7" s="179">
        <v>275</v>
      </c>
      <c r="K7" s="179">
        <v>265</v>
      </c>
      <c r="L7" s="179">
        <v>255</v>
      </c>
      <c r="M7" s="179">
        <v>245</v>
      </c>
      <c r="N7" s="179">
        <v>235</v>
      </c>
      <c r="O7" s="179">
        <v>225</v>
      </c>
      <c r="P7" s="179">
        <v>410</v>
      </c>
      <c r="Q7" s="179">
        <v>20</v>
      </c>
    </row>
    <row r="8" spans="1:17" x14ac:dyDescent="0.25">
      <c r="A8" s="360"/>
      <c r="B8" s="175">
        <v>5.6</v>
      </c>
      <c r="C8" s="176">
        <v>300</v>
      </c>
      <c r="D8" s="176">
        <v>300</v>
      </c>
      <c r="E8" s="176">
        <v>300</v>
      </c>
      <c r="F8" s="176">
        <v>500</v>
      </c>
      <c r="G8" s="177">
        <v>20</v>
      </c>
      <c r="I8" s="178" t="s">
        <v>677</v>
      </c>
      <c r="J8" s="179">
        <v>355</v>
      </c>
      <c r="K8" s="179">
        <v>345</v>
      </c>
      <c r="L8" s="179">
        <v>335</v>
      </c>
      <c r="M8" s="179">
        <v>325</v>
      </c>
      <c r="N8" s="179">
        <v>315</v>
      </c>
      <c r="O8" s="179">
        <v>295</v>
      </c>
      <c r="P8" s="179">
        <v>490</v>
      </c>
      <c r="Q8" s="179">
        <v>20</v>
      </c>
    </row>
    <row r="9" spans="1:17" x14ac:dyDescent="0.25">
      <c r="A9" s="360"/>
      <c r="B9" s="171">
        <v>5.8</v>
      </c>
      <c r="C9" s="172">
        <v>400</v>
      </c>
      <c r="D9" s="172">
        <v>400</v>
      </c>
      <c r="E9" s="172">
        <v>400</v>
      </c>
      <c r="F9" s="172">
        <v>520</v>
      </c>
      <c r="G9" s="173">
        <v>10</v>
      </c>
      <c r="I9" s="178" t="s">
        <v>678</v>
      </c>
      <c r="J9" s="179">
        <v>420</v>
      </c>
      <c r="K9" s="179">
        <v>400</v>
      </c>
      <c r="L9" s="179">
        <v>390</v>
      </c>
      <c r="M9" s="179">
        <v>370</v>
      </c>
      <c r="N9" s="179">
        <v>360</v>
      </c>
      <c r="O9" s="179">
        <v>340</v>
      </c>
      <c r="P9" s="179">
        <v>500</v>
      </c>
      <c r="Q9" s="179">
        <v>19</v>
      </c>
    </row>
    <row r="10" spans="1:17" x14ac:dyDescent="0.25">
      <c r="A10" s="360"/>
      <c r="B10" s="175">
        <v>6.8</v>
      </c>
      <c r="C10" s="176">
        <v>480</v>
      </c>
      <c r="D10" s="176">
        <v>480</v>
      </c>
      <c r="E10" s="176">
        <v>480</v>
      </c>
      <c r="F10" s="176">
        <v>600</v>
      </c>
      <c r="G10" s="177">
        <v>8</v>
      </c>
      <c r="I10" s="178" t="s">
        <v>679</v>
      </c>
      <c r="J10" s="179">
        <v>460</v>
      </c>
      <c r="K10" s="179">
        <v>440</v>
      </c>
      <c r="L10" s="179">
        <v>430</v>
      </c>
      <c r="M10" s="179">
        <v>410</v>
      </c>
      <c r="N10" s="179">
        <v>400</v>
      </c>
      <c r="O10" s="179">
        <v>380</v>
      </c>
      <c r="P10" s="179">
        <v>530</v>
      </c>
      <c r="Q10" s="179">
        <v>17</v>
      </c>
    </row>
    <row r="11" spans="1:17" x14ac:dyDescent="0.25">
      <c r="A11" s="360"/>
      <c r="B11" s="171">
        <v>8.8000000000000007</v>
      </c>
      <c r="C11" s="172">
        <v>640</v>
      </c>
      <c r="D11" s="172">
        <v>640</v>
      </c>
      <c r="E11" s="172">
        <v>640</v>
      </c>
      <c r="F11" s="172">
        <v>800</v>
      </c>
      <c r="G11" s="173">
        <v>12</v>
      </c>
      <c r="H11" s="180"/>
    </row>
    <row r="12" spans="1:17" x14ac:dyDescent="0.25">
      <c r="A12" s="360"/>
      <c r="B12" s="175">
        <v>8.8000000000000007</v>
      </c>
      <c r="C12" s="176">
        <v>640</v>
      </c>
      <c r="D12" s="176">
        <v>640</v>
      </c>
      <c r="E12" s="176">
        <v>640</v>
      </c>
      <c r="F12" s="176">
        <v>830</v>
      </c>
      <c r="G12" s="177">
        <v>12</v>
      </c>
    </row>
    <row r="13" spans="1:17" ht="15" customHeight="1" x14ac:dyDescent="0.25">
      <c r="A13" s="360"/>
      <c r="B13" s="171">
        <v>9.8000000000000007</v>
      </c>
      <c r="C13" s="172">
        <v>720</v>
      </c>
      <c r="D13" s="172">
        <v>720</v>
      </c>
      <c r="E13" s="172">
        <v>720</v>
      </c>
      <c r="F13" s="172">
        <v>900</v>
      </c>
      <c r="G13" s="173">
        <v>10</v>
      </c>
    </row>
    <row r="14" spans="1:17" x14ac:dyDescent="0.25">
      <c r="A14" s="360"/>
      <c r="B14" s="175">
        <v>10.9</v>
      </c>
      <c r="C14" s="176">
        <v>940</v>
      </c>
      <c r="D14" s="176">
        <v>940</v>
      </c>
      <c r="E14" s="176">
        <v>940</v>
      </c>
      <c r="F14" s="176">
        <v>1040</v>
      </c>
      <c r="G14" s="177">
        <v>9</v>
      </c>
    </row>
    <row r="15" spans="1:17" x14ac:dyDescent="0.25">
      <c r="A15" s="360"/>
      <c r="B15" s="171">
        <v>12.9</v>
      </c>
      <c r="C15" s="172">
        <v>1100</v>
      </c>
      <c r="D15" s="172">
        <v>1100</v>
      </c>
      <c r="E15" s="172">
        <v>1100</v>
      </c>
      <c r="F15" s="172">
        <v>1220</v>
      </c>
      <c r="G15" s="173">
        <v>8</v>
      </c>
    </row>
    <row r="16" spans="1:17" x14ac:dyDescent="0.25">
      <c r="A16" s="360"/>
      <c r="B16" s="175" t="s">
        <v>680</v>
      </c>
      <c r="C16" s="176">
        <v>160</v>
      </c>
      <c r="D16" s="176">
        <v>160</v>
      </c>
      <c r="E16" s="176">
        <v>160</v>
      </c>
      <c r="F16" s="176" t="s">
        <v>681</v>
      </c>
      <c r="G16" s="177">
        <v>30</v>
      </c>
    </row>
    <row r="17" spans="1:16" ht="15.75" thickBot="1" x14ac:dyDescent="0.3">
      <c r="A17" s="360"/>
      <c r="B17" s="181" t="s">
        <v>682</v>
      </c>
      <c r="C17" s="182">
        <v>190</v>
      </c>
      <c r="D17" s="182">
        <v>190</v>
      </c>
      <c r="E17" s="182">
        <v>190</v>
      </c>
      <c r="F17" s="182" t="s">
        <v>683</v>
      </c>
      <c r="G17" s="183">
        <v>20</v>
      </c>
    </row>
    <row r="18" spans="1:16" ht="15.75" thickTop="1" x14ac:dyDescent="0.25">
      <c r="A18" s="361" t="s">
        <v>684</v>
      </c>
      <c r="B18" s="178" t="s">
        <v>685</v>
      </c>
      <c r="C18" s="179">
        <v>250</v>
      </c>
      <c r="D18" s="179">
        <v>240</v>
      </c>
      <c r="E18" s="179">
        <v>230</v>
      </c>
      <c r="F18" s="179">
        <v>410</v>
      </c>
      <c r="G18" s="184">
        <v>23</v>
      </c>
    </row>
    <row r="19" spans="1:16" x14ac:dyDescent="0.25">
      <c r="A19" s="361"/>
      <c r="B19" s="185" t="s">
        <v>686</v>
      </c>
      <c r="C19" s="186">
        <v>275</v>
      </c>
      <c r="D19" s="186">
        <v>265</v>
      </c>
      <c r="E19" s="186">
        <v>255</v>
      </c>
      <c r="F19" s="186">
        <v>430</v>
      </c>
      <c r="G19" s="187">
        <v>22</v>
      </c>
    </row>
    <row r="20" spans="1:16" x14ac:dyDescent="0.25">
      <c r="A20" s="361"/>
      <c r="B20" s="178" t="s">
        <v>687</v>
      </c>
      <c r="C20" s="179">
        <v>300</v>
      </c>
      <c r="D20" s="179">
        <v>290</v>
      </c>
      <c r="E20" s="179">
        <v>280</v>
      </c>
      <c r="F20" s="179">
        <v>440</v>
      </c>
      <c r="G20" s="184">
        <v>22</v>
      </c>
    </row>
    <row r="21" spans="1:16" x14ac:dyDescent="0.25">
      <c r="A21" s="361"/>
      <c r="B21" s="185" t="s">
        <v>652</v>
      </c>
      <c r="C21" s="186">
        <v>350</v>
      </c>
      <c r="D21" s="186">
        <v>330</v>
      </c>
      <c r="E21" s="186">
        <v>320</v>
      </c>
      <c r="F21" s="186">
        <v>490</v>
      </c>
      <c r="G21" s="187">
        <v>22</v>
      </c>
    </row>
    <row r="22" spans="1:16" x14ac:dyDescent="0.25">
      <c r="A22" s="361"/>
      <c r="B22" s="178" t="s">
        <v>688</v>
      </c>
      <c r="C22" s="179">
        <v>410</v>
      </c>
      <c r="D22" s="179">
        <v>390</v>
      </c>
      <c r="E22" s="179">
        <v>380</v>
      </c>
      <c r="F22" s="179">
        <v>540</v>
      </c>
      <c r="G22" s="184">
        <v>20</v>
      </c>
    </row>
    <row r="23" spans="1:16" x14ac:dyDescent="0.25">
      <c r="A23" s="361"/>
      <c r="B23" s="185" t="s">
        <v>689</v>
      </c>
      <c r="C23" s="186">
        <v>450</v>
      </c>
      <c r="D23" s="186">
        <v>430</v>
      </c>
      <c r="E23" s="186">
        <v>420</v>
      </c>
      <c r="F23" s="186">
        <v>570</v>
      </c>
      <c r="G23" s="187">
        <v>20</v>
      </c>
    </row>
    <row r="24" spans="1:16" x14ac:dyDescent="0.25">
      <c r="A24" s="361"/>
      <c r="B24" s="178" t="s">
        <v>690</v>
      </c>
      <c r="C24" s="179">
        <v>550</v>
      </c>
      <c r="D24" s="179">
        <v>530</v>
      </c>
      <c r="E24" s="179">
        <v>520</v>
      </c>
      <c r="F24" s="179">
        <v>650</v>
      </c>
      <c r="G24" s="184">
        <v>12</v>
      </c>
      <c r="P24" s="112"/>
    </row>
    <row r="25" spans="1:16" x14ac:dyDescent="0.25">
      <c r="A25" s="361"/>
      <c r="B25" s="185" t="s">
        <v>691</v>
      </c>
      <c r="C25" s="186">
        <v>600</v>
      </c>
      <c r="D25" s="186">
        <v>580</v>
      </c>
      <c r="E25" s="186">
        <v>570</v>
      </c>
      <c r="F25" s="186">
        <v>730</v>
      </c>
      <c r="G25" s="187">
        <v>12</v>
      </c>
    </row>
    <row r="26" spans="1:16" ht="15.75" thickBot="1" x14ac:dyDescent="0.3">
      <c r="A26" s="361"/>
      <c r="B26" s="188" t="s">
        <v>692</v>
      </c>
      <c r="C26" s="189">
        <v>650</v>
      </c>
      <c r="D26" s="189">
        <v>630</v>
      </c>
      <c r="E26" s="189">
        <v>620</v>
      </c>
      <c r="F26" s="189">
        <v>780</v>
      </c>
      <c r="G26" s="190">
        <v>12</v>
      </c>
    </row>
    <row r="27" spans="1:16" ht="15.75" thickTop="1" x14ac:dyDescent="0.25">
      <c r="A27" s="362" t="s">
        <v>693</v>
      </c>
      <c r="B27" s="191" t="s">
        <v>694</v>
      </c>
      <c r="C27" s="192">
        <v>210</v>
      </c>
      <c r="D27" s="192">
        <v>210</v>
      </c>
      <c r="E27" s="192">
        <v>210</v>
      </c>
      <c r="F27" s="192">
        <v>330</v>
      </c>
      <c r="G27" s="193">
        <v>12</v>
      </c>
      <c r="P27" s="112"/>
    </row>
    <row r="28" spans="1:16" x14ac:dyDescent="0.25">
      <c r="A28" s="362"/>
      <c r="B28" s="194" t="s">
        <v>695</v>
      </c>
      <c r="C28" s="195">
        <v>240</v>
      </c>
      <c r="D28" s="195">
        <v>240</v>
      </c>
      <c r="E28" s="195">
        <v>240</v>
      </c>
      <c r="F28" s="195">
        <v>410</v>
      </c>
      <c r="G28" s="196">
        <v>10</v>
      </c>
    </row>
    <row r="29" spans="1:16" x14ac:dyDescent="0.25">
      <c r="A29" s="362"/>
      <c r="B29" s="191" t="s">
        <v>696</v>
      </c>
      <c r="C29" s="192">
        <v>310</v>
      </c>
      <c r="D29" s="192">
        <v>310</v>
      </c>
      <c r="E29" s="192">
        <v>310</v>
      </c>
      <c r="F29" s="192">
        <v>450</v>
      </c>
      <c r="G29" s="193">
        <v>8</v>
      </c>
    </row>
    <row r="30" spans="1:16" x14ac:dyDescent="0.25">
      <c r="A30" s="353" t="s">
        <v>697</v>
      </c>
      <c r="B30" s="197" t="s">
        <v>698</v>
      </c>
      <c r="C30" s="198">
        <v>415</v>
      </c>
      <c r="D30" s="198">
        <v>415</v>
      </c>
      <c r="E30" s="198">
        <v>415</v>
      </c>
      <c r="F30" s="198">
        <f>MAX(1.1*C30,485)</f>
        <v>485</v>
      </c>
      <c r="G30" s="199">
        <v>14.5</v>
      </c>
    </row>
    <row r="31" spans="1:16" x14ac:dyDescent="0.25">
      <c r="A31" s="353"/>
      <c r="B31" s="200" t="s">
        <v>699</v>
      </c>
      <c r="C31" s="201">
        <v>415</v>
      </c>
      <c r="D31" s="201">
        <v>415</v>
      </c>
      <c r="E31" s="201">
        <v>415</v>
      </c>
      <c r="F31" s="201">
        <f>MAX(1.12*C31,500)</f>
        <v>500</v>
      </c>
      <c r="G31" s="202">
        <v>18</v>
      </c>
    </row>
    <row r="32" spans="1:16" x14ac:dyDescent="0.25">
      <c r="A32" s="353"/>
      <c r="B32" s="197" t="s">
        <v>700</v>
      </c>
      <c r="C32" s="198">
        <v>500</v>
      </c>
      <c r="D32" s="198">
        <v>500</v>
      </c>
      <c r="E32" s="198">
        <v>500</v>
      </c>
      <c r="F32" s="198">
        <f>MAX(1.08*C32,545)</f>
        <v>545</v>
      </c>
      <c r="G32" s="199">
        <v>12</v>
      </c>
    </row>
    <row r="33" spans="1:7" x14ac:dyDescent="0.25">
      <c r="A33" s="353"/>
      <c r="B33" s="200" t="s">
        <v>701</v>
      </c>
      <c r="C33" s="201">
        <v>500</v>
      </c>
      <c r="D33" s="201">
        <v>500</v>
      </c>
      <c r="E33" s="201">
        <v>500</v>
      </c>
      <c r="F33" s="201">
        <f>MAX(1.1*C33,565)</f>
        <v>565</v>
      </c>
      <c r="G33" s="202">
        <v>16</v>
      </c>
    </row>
    <row r="34" spans="1:7" x14ac:dyDescent="0.25">
      <c r="A34" s="353"/>
      <c r="B34" s="197" t="s">
        <v>702</v>
      </c>
      <c r="C34" s="198">
        <v>550</v>
      </c>
      <c r="D34" s="198">
        <v>550</v>
      </c>
      <c r="E34" s="198">
        <v>550</v>
      </c>
      <c r="F34" s="198">
        <f>MAX(1.06*C34,585)</f>
        <v>585</v>
      </c>
      <c r="G34" s="199">
        <v>10</v>
      </c>
    </row>
    <row r="35" spans="1:7" x14ac:dyDescent="0.25">
      <c r="A35" s="353"/>
      <c r="B35" s="200" t="s">
        <v>703</v>
      </c>
      <c r="C35" s="201">
        <v>550</v>
      </c>
      <c r="D35" s="201">
        <v>550</v>
      </c>
      <c r="E35" s="201">
        <v>550</v>
      </c>
      <c r="F35" s="201">
        <f>MAX(1.08*C35,600)</f>
        <v>600</v>
      </c>
      <c r="G35" s="202">
        <v>14.5</v>
      </c>
    </row>
    <row r="36" spans="1:7" ht="15.75" thickBot="1" x14ac:dyDescent="0.3">
      <c r="A36" s="354"/>
      <c r="B36" s="203" t="s">
        <v>704</v>
      </c>
      <c r="C36" s="204">
        <v>600</v>
      </c>
      <c r="D36" s="204">
        <v>600</v>
      </c>
      <c r="E36" s="204">
        <v>600</v>
      </c>
      <c r="F36" s="204">
        <f>MAX(1.06*C36,660)</f>
        <v>660</v>
      </c>
      <c r="G36" s="205">
        <v>10</v>
      </c>
    </row>
    <row r="37" spans="1:7" ht="15.75" thickTop="1" x14ac:dyDescent="0.25"/>
  </sheetData>
  <mergeCells count="7">
    <mergeCell ref="A30:A36"/>
    <mergeCell ref="C3:E3"/>
    <mergeCell ref="J3:O3"/>
    <mergeCell ref="P3:P5"/>
    <mergeCell ref="A5:A17"/>
    <mergeCell ref="A18:A26"/>
    <mergeCell ref="A27:A29"/>
  </mergeCells>
  <pageMargins left="0.25" right="0.25" top="0.75" bottom="0.75" header="0.3" footer="0.3"/>
  <pageSetup paperSize="9" scale="59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15"/>
  <sheetViews>
    <sheetView zoomScale="85" zoomScaleNormal="85" workbookViewId="0">
      <pane xSplit="2" ySplit="1" topLeftCell="C2" activePane="bottomRight" state="frozen"/>
      <selection activeCell="R69" sqref="R69"/>
      <selection pane="topRight" activeCell="R69" sqref="R69"/>
      <selection pane="bottomLeft" activeCell="R69" sqref="R69"/>
      <selection pane="bottomRight" activeCell="N8" sqref="N8"/>
    </sheetView>
  </sheetViews>
  <sheetFormatPr defaultRowHeight="15" x14ac:dyDescent="0.25"/>
  <cols>
    <col min="1" max="1" width="12.42578125" customWidth="1"/>
    <col min="2" max="4" width="9.28515625" customWidth="1"/>
    <col min="5" max="5" width="8.7109375" customWidth="1"/>
    <col min="6" max="9" width="10.85546875" customWidth="1"/>
    <col min="10" max="11" width="10.42578125" customWidth="1"/>
    <col min="12" max="13" width="9.85546875" customWidth="1"/>
    <col min="14" max="20" width="9.140625" customWidth="1"/>
  </cols>
  <sheetData>
    <row r="1" spans="1:36" ht="75.75" thickBot="1" x14ac:dyDescent="0.3">
      <c r="A1" s="136" t="s">
        <v>25</v>
      </c>
      <c r="B1" s="138" t="s">
        <v>416</v>
      </c>
      <c r="C1" s="137" t="s">
        <v>431</v>
      </c>
      <c r="D1" s="137" t="s">
        <v>432</v>
      </c>
      <c r="E1" s="137" t="s">
        <v>433</v>
      </c>
      <c r="F1" s="137" t="s">
        <v>434</v>
      </c>
      <c r="G1" s="137" t="s">
        <v>435</v>
      </c>
      <c r="H1" s="137" t="s">
        <v>436</v>
      </c>
      <c r="I1" s="137" t="s">
        <v>437</v>
      </c>
      <c r="J1" s="137" t="s">
        <v>438</v>
      </c>
      <c r="K1" s="137" t="s">
        <v>439</v>
      </c>
      <c r="L1" s="137" t="s">
        <v>440</v>
      </c>
      <c r="M1" s="137" t="s">
        <v>441</v>
      </c>
      <c r="N1" s="137" t="s">
        <v>442</v>
      </c>
      <c r="O1" s="137" t="s">
        <v>443</v>
      </c>
      <c r="P1" s="137" t="s">
        <v>444</v>
      </c>
      <c r="Q1" s="137" t="s">
        <v>445</v>
      </c>
      <c r="R1" s="137" t="s">
        <v>446</v>
      </c>
      <c r="S1" s="137" t="s">
        <v>706</v>
      </c>
      <c r="T1" s="143" t="s">
        <v>426</v>
      </c>
      <c r="U1" s="139" t="s">
        <v>992</v>
      </c>
      <c r="V1" s="141" t="s">
        <v>645</v>
      </c>
      <c r="W1" s="141" t="s">
        <v>646</v>
      </c>
      <c r="X1" s="141" t="s">
        <v>647</v>
      </c>
      <c r="Y1" s="141" t="s">
        <v>648</v>
      </c>
      <c r="Z1" s="141" t="s">
        <v>649</v>
      </c>
      <c r="AA1" s="141" t="s">
        <v>650</v>
      </c>
      <c r="AB1" s="141" t="s">
        <v>651</v>
      </c>
      <c r="AC1" s="142" t="s">
        <v>1002</v>
      </c>
      <c r="AD1" s="238" t="s">
        <v>993</v>
      </c>
      <c r="AE1" s="239" t="s">
        <v>647</v>
      </c>
      <c r="AF1" s="239" t="s">
        <v>648</v>
      </c>
      <c r="AG1" s="239" t="s">
        <v>649</v>
      </c>
      <c r="AH1" s="239" t="s">
        <v>650</v>
      </c>
      <c r="AI1" s="239" t="s">
        <v>651</v>
      </c>
      <c r="AJ1" s="240" t="s">
        <v>1002</v>
      </c>
    </row>
    <row r="2" spans="1:36" s="254" customFormat="1" x14ac:dyDescent="0.25">
      <c r="A2" s="255" t="str">
        <f>"NB"&amp;B2&amp;"X"&amp;E2</f>
        <v>NB32X3.2</v>
      </c>
      <c r="B2" s="242">
        <v>32</v>
      </c>
      <c r="C2" s="243">
        <v>42.4</v>
      </c>
      <c r="D2" s="242">
        <v>0</v>
      </c>
      <c r="E2" s="244">
        <v>3.2</v>
      </c>
      <c r="F2" s="256">
        <f>PI()/4*(C2^2-(C2-2*E2)^2)/10^2</f>
        <v>3.9408138246630364</v>
      </c>
      <c r="G2" s="257">
        <f>F2*7850/10^4</f>
        <v>3.0935388523604836</v>
      </c>
      <c r="H2" s="257">
        <f>PI()/64*(C2^4-(C2-2*E2)^4)/10^4</f>
        <v>7.6199576113684468</v>
      </c>
      <c r="I2" s="257">
        <f>PI()/64*(C2^4-(C2-2*E2)^4)/10^4</f>
        <v>7.6199576113684468</v>
      </c>
      <c r="J2" s="257">
        <f t="shared" ref="J2" si="0">SQRT(H2/F2)</f>
        <v>1.3905394636614956</v>
      </c>
      <c r="K2" s="257">
        <f>SQRT(I2/F2)</f>
        <v>1.3905394636614956</v>
      </c>
      <c r="L2" s="257">
        <f t="shared" ref="L2" si="1">PI()/32*(C2^4-(C2-2*E2)^4)/C2/10^3</f>
        <v>3.5943196280039844</v>
      </c>
      <c r="M2" s="257">
        <f>PI()/32*(C2^4-(C2-2*E2)^4)/C2/10^3</f>
        <v>3.5943196280039844</v>
      </c>
      <c r="N2" s="257">
        <f>(C2^3-(C2-2*E2)^3)/6/10^3</f>
        <v>4.9281706666666647</v>
      </c>
      <c r="O2" s="257">
        <f>(C2^3-(C2-2*E2)^3)/6/10^3</f>
        <v>4.9281706666666647</v>
      </c>
      <c r="P2" s="257">
        <f>2*MIN(H2,I2)</f>
        <v>15.239915222736894</v>
      </c>
      <c r="Q2" s="257">
        <f>2*MIN(L2,M2)</f>
        <v>7.1886392560079688</v>
      </c>
      <c r="R2" s="257">
        <f>PI()*C2/10</f>
        <v>13.320352851220722</v>
      </c>
      <c r="S2" s="258">
        <f>(2*F2/PI())/F2</f>
        <v>0.63661977236758138</v>
      </c>
      <c r="T2" s="259" t="s">
        <v>425</v>
      </c>
      <c r="U2" s="260" t="s">
        <v>652</v>
      </c>
      <c r="V2" s="253">
        <f>VLOOKUP($U2,GRADE!$B$5:$E$36,IF($E2&lt;=20,2,IF($E2&lt;=40,3,4)),FALSE)</f>
        <v>350</v>
      </c>
      <c r="W2" s="253">
        <f>VLOOKUP($U2,GRADE!$B$5:$F$36,5,FALSE)</f>
        <v>490</v>
      </c>
      <c r="X2" s="253">
        <f t="shared" ref="X2" si="2">IF((C2/E2)&lt;=(42*(SQRT(250/V2)^2)),1,IF((C2/E2)&lt;=(52*(SQRT(250/V2)^2)),2,IF((C2/E2)&lt;=(146*(SQRT(250/V2)^2)),3,4)))</f>
        <v>1</v>
      </c>
      <c r="Y2" s="256">
        <f>MIN((F2*10^2*V2/1.1),(0.9*F2*10^2*1*W2/1.25))/10^3</f>
        <v>125.38953078473295</v>
      </c>
      <c r="Z2" s="256">
        <f>MIN(IF(X2&lt;=2,1,IF(X2=3,L2/N2,0))*N2,1.2*L2)*V2/1.1/10^3</f>
        <v>1.3723765852378846</v>
      </c>
      <c r="AA2" s="256">
        <f>MIN(IF(X2&lt;=2,1,IF(X2=3,M2/O2,0))*O2,1.2*M2)*V2/1.1/10^3</f>
        <v>1.3723765852378846</v>
      </c>
      <c r="AB2" s="256">
        <f>IF((C2/E2)&gt;(67*SQRT(250/V2)),0,(2*F2/PI())*V2/SQRT(3)/1.1/10)</f>
        <v>46.087247670002412</v>
      </c>
      <c r="AC2" s="261">
        <f>IF((C2/E2)&gt;(67*SQRT(250/V2)),0,(2*F2/PI())*V2/SQRT(3)/1.1/10)</f>
        <v>46.087247670002412</v>
      </c>
      <c r="AD2" s="252">
        <v>40</v>
      </c>
      <c r="AE2" s="253">
        <f>IF((C2/E2)&lt;=(0.09*2.1*10^5/V2),1,IF((C2/E2)&lt;=(0.31*2.1*10^5/V2),2,IF((C2/E2)&lt;=(0.31*2.1*10^5/V2),3,4)))</f>
        <v>1</v>
      </c>
      <c r="AF2" s="256">
        <f>0.9*(V2*F2*10^2)/10^3</f>
        <v>124.13563547688564</v>
      </c>
      <c r="AG2" s="256">
        <f>0.9*IF(AE2=1,MIN(((V2*(N2*10^3))+(0.5*0.95*0.85*AD2*((C2-2*E2)^3)/6))/10^6,((V2*((C2^3-(C2-2*E2)^3)/6)*SIN((PI()-MAX((0.026*0.85*AD2*(C2-2*E2)^2-2*V2*((C2-E2)/E2)*E2)/(0.0848*0.85*AD2*(C2-2*E2)^2)+(SQRT(ABS(((0.026*0.85*AD2*(C2-2*E2)^2)+(2*V2*((C2-E2)/E2)*E2))^2-(0.857*0.85*AD2*(C2-2*E2)^2*V2*((C2-E2)/E2)*E2)))/(0.0848*0.85*AD2*(C2-2*E2)^2)),0))/2))+(0.5*0.95*0.85*AD2*(((C2-2*E2)^3)/6)*SIN((PI()-MAX((0.026*0.85*AD2*(C2-2*E2)^2-2*V2*((C2-E2)/E2)*E2)/(0.0848*0.85*AD2*(C2-2*E2)^2)+(SQRT(ABS(((0.026*0.85*AD2*(C2-2*E2)^2)+(2*V2*((C2-E2)/E2)*E2))^2-(0.857*0.85*AD2*(C2-2*E2)^2*V2*((C2-E2)/E2)*E2)))/(0.0848*0.85*AD2*(C2-2*E2)^2)),0))/2)))/10^6),IF(AE2=2,MIN(((V2*(N2*10^3))+(0.5*0.95*0.85*AD2*((C2-2*E2)^3)/6))/10^6,((V2*((C2^3-(C2-2*E2)^3)/6)*SIN((PI()-MAX((0.026*0.85*AD2*(C2-2*E2)^2-2*V2*((C2-E2)/E2)*E2)/(0.0848*0.85*AD2*(C2-2*E2)^2)+(SQRT(ABS(((0.026*0.85*AD2*(C2-2*E2)^2)+(2*V2*((C2-E2)/E2)*E2))^2-(0.857*0.85*AD2*(C2-2*E2)^2*V2*((C2-E2)/E2)*E2)))/(0.0848*0.85*AD2*(C2-2*E2)^2)),0))/2))+(0.5*0.95*0.85*AD2*(((C2-2*E2)^3)/6)*SIN((PI()-MAX((0.026*0.85*AD2*(C2-2*E2)^2-2*V2*((C2-E2)/E2)*E2)/(0.0848*0.85*AD2*(C2-2*E2)^2)+(SQRT(ABS(((0.026*0.85*AD2*(C2-2*E2)^2)+(2*V2*((C2-E2)/E2)*E2))^2-(0.857*0.85*AD2*(C2-2*E2)^2*V2*((C2-E2)/E2)*E2)))/(0.0848*0.85*AD2*(C2-2*E2)^2)),0))/2)))/10^6)-((((V2*(N2*10^3))+(0.5*0.95*0.85*AD2*((C2-2*E2)^3)/6))/10^6-MIN(((V2*(N2*10^3))+(0.5*0.95*0.85*AD2*((C2-2*E2)^3)/6))/10^6,((V2*((C2^3-(C2-2*E2)^3)/6)*SIN((PI()-MAX((0.026*0.85*AD2*(C2-2*E2)^2-2*V2*((C2-E2)/E2)*E2)/(0.0848*0.85*AD2*(C2-2*E2)^2)+(SQRT(ABS(((0.026*0.85*AD2*(C2-2*E2)^2)+(2*V2*((C2-E2)/E2)*E2))^2-(0.857*0.85*AD2*(C2-2*E2)^2*V2*((C2-E2)/E2)*E2)))/(0.0848*0.85*AD2*(C2-2*E2)^2)),0))/2))+(0.5*0.95*0.85*AD2*(((C2-2*E2)^3)/6)*SIN((PI()-MAX((0.026*0.85*AD2*(C2-2*E2)^2-2*V2*((C2-E2)/E2)*E2)/(0.0848*0.85*AD2*(C2-2*E2)^2)+(SQRT(ABS(((0.026*0.85*AD2*(C2-2*E2)^2)+(2*V2*((C2-E2)/E2)*E2))^2-(0.857*0.85*AD2*(C2-2*E2)^2*V2*((C2-E2)/E2)*E2)))/(0.0848*0.85*AD2*(C2-2*E2)^2)),0))/2)))/10^6))*((C2/E2-0.09*(2.1*10^5)/V2)/(0.31*(2.1*10^5)/V2-0.09*(2.1*10^5)/V2))),IF(AE2=3,MIN(((V2*((C2^3-(C2-2*E2)^3)/6)*SIN((PI()-MAX((0.026*0.85*AD2*(C2-2*E2)^2-2*V2*((C2-E2)/E2)*E2)/(0.0848*0.85*AD2*(C2-2*E2)^2)+(SQRT(ABS(((0.026*0.85*AD2*(C2-2*E2)^2)+(2*V2*((C2-E2)/E2)*E2))^2-(0.857*0.85*AD2*(C2-2*E2)^2*V2*((C2-E2)/E2)*E2)))/(0.0848*0.85*AD2*(C2-2*E2)^2)),0))/2))+(0.5*0.95*0.85*AD2*(((C2-2*E2)^3)/6)*SIN((PI()-MAX((0.026*0.85*AD2*(C2-2*E2)^2-2*V2*((C2-E2)/E2)*E2)/(0.0848*0.85*AD2*(C2-2*E2)^2)+(SQRT(ABS(((0.026*0.85*AD2*(C2-2*E2)^2)+(2*V2*((C2-E2)/E2)*E2))^2-(0.857*0.85*AD2*(C2-2*E2)^2*V2*((C2-E2)/E2)*E2)))/(0.0848*0.85*AD2*(C2-2*E2)^2)),0))/2)))/10^6,((V2*((C2^3-(C2-2*E2)^3)/6)*SIN((PI()-MAX((0.026*0.85*AD2*(C2-2*E2)^2-2*V2*((C2-E2)/E2)*E2)/(0.0848*0.85*AD2*(C2-2*E2)^2)+(SQRT(ABS(((0.026*0.85*AD2*(C2-2*E2)^2)+(2*V2*((C2-E2)/E2)*E2))^2-(0.857*0.85*AD2*(C2-2*E2)^2*V2*((C2-E2)/E2)*E2)))/(0.0848*0.85*AD2*(C2-2*E2)^2)),0))/2))+(0.5*0.95*0.85*AD2*(((C2-2*E2)^3)/6)*SIN((PI()-MAX((0.026*0.85*AD2*(C2-2*E2)^2-2*V2*((C2-E2)/E2)*E2)/(0.0848*0.85*AD2*(C2-2*E2)^2)+(SQRT(ABS(((0.026*0.85*AD2*(C2-2*E2)^2)+(2*V2*((C2-E2)/E2)*E2))^2-(0.857*0.85*AD2*(C2-2*E2)^2*V2*((C2-E2)/E2)*E2)))/(0.0848*0.85*AD2*(C2-2*E2)^2)),0))/2)))/10^6),0)))</f>
        <v>1.6653979199999993</v>
      </c>
      <c r="AH2" s="256">
        <f>0.9*IF(AE2=1,MIN(((V2*(O2*10^3))+(0.5*0.95*0.85*AD2*((C2-2*E2)^3)/6))/10^6,((V2*((C2^3-(C2-2*E2)^3)/6)*SIN((PI()-MAX((0.026*0.85*AD2*(C2-2*E2)^2-2*V2*((C2-E2)/E2)*E2)/(0.0848*0.85*AD2*(C2-2*E2)^2)+(SQRT(ABS(((0.026*0.85*AD2*(C2-2*E2)^2)+(2*V2*((C2-E2)/E2)*E2))^2-(0.857*0.85*AD2*(C2-2*E2)^2*V2*((C2-E2)/E2)*E2)))/(0.0848*0.85*AD2*(C2-2*E2)^2)),0))/2))+(0.5*0.95*0.85*AD2*(((C2-2*E2)^3)/6)*SIN((PI()-MAX((0.026*0.85*AD2*(C2-2*E2)^2-2*V2*((C2-E2)/E2)*E2)/(0.0848*0.85*AD2*(C2-2*E2)^2)+(SQRT(ABS(((0.026*0.85*AD2*(C2-2*E2)^2)+(2*V2*((C2-E2)/E2)*E2))^2-(0.857*0.85*AD2*(C2-2*E2)^2*V2*((C2-E2)/E2)*E2)))/(0.0848*0.85*AD2*(C2-2*E2)^2)),0))/2)))/10^6),IF(AE2=2,MIN(((V2*(O2*10^3))+(0.5*0.95*0.85*AD2*((C2-2*E2)^3)/6))/10^6,((V2*((C2^3-(C2-2*E2)^3)/6)*SIN((PI()-MAX((0.026*0.85*AD2*(C2-2*E2)^2-2*V2*((C2-E2)/E2)*E2)/(0.0848*0.85*AD2*(C2-2*E2)^2)+(SQRT(ABS(((0.026*0.85*AD2*(C2-2*E2)^2)+(2*V2*((C2-E2)/E2)*E2))^2-(0.857*0.85*AD2*(C2-2*E2)^2*V2*((C2-E2)/E2)*E2)))/(0.0848*0.85*AD2*(C2-2*E2)^2)),0))/2))+(0.5*0.95*0.85*AD2*(((C2-2*E2)^3)/6)*SIN((PI()-MAX((0.026*0.85*AD2*(C2-2*E2)^2-2*V2*((C2-E2)/E2)*E2)/(0.0848*0.85*AD2*(C2-2*E2)^2)+(SQRT(ABS(((0.026*0.85*AD2*(C2-2*E2)^2)+(2*V2*((C2-E2)/E2)*E2))^2-(0.857*0.85*AD2*(C2-2*E2)^2*V2*((C2-E2)/E2)*E2)))/(0.0848*0.85*AD2*(C2-2*E2)^2)),0))/2)))/10^6)-((((V2*(O2*10^3))+(0.5*0.95*0.85*AD2*((C2-2*E2)^3)/6))/10^6-MIN(((V2*(O2*10^3))+(0.5*0.95*0.85*AD2*((C2-2*E2)^3)/6))/10^6,((V2*((C2^3-(C2-2*E2)^3)/6)*SIN((PI()-MAX((0.026*0.85*AD2*(C2-2*E2)^2-2*V2*((C2-E2)/E2)*E2)/(0.0848*0.85*AD2*(C2-2*E2)^2)+(SQRT(ABS(((0.026*0.85*AD2*(C2-2*E2)^2)+(2*V2*((C2-E2)/E2)*E2))^2-(0.857*0.85*AD2*(C2-2*E2)^2*V2*((C2-E2)/E2)*E2)))/(0.0848*0.85*AD2*(C2-2*E2)^2)),0))/2))+(0.5*0.95*0.85*AD2*(((C2-2*E2)^3)/6)*SIN((PI()-MAX((0.026*0.85*AD2*(C2-2*E2)^2-2*V2*((C2-E2)/E2)*E2)/(0.0848*0.85*AD2*(C2-2*E2)^2)+(SQRT(ABS(((0.026*0.85*AD2*(C2-2*E2)^2)+(2*V2*((C2-E2)/E2)*E2))^2-(0.857*0.85*AD2*(C2-2*E2)^2*V2*((C2-E2)/E2)*E2)))/(0.0848*0.85*AD2*(C2-2*E2)^2)),0))/2)))/10^6))*((C2/E2-0.09*(2.1*10^5)/V2)/(0.31*(2.1*10^5)/V2-0.09*(2.1*10^5)/V2))),IF(AE2=3,MIN(((V2*((C2^3-(C2-2*E2)^3)/6)*SIN((PI()-MAX((0.026*0.85*AD2*(C2-2*E2)^2-2*V2*((C2-E2)/E2)*E2)/(0.0848*0.85*AD2*(C2-2*E2)^2)+(SQRT(ABS(((0.026*0.85*AD2*(C2-2*E2)^2)+(2*V2*((C2-E2)/E2)*E2))^2-(0.857*0.85*AD2*(C2-2*E2)^2*V2*((C2-E2)/E2)*E2)))/(0.0848*0.85*AD2*(C2-2*E2)^2)),0))/2))+(0.5*0.95*0.85*AD2*(((C2-2*E2)^3)/6)*SIN((PI()-MAX((0.026*0.85*AD2*(C2-2*E2)^2-2*V2*((C2-E2)/E2)*E2)/(0.0848*0.85*AD2*(C2-2*E2)^2)+(SQRT(ABS(((0.026*0.85*AD2*(C2-2*E2)^2)+(2*V2*((C2-E2)/E2)*E2))^2-(0.857*0.85*AD2*(C2-2*E2)^2*V2*((C2-E2)/E2)*E2)))/(0.0848*0.85*AD2*(C2-2*E2)^2)),0))/2)))/10^6,((V2*((C2^3-(C2-2*E2)^3)/6)*SIN((PI()-MAX((0.026*0.85*AD2*(C2-2*E2)^2-2*V2*((C2-E2)/E2)*E2)/(0.0848*0.85*AD2*(C2-2*E2)^2)+(SQRT(ABS(((0.026*0.85*AD2*(C2-2*E2)^2)+(2*V2*((C2-E2)/E2)*E2))^2-(0.857*0.85*AD2*(C2-2*E2)^2*V2*((C2-E2)/E2)*E2)))/(0.0848*0.85*AD2*(C2-2*E2)^2)),0))/2))+(0.5*0.95*0.85*AD2*(((C2-2*E2)^3)/6)*SIN((PI()-MAX((0.026*0.85*AD2*(C2-2*E2)^2-2*V2*((C2-E2)/E2)*E2)/(0.0848*0.85*AD2*(C2-2*E2)^2)+(SQRT(ABS(((0.026*0.85*AD2*(C2-2*E2)^2)+(2*V2*((C2-E2)/E2)*E2))^2-(0.857*0.85*AD2*(C2-2*E2)^2*V2*((C2-E2)/E2)*E2)))/(0.0848*0.85*AD2*(C2-2*E2)^2)),0))/2)))/10^6),0)))</f>
        <v>1.6653979199999993</v>
      </c>
      <c r="AI2" s="256">
        <f>0.9*MIN((0.78*(2.1*10^5))/(C2/E2)^(3/2),0.6*V2)*(F2*10^2)/2/1000</f>
        <v>37.240690643065697</v>
      </c>
      <c r="AJ2" s="261">
        <f>0.9*MIN((0.78*(2.1*10^5))/(C2/E2)^(3/2),0.6*V2)*(F2*10^2)/2/1000</f>
        <v>37.240690643065697</v>
      </c>
    </row>
    <row r="3" spans="1:36" s="254" customFormat="1" x14ac:dyDescent="0.25">
      <c r="A3" s="241" t="str">
        <f t="shared" ref="A3:A15" si="3">"NB"&amp;B3&amp;"X"&amp;E3</f>
        <v>NB40X3.2</v>
      </c>
      <c r="B3" s="242">
        <v>40</v>
      </c>
      <c r="C3" s="243">
        <v>48.3</v>
      </c>
      <c r="D3" s="242">
        <v>0</v>
      </c>
      <c r="E3" s="244">
        <v>3.2</v>
      </c>
      <c r="F3" s="245">
        <f t="shared" ref="F3:F15" si="4">PI()/4*(C3^2-(C3-2*E3)^2)/10^2</f>
        <v>4.5339465176607892</v>
      </c>
      <c r="G3" s="246">
        <f t="shared" ref="G3:G15" si="5">F3*7850/10^4</f>
        <v>3.5591480163637192</v>
      </c>
      <c r="H3" s="246">
        <f t="shared" ref="H3:H15" si="6">PI()/64*(C3^4-(C3-2*E3)^4)/10^4</f>
        <v>11.585650210910085</v>
      </c>
      <c r="I3" s="246">
        <f t="shared" ref="I3:I15" si="7">PI()/64*(C3^4-(C3-2*E3)^4)/10^4</f>
        <v>11.585650210910085</v>
      </c>
      <c r="J3" s="246">
        <f t="shared" ref="J3:J15" si="8">SQRT(H3/F3)</f>
        <v>1.5985344850831338</v>
      </c>
      <c r="K3" s="246">
        <f t="shared" ref="K3:K15" si="9">SQRT(I3/F3)</f>
        <v>1.5985344850831338</v>
      </c>
      <c r="L3" s="246">
        <f t="shared" ref="L3:L15" si="10">PI()/32*(C3^4-(C3-2*E3)^4)/C3/10^3</f>
        <v>4.7973706877474482</v>
      </c>
      <c r="M3" s="246">
        <f t="shared" ref="M3:M15" si="11">PI()/32*(C3^4-(C3-2*E3)^4)/C3/10^3</f>
        <v>4.7973706877474482</v>
      </c>
      <c r="N3" s="246">
        <f t="shared" ref="N3:N15" si="12">(C3^3-(C3-2*E3)^3)/6/10^3</f>
        <v>6.5197546666666648</v>
      </c>
      <c r="O3" s="246">
        <f t="shared" ref="O3:O15" si="13">(C3^3-(C3-2*E3)^3)/6/10^3</f>
        <v>6.5197546666666648</v>
      </c>
      <c r="P3" s="246">
        <f t="shared" ref="P3:P15" si="14">2*MIN(H3,I3)</f>
        <v>23.17130042182017</v>
      </c>
      <c r="Q3" s="246">
        <f t="shared" ref="Q3:Q15" si="15">2*MIN(L3,M3)</f>
        <v>9.5947413754948965</v>
      </c>
      <c r="R3" s="246">
        <f t="shared" ref="R3:R15" si="16">PI()*C3/10</f>
        <v>15.1738925168387</v>
      </c>
      <c r="S3" s="247">
        <f t="shared" ref="S3:S15" si="17">(2*F3/PI())/F3</f>
        <v>0.63661977236758127</v>
      </c>
      <c r="T3" s="248" t="s">
        <v>425</v>
      </c>
      <c r="U3" s="249" t="s">
        <v>652</v>
      </c>
      <c r="V3" s="250">
        <f>VLOOKUP($U3,GRADE!$B$5:$E$36,IF($E3&lt;=20,2,IF($E3&lt;=40,3,4)),FALSE)</f>
        <v>350</v>
      </c>
      <c r="W3" s="250">
        <f>VLOOKUP($U3,GRADE!$B$5:$F$36,5,FALSE)</f>
        <v>490</v>
      </c>
      <c r="X3" s="250">
        <f t="shared" ref="X3:X15" si="18">IF((C3/E3)&lt;=(42*(SQRT(250/V3)^2)),1,IF((C3/E3)&lt;=(52*(SQRT(250/V3)^2)),2,IF((C3/E3)&lt;=(146*(SQRT(250/V3)^2)),3,4)))</f>
        <v>1</v>
      </c>
      <c r="Y3" s="245">
        <f t="shared" ref="Y3:Y15" si="19">MIN((F3*10^2*V3/1.1),(0.9*F3*10^2*1*W3/1.25))/10^3</f>
        <v>144.26193465284328</v>
      </c>
      <c r="Z3" s="245">
        <f t="shared" ref="Z3:Z15" si="20">MIN(IF(X3&lt;=2,1,IF(X3=3,L3/N3,0))*N3,1.2*L3)*V3/1.1/10^3</f>
        <v>1.8317233535035706</v>
      </c>
      <c r="AA3" s="245">
        <f t="shared" ref="AA3:AA15" si="21">MIN(IF(X3&lt;=2,1,IF(X3=3,M3/O3,0))*O3,1.2*M3)*V3/1.1/10^3</f>
        <v>1.8317233535035706</v>
      </c>
      <c r="AB3" s="245">
        <f t="shared" ref="AB3:AB15" si="22">IF((C3/E3)&gt;(67*SQRT(250/V3)),0,(2*F3/PI())*V3/SQRT(3)/1.1/10)</f>
        <v>53.023848722375213</v>
      </c>
      <c r="AC3" s="251">
        <f t="shared" ref="AC3:AC15" si="23">IF((C3/E3)&gt;(67*SQRT(250/V3)),0,(2*F3/PI())*V3/SQRT(3)/1.1/10)</f>
        <v>53.023848722375213</v>
      </c>
      <c r="AD3" s="273">
        <v>40</v>
      </c>
      <c r="AE3" s="250">
        <f t="shared" ref="AE3:AE7" si="24">IF((C3/E3)&lt;=(0.09*2.1*10^5/V3),1,IF((C3/E3)&lt;=(0.31*2.1*10^5/V3),2,IF((C3/E3)&lt;=(0.31*2.1*10^5/V3),3,4)))</f>
        <v>1</v>
      </c>
      <c r="AF3" s="245">
        <f t="shared" ref="AF3:AF7" si="25">0.9*(V3*F3*10^2)/10^3</f>
        <v>142.81931530631485</v>
      </c>
      <c r="AG3" s="245">
        <f t="shared" ref="AG3:AG7" si="26">0.9*IF(AE3=1,MIN(((V3*(N3*10^3))+(0.5*0.95*0.85*AD3*((C3-2*E3)^3)/6))/10^6,((V3*((C3^3-(C3-2*E3)^3)/6)*SIN((PI()-MAX((0.026*0.85*AD3*(C3-2*E3)^2-2*V3*((C3-E3)/E3)*E3)/(0.0848*0.85*AD3*(C3-2*E3)^2)+(SQRT(ABS(((0.026*0.85*AD3*(C3-2*E3)^2)+(2*V3*((C3-E3)/E3)*E3))^2-(0.857*0.85*AD3*(C3-2*E3)^2*V3*((C3-E3)/E3)*E3)))/(0.0848*0.85*AD3*(C3-2*E3)^2)),0))/2))+(0.5*0.95*0.85*AD3*(((C3-2*E3)^3)/6)*SIN((PI()-MAX((0.026*0.85*AD3*(C3-2*E3)^2-2*V3*((C3-E3)/E3)*E3)/(0.0848*0.85*AD3*(C3-2*E3)^2)+(SQRT(ABS(((0.026*0.85*AD3*(C3-2*E3)^2)+(2*V3*((C3-E3)/E3)*E3))^2-(0.857*0.85*AD3*(C3-2*E3)^2*V3*((C3-E3)/E3)*E3)))/(0.0848*0.85*AD3*(C3-2*E3)^2)),0))/2)))/10^6),IF(AE3=2,MIN(((V3*(N3*10^3))+(0.5*0.95*0.85*AD3*((C3-2*E3)^3)/6))/10^6,((V3*((C3^3-(C3-2*E3)^3)/6)*SIN((PI()-MAX((0.026*0.85*AD3*(C3-2*E3)^2-2*V3*((C3-E3)/E3)*E3)/(0.0848*0.85*AD3*(C3-2*E3)^2)+(SQRT(ABS(((0.026*0.85*AD3*(C3-2*E3)^2)+(2*V3*((C3-E3)/E3)*E3))^2-(0.857*0.85*AD3*(C3-2*E3)^2*V3*((C3-E3)/E3)*E3)))/(0.0848*0.85*AD3*(C3-2*E3)^2)),0))/2))+(0.5*0.95*0.85*AD3*(((C3-2*E3)^3)/6)*SIN((PI()-MAX((0.026*0.85*AD3*(C3-2*E3)^2-2*V3*((C3-E3)/E3)*E3)/(0.0848*0.85*AD3*(C3-2*E3)^2)+(SQRT(ABS(((0.026*0.85*AD3*(C3-2*E3)^2)+(2*V3*((C3-E3)/E3)*E3))^2-(0.857*0.85*AD3*(C3-2*E3)^2*V3*((C3-E3)/E3)*E3)))/(0.0848*0.85*AD3*(C3-2*E3)^2)),0))/2)))/10^6)-((((V3*(N3*10^3))+(0.5*0.95*0.85*AD3*((C3-2*E3)^3)/6))/10^6-MIN(((V3*(N3*10^3))+(0.5*0.95*0.85*AD3*((C3-2*E3)^3)/6))/10^6,((V3*((C3^3-(C3-2*E3)^3)/6)*SIN((PI()-MAX((0.026*0.85*AD3*(C3-2*E3)^2-2*V3*((C3-E3)/E3)*E3)/(0.0848*0.85*AD3*(C3-2*E3)^2)+(SQRT(ABS(((0.026*0.85*AD3*(C3-2*E3)^2)+(2*V3*((C3-E3)/E3)*E3))^2-(0.857*0.85*AD3*(C3-2*E3)^2*V3*((C3-E3)/E3)*E3)))/(0.0848*0.85*AD3*(C3-2*E3)^2)),0))/2))+(0.5*0.95*0.85*AD3*(((C3-2*E3)^3)/6)*SIN((PI()-MAX((0.026*0.85*AD3*(C3-2*E3)^2-2*V3*((C3-E3)/E3)*E3)/(0.0848*0.85*AD3*(C3-2*E3)^2)+(SQRT(ABS(((0.026*0.85*AD3*(C3-2*E3)^2)+(2*V3*((C3-E3)/E3)*E3))^2-(0.857*0.85*AD3*(C3-2*E3)^2*V3*((C3-E3)/E3)*E3)))/(0.0848*0.85*AD3*(C3-2*E3)^2)),0))/2)))/10^6))*((C3/E3-0.09*(2.1*10^5)/V3)/(0.31*(2.1*10^5)/V3-0.09*(2.1*10^5)/V3))),IF(AE3=3,MIN(((V3*((C3^3-(C3-2*E3)^3)/6)*SIN((PI()-MAX((0.026*0.85*AD3*(C3-2*E3)^2-2*V3*((C3-E3)/E3)*E3)/(0.0848*0.85*AD3*(C3-2*E3)^2)+(SQRT(ABS(((0.026*0.85*AD3*(C3-2*E3)^2)+(2*V3*((C3-E3)/E3)*E3))^2-(0.857*0.85*AD3*(C3-2*E3)^2*V3*((C3-E3)/E3)*E3)))/(0.0848*0.85*AD3*(C3-2*E3)^2)),0))/2))+(0.5*0.95*0.85*AD3*(((C3-2*E3)^3)/6)*SIN((PI()-MAX((0.026*0.85*AD3*(C3-2*E3)^2-2*V3*((C3-E3)/E3)*E3)/(0.0848*0.85*AD3*(C3-2*E3)^2)+(SQRT(ABS(((0.026*0.85*AD3*(C3-2*E3)^2)+(2*V3*((C3-E3)/E3)*E3))^2-(0.857*0.85*AD3*(C3-2*E3)^2*V3*((C3-E3)/E3)*E3)))/(0.0848*0.85*AD3*(C3-2*E3)^2)),0))/2)))/10^6,((V3*((C3^3-(C3-2*E3)^3)/6)*SIN((PI()-MAX((0.026*0.85*AD3*(C3-2*E3)^2-2*V3*((C3-E3)/E3)*E3)/(0.0848*0.85*AD3*(C3-2*E3)^2)+(SQRT(ABS(((0.026*0.85*AD3*(C3-2*E3)^2)+(2*V3*((C3-E3)/E3)*E3))^2-(0.857*0.85*AD3*(C3-2*E3)^2*V3*((C3-E3)/E3)*E3)))/(0.0848*0.85*AD3*(C3-2*E3)^2)),0))/2))+(0.5*0.95*0.85*AD3*(((C3-2*E3)^3)/6)*SIN((PI()-MAX((0.026*0.85*AD3*(C3-2*E3)^2-2*V3*((C3-E3)/E3)*E3)/(0.0848*0.85*AD3*(C3-2*E3)^2)+(SQRT(ABS(((0.026*0.85*AD3*(C3-2*E3)^2)+(2*V3*((C3-E3)/E3)*E3))^2-(0.857*0.85*AD3*(C3-2*E3)^2*V3*((C3-E3)/E3)*E3)))/(0.0848*0.85*AD3*(C3-2*E3)^2)),0))/2)))/10^6),0)))</f>
        <v>2.2319219629274998</v>
      </c>
      <c r="AH3" s="245">
        <f t="shared" ref="AH3:AH7" si="27">0.9*IF(AE3=1,MIN(((V3*(O3*10^3))+(0.5*0.95*0.85*AD3*((C3-2*E3)^3)/6))/10^6,((V3*((C3^3-(C3-2*E3)^3)/6)*SIN((PI()-MAX((0.026*0.85*AD3*(C3-2*E3)^2-2*V3*((C3-E3)/E3)*E3)/(0.0848*0.85*AD3*(C3-2*E3)^2)+(SQRT(ABS(((0.026*0.85*AD3*(C3-2*E3)^2)+(2*V3*((C3-E3)/E3)*E3))^2-(0.857*0.85*AD3*(C3-2*E3)^2*V3*((C3-E3)/E3)*E3)))/(0.0848*0.85*AD3*(C3-2*E3)^2)),0))/2))+(0.5*0.95*0.85*AD3*(((C3-2*E3)^3)/6)*SIN((PI()-MAX((0.026*0.85*AD3*(C3-2*E3)^2-2*V3*((C3-E3)/E3)*E3)/(0.0848*0.85*AD3*(C3-2*E3)^2)+(SQRT(ABS(((0.026*0.85*AD3*(C3-2*E3)^2)+(2*V3*((C3-E3)/E3)*E3))^2-(0.857*0.85*AD3*(C3-2*E3)^2*V3*((C3-E3)/E3)*E3)))/(0.0848*0.85*AD3*(C3-2*E3)^2)),0))/2)))/10^6),IF(AE3=2,MIN(((V3*(O3*10^3))+(0.5*0.95*0.85*AD3*((C3-2*E3)^3)/6))/10^6,((V3*((C3^3-(C3-2*E3)^3)/6)*SIN((PI()-MAX((0.026*0.85*AD3*(C3-2*E3)^2-2*V3*((C3-E3)/E3)*E3)/(0.0848*0.85*AD3*(C3-2*E3)^2)+(SQRT(ABS(((0.026*0.85*AD3*(C3-2*E3)^2)+(2*V3*((C3-E3)/E3)*E3))^2-(0.857*0.85*AD3*(C3-2*E3)^2*V3*((C3-E3)/E3)*E3)))/(0.0848*0.85*AD3*(C3-2*E3)^2)),0))/2))+(0.5*0.95*0.85*AD3*(((C3-2*E3)^3)/6)*SIN((PI()-MAX((0.026*0.85*AD3*(C3-2*E3)^2-2*V3*((C3-E3)/E3)*E3)/(0.0848*0.85*AD3*(C3-2*E3)^2)+(SQRT(ABS(((0.026*0.85*AD3*(C3-2*E3)^2)+(2*V3*((C3-E3)/E3)*E3))^2-(0.857*0.85*AD3*(C3-2*E3)^2*V3*((C3-E3)/E3)*E3)))/(0.0848*0.85*AD3*(C3-2*E3)^2)),0))/2)))/10^6)-((((V3*(O3*10^3))+(0.5*0.95*0.85*AD3*((C3-2*E3)^3)/6))/10^6-MIN(((V3*(O3*10^3))+(0.5*0.95*0.85*AD3*((C3-2*E3)^3)/6))/10^6,((V3*((C3^3-(C3-2*E3)^3)/6)*SIN((PI()-MAX((0.026*0.85*AD3*(C3-2*E3)^2-2*V3*((C3-E3)/E3)*E3)/(0.0848*0.85*AD3*(C3-2*E3)^2)+(SQRT(ABS(((0.026*0.85*AD3*(C3-2*E3)^2)+(2*V3*((C3-E3)/E3)*E3))^2-(0.857*0.85*AD3*(C3-2*E3)^2*V3*((C3-E3)/E3)*E3)))/(0.0848*0.85*AD3*(C3-2*E3)^2)),0))/2))+(0.5*0.95*0.85*AD3*(((C3-2*E3)^3)/6)*SIN((PI()-MAX((0.026*0.85*AD3*(C3-2*E3)^2-2*V3*((C3-E3)/E3)*E3)/(0.0848*0.85*AD3*(C3-2*E3)^2)+(SQRT(ABS(((0.026*0.85*AD3*(C3-2*E3)^2)+(2*V3*((C3-E3)/E3)*E3))^2-(0.857*0.85*AD3*(C3-2*E3)^2*V3*((C3-E3)/E3)*E3)))/(0.0848*0.85*AD3*(C3-2*E3)^2)),0))/2)))/10^6))*((C3/E3-0.09*(2.1*10^5)/V3)/(0.31*(2.1*10^5)/V3-0.09*(2.1*10^5)/V3))),IF(AE3=3,MIN(((V3*((C3^3-(C3-2*E3)^3)/6)*SIN((PI()-MAX((0.026*0.85*AD3*(C3-2*E3)^2-2*V3*((C3-E3)/E3)*E3)/(0.0848*0.85*AD3*(C3-2*E3)^2)+(SQRT(ABS(((0.026*0.85*AD3*(C3-2*E3)^2)+(2*V3*((C3-E3)/E3)*E3))^2-(0.857*0.85*AD3*(C3-2*E3)^2*V3*((C3-E3)/E3)*E3)))/(0.0848*0.85*AD3*(C3-2*E3)^2)),0))/2))+(0.5*0.95*0.85*AD3*(((C3-2*E3)^3)/6)*SIN((PI()-MAX((0.026*0.85*AD3*(C3-2*E3)^2-2*V3*((C3-E3)/E3)*E3)/(0.0848*0.85*AD3*(C3-2*E3)^2)+(SQRT(ABS(((0.026*0.85*AD3*(C3-2*E3)^2)+(2*V3*((C3-E3)/E3)*E3))^2-(0.857*0.85*AD3*(C3-2*E3)^2*V3*((C3-E3)/E3)*E3)))/(0.0848*0.85*AD3*(C3-2*E3)^2)),0))/2)))/10^6,((V3*((C3^3-(C3-2*E3)^3)/6)*SIN((PI()-MAX((0.026*0.85*AD3*(C3-2*E3)^2-2*V3*((C3-E3)/E3)*E3)/(0.0848*0.85*AD3*(C3-2*E3)^2)+(SQRT(ABS(((0.026*0.85*AD3*(C3-2*E3)^2)+(2*V3*((C3-E3)/E3)*E3))^2-(0.857*0.85*AD3*(C3-2*E3)^2*V3*((C3-E3)/E3)*E3)))/(0.0848*0.85*AD3*(C3-2*E3)^2)),0))/2))+(0.5*0.95*0.85*AD3*(((C3-2*E3)^3)/6)*SIN((PI()-MAX((0.026*0.85*AD3*(C3-2*E3)^2-2*V3*((C3-E3)/E3)*E3)/(0.0848*0.85*AD3*(C3-2*E3)^2)+(SQRT(ABS(((0.026*0.85*AD3*(C3-2*E3)^2)+(2*V3*((C3-E3)/E3)*E3))^2-(0.857*0.85*AD3*(C3-2*E3)^2*V3*((C3-E3)/E3)*E3)))/(0.0848*0.85*AD3*(C3-2*E3)^2)),0))/2)))/10^6),0)))</f>
        <v>2.2319219629274998</v>
      </c>
      <c r="AI3" s="245">
        <f t="shared" ref="AI3:AI7" si="28">0.9*MIN((0.78*(2.1*10^5))/(C3/E3)^(3/2),0.6*V3)*(F3*10^2)/2/1000</f>
        <v>42.84579459189446</v>
      </c>
      <c r="AJ3" s="251">
        <f t="shared" ref="AJ3:AJ7" si="29">0.9*MIN((0.78*(2.1*10^5))/(C3/E3)^(3/2),0.6*V3)*(F3*10^2)/2/1000</f>
        <v>42.84579459189446</v>
      </c>
    </row>
    <row r="4" spans="1:36" s="254" customFormat="1" x14ac:dyDescent="0.25">
      <c r="A4" s="241" t="str">
        <f t="shared" si="3"/>
        <v>NB50X3.6</v>
      </c>
      <c r="B4" s="242">
        <v>50</v>
      </c>
      <c r="C4" s="243">
        <v>60.3</v>
      </c>
      <c r="D4" s="242">
        <v>0</v>
      </c>
      <c r="E4" s="244">
        <v>3.6</v>
      </c>
      <c r="F4" s="245">
        <f t="shared" si="4"/>
        <v>6.4126189245074894</v>
      </c>
      <c r="G4" s="246">
        <f t="shared" si="5"/>
        <v>5.0339058557383787</v>
      </c>
      <c r="H4" s="246">
        <f t="shared" si="6"/>
        <v>25.87371499433937</v>
      </c>
      <c r="I4" s="246">
        <f t="shared" si="7"/>
        <v>25.87371499433937</v>
      </c>
      <c r="J4" s="246">
        <f t="shared" si="8"/>
        <v>2.008684270859908</v>
      </c>
      <c r="K4" s="246">
        <f t="shared" si="9"/>
        <v>2.008684270859908</v>
      </c>
      <c r="L4" s="246">
        <f t="shared" si="10"/>
        <v>8.5816633480395925</v>
      </c>
      <c r="M4" s="246">
        <f t="shared" si="11"/>
        <v>8.5816633480395925</v>
      </c>
      <c r="N4" s="246">
        <f t="shared" si="12"/>
        <v>11.589156000000008</v>
      </c>
      <c r="O4" s="246">
        <f t="shared" si="13"/>
        <v>11.589156000000008</v>
      </c>
      <c r="P4" s="246">
        <f t="shared" si="14"/>
        <v>51.747429988678739</v>
      </c>
      <c r="Q4" s="246">
        <f t="shared" si="15"/>
        <v>17.163326696079185</v>
      </c>
      <c r="R4" s="246">
        <f t="shared" si="16"/>
        <v>18.94380370114645</v>
      </c>
      <c r="S4" s="247">
        <f t="shared" si="17"/>
        <v>0.63661977236758138</v>
      </c>
      <c r="T4" s="248" t="s">
        <v>425</v>
      </c>
      <c r="U4" s="249" t="s">
        <v>652</v>
      </c>
      <c r="V4" s="250">
        <f>VLOOKUP($U4,GRADE!$B$5:$E$36,IF($E4&lt;=20,2,IF($E4&lt;=40,3,4)),FALSE)</f>
        <v>350</v>
      </c>
      <c r="W4" s="250">
        <f>VLOOKUP($U4,GRADE!$B$5:$F$36,5,FALSE)</f>
        <v>490</v>
      </c>
      <c r="X4" s="250">
        <f t="shared" si="18"/>
        <v>1</v>
      </c>
      <c r="Y4" s="245">
        <f t="shared" si="19"/>
        <v>204.03787487069283</v>
      </c>
      <c r="Z4" s="245">
        <f t="shared" si="20"/>
        <v>3.2766350965242084</v>
      </c>
      <c r="AA4" s="245">
        <f t="shared" si="21"/>
        <v>3.2766350965242084</v>
      </c>
      <c r="AB4" s="245">
        <f t="shared" si="22"/>
        <v>74.994650784445952</v>
      </c>
      <c r="AC4" s="251">
        <f t="shared" si="23"/>
        <v>74.994650784445952</v>
      </c>
      <c r="AD4" s="273">
        <v>40</v>
      </c>
      <c r="AE4" s="250">
        <f t="shared" si="24"/>
        <v>1</v>
      </c>
      <c r="AF4" s="245">
        <f t="shared" si="25"/>
        <v>201.9974961219859</v>
      </c>
      <c r="AG4" s="245">
        <f t="shared" si="26"/>
        <v>4.0132839674475029</v>
      </c>
      <c r="AH4" s="245">
        <f t="shared" si="27"/>
        <v>4.0132839674475029</v>
      </c>
      <c r="AI4" s="245">
        <f t="shared" si="28"/>
        <v>60.599248836595777</v>
      </c>
      <c r="AJ4" s="251">
        <f t="shared" si="29"/>
        <v>60.599248836595777</v>
      </c>
    </row>
    <row r="5" spans="1:36" s="254" customFormat="1" x14ac:dyDescent="0.25">
      <c r="A5" s="241" t="str">
        <f t="shared" si="3"/>
        <v>NB80X3.2</v>
      </c>
      <c r="B5" s="242">
        <v>80</v>
      </c>
      <c r="C5" s="243">
        <v>88.9</v>
      </c>
      <c r="D5" s="242">
        <v>0</v>
      </c>
      <c r="E5" s="244">
        <v>3.2</v>
      </c>
      <c r="F5" s="245">
        <f t="shared" si="4"/>
        <v>8.6155036932046567</v>
      </c>
      <c r="G5" s="246">
        <f t="shared" si="5"/>
        <v>6.7631703991656558</v>
      </c>
      <c r="H5" s="246">
        <f t="shared" si="6"/>
        <v>79.205879346903856</v>
      </c>
      <c r="I5" s="246">
        <f t="shared" si="7"/>
        <v>79.205879346903856</v>
      </c>
      <c r="J5" s="246">
        <f t="shared" si="8"/>
        <v>3.0320640659458369</v>
      </c>
      <c r="K5" s="246">
        <f t="shared" si="9"/>
        <v>3.0320640659458369</v>
      </c>
      <c r="L5" s="246">
        <f t="shared" si="10"/>
        <v>17.819095466120103</v>
      </c>
      <c r="M5" s="246">
        <f t="shared" si="11"/>
        <v>17.819095466120103</v>
      </c>
      <c r="N5" s="246">
        <f t="shared" si="12"/>
        <v>23.513290666666698</v>
      </c>
      <c r="O5" s="246">
        <f t="shared" si="13"/>
        <v>23.513290666666698</v>
      </c>
      <c r="P5" s="246">
        <f t="shared" si="14"/>
        <v>158.41175869380771</v>
      </c>
      <c r="Q5" s="246">
        <f t="shared" si="15"/>
        <v>35.638190932240207</v>
      </c>
      <c r="R5" s="246">
        <f t="shared" si="16"/>
        <v>27.928758690413265</v>
      </c>
      <c r="S5" s="247">
        <f t="shared" si="17"/>
        <v>0.63661977236758138</v>
      </c>
      <c r="T5" s="248" t="s">
        <v>425</v>
      </c>
      <c r="U5" s="249" t="s">
        <v>652</v>
      </c>
      <c r="V5" s="250">
        <f>VLOOKUP($U5,GRADE!$B$5:$E$36,IF($E5&lt;=20,2,IF($E5&lt;=40,3,4)),FALSE)</f>
        <v>350</v>
      </c>
      <c r="W5" s="250">
        <f>VLOOKUP($U5,GRADE!$B$5:$F$36,5,FALSE)</f>
        <v>490</v>
      </c>
      <c r="X5" s="250">
        <f t="shared" si="18"/>
        <v>1</v>
      </c>
      <c r="Y5" s="245">
        <f t="shared" si="19"/>
        <v>274.12966296560268</v>
      </c>
      <c r="Z5" s="245">
        <f t="shared" si="20"/>
        <v>6.803654632518584</v>
      </c>
      <c r="AA5" s="245">
        <f t="shared" si="21"/>
        <v>6.803654632518584</v>
      </c>
      <c r="AB5" s="245">
        <f t="shared" si="22"/>
        <v>100.75706952344925</v>
      </c>
      <c r="AC5" s="251">
        <f t="shared" si="23"/>
        <v>100.75706952344925</v>
      </c>
      <c r="AD5" s="273">
        <v>40</v>
      </c>
      <c r="AE5" s="250">
        <f t="shared" si="24"/>
        <v>1</v>
      </c>
      <c r="AF5" s="245">
        <f t="shared" si="25"/>
        <v>271.38836633594667</v>
      </c>
      <c r="AG5" s="245">
        <f t="shared" si="26"/>
        <v>8.7669581615625098</v>
      </c>
      <c r="AH5" s="245">
        <f t="shared" si="27"/>
        <v>8.7669581615625098</v>
      </c>
      <c r="AI5" s="245">
        <f t="shared" si="28"/>
        <v>81.416509900784007</v>
      </c>
      <c r="AJ5" s="251">
        <f t="shared" si="29"/>
        <v>81.416509900784007</v>
      </c>
    </row>
    <row r="6" spans="1:36" s="254" customFormat="1" x14ac:dyDescent="0.25">
      <c r="A6" s="241" t="str">
        <f t="shared" si="3"/>
        <v>NB100X3.6</v>
      </c>
      <c r="B6" s="242">
        <v>100</v>
      </c>
      <c r="C6" s="243">
        <v>114.3</v>
      </c>
      <c r="D6" s="242">
        <v>0</v>
      </c>
      <c r="E6" s="244">
        <v>3.6</v>
      </c>
      <c r="F6" s="245">
        <f t="shared" si="4"/>
        <v>12.519875043086058</v>
      </c>
      <c r="G6" s="246">
        <f t="shared" si="5"/>
        <v>9.8281019088225552</v>
      </c>
      <c r="H6" s="246">
        <f t="shared" si="6"/>
        <v>191.98367637163253</v>
      </c>
      <c r="I6" s="246">
        <f t="shared" si="7"/>
        <v>191.98367637163253</v>
      </c>
      <c r="J6" s="246">
        <f t="shared" si="8"/>
        <v>3.915905067797226</v>
      </c>
      <c r="K6" s="246">
        <f t="shared" si="9"/>
        <v>3.915905067797226</v>
      </c>
      <c r="L6" s="246">
        <f t="shared" si="10"/>
        <v>33.592944247004816</v>
      </c>
      <c r="M6" s="246">
        <f t="shared" si="11"/>
        <v>33.592944247004816</v>
      </c>
      <c r="N6" s="246">
        <f t="shared" si="12"/>
        <v>44.131716000000054</v>
      </c>
      <c r="O6" s="246">
        <f t="shared" si="13"/>
        <v>44.131716000000054</v>
      </c>
      <c r="P6" s="246">
        <f t="shared" si="14"/>
        <v>383.96735274326505</v>
      </c>
      <c r="Q6" s="246">
        <f t="shared" si="15"/>
        <v>67.185888494009632</v>
      </c>
      <c r="R6" s="246">
        <f t="shared" si="16"/>
        <v>35.908404030531337</v>
      </c>
      <c r="S6" s="247">
        <f t="shared" si="17"/>
        <v>0.63661977236758138</v>
      </c>
      <c r="T6" s="248" t="s">
        <v>425</v>
      </c>
      <c r="U6" s="249" t="s">
        <v>652</v>
      </c>
      <c r="V6" s="250">
        <f>VLOOKUP($U6,GRADE!$B$5:$E$36,IF($E6&lt;=20,2,IF($E6&lt;=40,3,4)),FALSE)</f>
        <v>350</v>
      </c>
      <c r="W6" s="250">
        <f>VLOOKUP($U6,GRADE!$B$5:$F$36,5,FALSE)</f>
        <v>490</v>
      </c>
      <c r="X6" s="250">
        <f t="shared" si="18"/>
        <v>2</v>
      </c>
      <c r="Y6" s="245">
        <f t="shared" si="19"/>
        <v>398.35966046182909</v>
      </c>
      <c r="Z6" s="245">
        <f t="shared" si="20"/>
        <v>12.826396894310927</v>
      </c>
      <c r="AA6" s="245">
        <f t="shared" si="21"/>
        <v>12.826396894310927</v>
      </c>
      <c r="AB6" s="245">
        <f t="shared" si="22"/>
        <v>146.41812772201359</v>
      </c>
      <c r="AC6" s="251">
        <f t="shared" si="23"/>
        <v>146.41812772201359</v>
      </c>
      <c r="AD6" s="273">
        <v>40</v>
      </c>
      <c r="AE6" s="250">
        <f t="shared" si="24"/>
        <v>1</v>
      </c>
      <c r="AF6" s="245">
        <f t="shared" si="25"/>
        <v>394.3760638572108</v>
      </c>
      <c r="AG6" s="245">
        <f t="shared" si="26"/>
        <v>16.824380397976217</v>
      </c>
      <c r="AH6" s="245">
        <f t="shared" si="27"/>
        <v>16.824380397976217</v>
      </c>
      <c r="AI6" s="245">
        <f t="shared" si="28"/>
        <v>118.31281915716325</v>
      </c>
      <c r="AJ6" s="251">
        <f t="shared" si="29"/>
        <v>118.31281915716325</v>
      </c>
    </row>
    <row r="7" spans="1:36" s="254" customFormat="1" x14ac:dyDescent="0.25">
      <c r="A7" s="241" t="str">
        <f t="shared" si="3"/>
        <v>NB125X4.5</v>
      </c>
      <c r="B7" s="242">
        <v>125</v>
      </c>
      <c r="C7" s="243">
        <v>139.69999999999999</v>
      </c>
      <c r="D7" s="242">
        <v>0</v>
      </c>
      <c r="E7" s="244">
        <v>4.5</v>
      </c>
      <c r="F7" s="245">
        <f t="shared" si="4"/>
        <v>19.113449704440292</v>
      </c>
      <c r="G7" s="246">
        <f t="shared" si="5"/>
        <v>15.00405801798563</v>
      </c>
      <c r="H7" s="246">
        <f t="shared" si="6"/>
        <v>437.20319880245887</v>
      </c>
      <c r="I7" s="246">
        <f t="shared" si="7"/>
        <v>437.20319880245887</v>
      </c>
      <c r="J7" s="246">
        <f t="shared" si="8"/>
        <v>4.7826888357910127</v>
      </c>
      <c r="K7" s="246">
        <f t="shared" si="9"/>
        <v>4.7826888357910127</v>
      </c>
      <c r="L7" s="246">
        <f t="shared" si="10"/>
        <v>62.59172495382375</v>
      </c>
      <c r="M7" s="246">
        <f t="shared" si="11"/>
        <v>62.59172495382375</v>
      </c>
      <c r="N7" s="246">
        <f t="shared" si="12"/>
        <v>82.286054999999934</v>
      </c>
      <c r="O7" s="246">
        <f t="shared" si="13"/>
        <v>82.286054999999934</v>
      </c>
      <c r="P7" s="246">
        <f t="shared" si="14"/>
        <v>874.40639760491774</v>
      </c>
      <c r="Q7" s="246">
        <f t="shared" si="15"/>
        <v>125.1834499076475</v>
      </c>
      <c r="R7" s="246">
        <f t="shared" si="16"/>
        <v>43.888049370649405</v>
      </c>
      <c r="S7" s="247">
        <f t="shared" si="17"/>
        <v>0.63661977236758138</v>
      </c>
      <c r="T7" s="248" t="s">
        <v>425</v>
      </c>
      <c r="U7" s="249" t="s">
        <v>652</v>
      </c>
      <c r="V7" s="250">
        <f>VLOOKUP($U7,GRADE!$B$5:$E$36,IF($E7&lt;=20,2,IF($E7&lt;=40,3,4)),FALSE)</f>
        <v>350</v>
      </c>
      <c r="W7" s="250">
        <f>VLOOKUP($U7,GRADE!$B$5:$F$36,5,FALSE)</f>
        <v>490</v>
      </c>
      <c r="X7" s="250">
        <f t="shared" si="18"/>
        <v>2</v>
      </c>
      <c r="Y7" s="245">
        <f t="shared" si="19"/>
        <v>608.1552178685547</v>
      </c>
      <c r="Z7" s="245">
        <f t="shared" si="20"/>
        <v>23.8986586187327</v>
      </c>
      <c r="AA7" s="245">
        <f t="shared" si="21"/>
        <v>23.8986586187327</v>
      </c>
      <c r="AB7" s="245">
        <f t="shared" si="22"/>
        <v>223.52902967497971</v>
      </c>
      <c r="AC7" s="251">
        <f t="shared" si="23"/>
        <v>223.52902967497971</v>
      </c>
      <c r="AD7" s="273">
        <v>40</v>
      </c>
      <c r="AE7" s="250">
        <f t="shared" si="24"/>
        <v>1</v>
      </c>
      <c r="AF7" s="245">
        <f t="shared" si="25"/>
        <v>602.07366568986924</v>
      </c>
      <c r="AG7" s="245">
        <f t="shared" si="26"/>
        <v>30.094024828961476</v>
      </c>
      <c r="AH7" s="245">
        <f t="shared" si="27"/>
        <v>30.094024828961476</v>
      </c>
      <c r="AI7" s="245">
        <f t="shared" si="28"/>
        <v>180.62209970696077</v>
      </c>
      <c r="AJ7" s="251">
        <f t="shared" si="29"/>
        <v>180.62209970696077</v>
      </c>
    </row>
    <row r="8" spans="1:36" s="254" customFormat="1" x14ac:dyDescent="0.25">
      <c r="A8" s="241" t="str">
        <f t="shared" si="3"/>
        <v>NB150X4.5</v>
      </c>
      <c r="B8" s="242">
        <v>150</v>
      </c>
      <c r="C8" s="243">
        <v>165.1</v>
      </c>
      <c r="D8" s="242">
        <v>0</v>
      </c>
      <c r="E8" s="244">
        <v>4.5</v>
      </c>
      <c r="F8" s="245">
        <f t="shared" si="4"/>
        <v>22.704290107493431</v>
      </c>
      <c r="G8" s="246">
        <f t="shared" si="5"/>
        <v>17.822867734382342</v>
      </c>
      <c r="H8" s="246">
        <f t="shared" si="6"/>
        <v>732.57123233948244</v>
      </c>
      <c r="I8" s="246">
        <f t="shared" si="7"/>
        <v>732.57123233948244</v>
      </c>
      <c r="J8" s="246">
        <f t="shared" si="8"/>
        <v>5.6802959870063106</v>
      </c>
      <c r="K8" s="246">
        <f t="shared" si="9"/>
        <v>5.6802959870063106</v>
      </c>
      <c r="L8" s="246">
        <f t="shared" si="10"/>
        <v>88.742729538398834</v>
      </c>
      <c r="M8" s="246">
        <f t="shared" si="11"/>
        <v>88.742729538398834</v>
      </c>
      <c r="N8" s="246">
        <f t="shared" si="12"/>
        <v>116.09599499999995</v>
      </c>
      <c r="O8" s="246">
        <f t="shared" si="13"/>
        <v>116.09599499999995</v>
      </c>
      <c r="P8" s="246">
        <f t="shared" si="14"/>
        <v>1465.1424646789649</v>
      </c>
      <c r="Q8" s="246">
        <f t="shared" si="15"/>
        <v>177.48545907679767</v>
      </c>
      <c r="R8" s="246">
        <f t="shared" si="16"/>
        <v>51.867694710767481</v>
      </c>
      <c r="S8" s="247">
        <f t="shared" si="17"/>
        <v>0.63661977236758138</v>
      </c>
      <c r="T8" s="248" t="s">
        <v>425</v>
      </c>
      <c r="U8" s="249" t="s">
        <v>652</v>
      </c>
      <c r="V8" s="250">
        <f>VLOOKUP($U8,GRADE!$B$5:$E$36,IF($E8&lt;=20,2,IF($E8&lt;=40,3,4)),FALSE)</f>
        <v>350</v>
      </c>
      <c r="W8" s="250">
        <f>VLOOKUP($U8,GRADE!$B$5:$F$36,5,FALSE)</f>
        <v>490</v>
      </c>
      <c r="X8" s="250">
        <f t="shared" si="18"/>
        <v>2</v>
      </c>
      <c r="Y8" s="245">
        <f t="shared" si="19"/>
        <v>722.40923069297264</v>
      </c>
      <c r="Z8" s="245">
        <f t="shared" si="20"/>
        <v>33.883587641934099</v>
      </c>
      <c r="AA8" s="245">
        <f t="shared" si="21"/>
        <v>33.883587641934099</v>
      </c>
      <c r="AB8" s="245">
        <f t="shared" si="22"/>
        <v>265.52338880030885</v>
      </c>
      <c r="AC8" s="251">
        <f t="shared" si="23"/>
        <v>265.52338880030885</v>
      </c>
      <c r="AD8" s="273">
        <v>40</v>
      </c>
      <c r="AE8" s="250">
        <f>IF((C8/E8)&lt;=(0.09*2.1*10^5/V8),1,IF((C8/E8)&lt;=(0.31*2.1*10^5/V8),2,IF((C8/E8)&lt;=(0.31*2.1*10^5/V8),3,4)))</f>
        <v>1</v>
      </c>
      <c r="AF8" s="245">
        <f>0.9*(V8*F8*10^2)/10^3</f>
        <v>715.18513838604315</v>
      </c>
      <c r="AG8" s="245">
        <f>0.9*IF(AE8=1,MIN(((V8*(N8*10^3))+(0.5*0.95*0.85*AD8*((C8-2*E8)^3)/6))/10^6,((V8*((C8^3-(C8-2*E8)^3)/6)*SIN((PI()-MAX((0.026*0.85*AD8*(C8-2*E8)^2-2*V8*((C8-E8)/E8)*E8)/(0.0848*0.85*AD8*(C8-2*E8)^2)+(SQRT(ABS(((0.026*0.85*AD8*(C8-2*E8)^2)+(2*V8*((C8-E8)/E8)*E8))^2-(0.857*0.85*AD8*(C8-2*E8)^2*V8*((C8-E8)/E8)*E8)))/(0.0848*0.85*AD8*(C8-2*E8)^2)),0))/2))+(0.5*0.95*0.85*AD8*(((C8-2*E8)^3)/6)*SIN((PI()-MAX((0.026*0.85*AD8*(C8-2*E8)^2-2*V8*((C8-E8)/E8)*E8)/(0.0848*0.85*AD8*(C8-2*E8)^2)+(SQRT(ABS(((0.026*0.85*AD8*(C8-2*E8)^2)+(2*V8*((C8-E8)/E8)*E8))^2-(0.857*0.85*AD8*(C8-2*E8)^2*V8*((C8-E8)/E8)*E8)))/(0.0848*0.85*AD8*(C8-2*E8)^2)),0))/2)))/10^6),IF(AE8=2,MIN(((V8*(N8*10^3))+(0.5*0.95*0.85*AD8*((C8-2*E8)^3)/6))/10^6,((V8*((C8^3-(C8-2*E8)^3)/6)*SIN((PI()-MAX((0.026*0.85*AD8*(C8-2*E8)^2-2*V8*((C8-E8)/E8)*E8)/(0.0848*0.85*AD8*(C8-2*E8)^2)+(SQRT(ABS(((0.026*0.85*AD8*(C8-2*E8)^2)+(2*V8*((C8-E8)/E8)*E8))^2-(0.857*0.85*AD8*(C8-2*E8)^2*V8*((C8-E8)/E8)*E8)))/(0.0848*0.85*AD8*(C8-2*E8)^2)),0))/2))+(0.5*0.95*0.85*AD8*(((C8-2*E8)^3)/6)*SIN((PI()-MAX((0.026*0.85*AD8*(C8-2*E8)^2-2*V8*((C8-E8)/E8)*E8)/(0.0848*0.85*AD8*(C8-2*E8)^2)+(SQRT(ABS(((0.026*0.85*AD8*(C8-2*E8)^2)+(2*V8*((C8-E8)/E8)*E8))^2-(0.857*0.85*AD8*(C8-2*E8)^2*V8*((C8-E8)/E8)*E8)))/(0.0848*0.85*AD8*(C8-2*E8)^2)),0))/2)))/10^6)-((((V8*(N8*10^3))+(0.5*0.95*0.85*AD8*((C8-2*E8)^3)/6))/10^6-MIN(((V8*(N8*10^3))+(0.5*0.95*0.85*AD8*((C8-2*E8)^3)/6))/10^6,((V8*((C8^3-(C8-2*E8)^3)/6)*SIN((PI()-MAX((0.026*0.85*AD8*(C8-2*E8)^2-2*V8*((C8-E8)/E8)*E8)/(0.0848*0.85*AD8*(C8-2*E8)^2)+(SQRT(ABS(((0.026*0.85*AD8*(C8-2*E8)^2)+(2*V8*((C8-E8)/E8)*E8))^2-(0.857*0.85*AD8*(C8-2*E8)^2*V8*((C8-E8)/E8)*E8)))/(0.0848*0.85*AD8*(C8-2*E8)^2)),0))/2))+(0.5*0.95*0.85*AD8*(((C8-2*E8)^3)/6)*SIN((PI()-MAX((0.026*0.85*AD8*(C8-2*E8)^2-2*V8*((C8-E8)/E8)*E8)/(0.0848*0.85*AD8*(C8-2*E8)^2)+(SQRT(ABS(((0.026*0.85*AD8*(C8-2*E8)^2)+(2*V8*((C8-E8)/E8)*E8))^2-(0.857*0.85*AD8*(C8-2*E8)^2*V8*((C8-E8)/E8)*E8)))/(0.0848*0.85*AD8*(C8-2*E8)^2)),0))/2)))/10^6))*((C8/E8-0.09*(2.1*10^5)/V8)/(0.31*(2.1*10^5)/V8-0.09*(2.1*10^5)/V8))),IF(AE8=3,MIN(((V8*((C8^3-(C8-2*E8)^3)/6)*SIN((PI()-MAX((0.026*0.85*AD8*(C8-2*E8)^2-2*V8*((C8-E8)/E8)*E8)/(0.0848*0.85*AD8*(C8-2*E8)^2)+(SQRT(ABS(((0.026*0.85*AD8*(C8-2*E8)^2)+(2*V8*((C8-E8)/E8)*E8))^2-(0.857*0.85*AD8*(C8-2*E8)^2*V8*((C8-E8)/E8)*E8)))/(0.0848*0.85*AD8*(C8-2*E8)^2)),0))/2))+(0.5*0.95*0.85*AD8*(((C8-2*E8)^3)/6)*SIN((PI()-MAX((0.026*0.85*AD8*(C8-2*E8)^2-2*V8*((C8-E8)/E8)*E8)/(0.0848*0.85*AD8*(C8-2*E8)^2)+(SQRT(ABS(((0.026*0.85*AD8*(C8-2*E8)^2)+(2*V8*((C8-E8)/E8)*E8))^2-(0.857*0.85*AD8*(C8-2*E8)^2*V8*((C8-E8)/E8)*E8)))/(0.0848*0.85*AD8*(C8-2*E8)^2)),0))/2)))/10^6,((V8*((C8^3-(C8-2*E8)^3)/6)*SIN((PI()-MAX((0.026*0.85*AD8*(C8-2*E8)^2-2*V8*((C8-E8)/E8)*E8)/(0.0848*0.85*AD8*(C8-2*E8)^2)+(SQRT(ABS(((0.026*0.85*AD8*(C8-2*E8)^2)+(2*V8*((C8-E8)/E8)*E8))^2-(0.857*0.85*AD8*(C8-2*E8)^2*V8*((C8-E8)/E8)*E8)))/(0.0848*0.85*AD8*(C8-2*E8)^2)),0))/2))+(0.5*0.95*0.85*AD8*(((C8-2*E8)^3)/6)*SIN((PI()-MAX((0.026*0.85*AD8*(C8-2*E8)^2-2*V8*((C8-E8)/E8)*E8)/(0.0848*0.85*AD8*(C8-2*E8)^2)+(SQRT(ABS(((0.026*0.85*AD8*(C8-2*E8)^2)+(2*V8*((C8-E8)/E8)*E8))^2-(0.857*0.85*AD8*(C8-2*E8)^2*V8*((C8-E8)/E8)*E8)))/(0.0848*0.85*AD8*(C8-2*E8)^2)),0))/2)))/10^6),0)))</f>
        <v>42.027120659109059</v>
      </c>
      <c r="AH8" s="245">
        <f>0.9*IF(AE8=1,MIN(((V8*(O8*10^3))+(0.5*0.95*0.85*AD8*((C8-2*E8)^3)/6))/10^6,((V8*((C8^3-(C8-2*E8)^3)/6)*SIN((PI()-MAX((0.026*0.85*AD8*(C8-2*E8)^2-2*V8*((C8-E8)/E8)*E8)/(0.0848*0.85*AD8*(C8-2*E8)^2)+(SQRT(ABS(((0.026*0.85*AD8*(C8-2*E8)^2)+(2*V8*((C8-E8)/E8)*E8))^2-(0.857*0.85*AD8*(C8-2*E8)^2*V8*((C8-E8)/E8)*E8)))/(0.0848*0.85*AD8*(C8-2*E8)^2)),0))/2))+(0.5*0.95*0.85*AD8*(((C8-2*E8)^3)/6)*SIN((PI()-MAX((0.026*0.85*AD8*(C8-2*E8)^2-2*V8*((C8-E8)/E8)*E8)/(0.0848*0.85*AD8*(C8-2*E8)^2)+(SQRT(ABS(((0.026*0.85*AD8*(C8-2*E8)^2)+(2*V8*((C8-E8)/E8)*E8))^2-(0.857*0.85*AD8*(C8-2*E8)^2*V8*((C8-E8)/E8)*E8)))/(0.0848*0.85*AD8*(C8-2*E8)^2)),0))/2)))/10^6),IF(AE8=2,MIN(((V8*(O8*10^3))+(0.5*0.95*0.85*AD8*((C8-2*E8)^3)/6))/10^6,((V8*((C8^3-(C8-2*E8)^3)/6)*SIN((PI()-MAX((0.026*0.85*AD8*(C8-2*E8)^2-2*V8*((C8-E8)/E8)*E8)/(0.0848*0.85*AD8*(C8-2*E8)^2)+(SQRT(ABS(((0.026*0.85*AD8*(C8-2*E8)^2)+(2*V8*((C8-E8)/E8)*E8))^2-(0.857*0.85*AD8*(C8-2*E8)^2*V8*((C8-E8)/E8)*E8)))/(0.0848*0.85*AD8*(C8-2*E8)^2)),0))/2))+(0.5*0.95*0.85*AD8*(((C8-2*E8)^3)/6)*SIN((PI()-MAX((0.026*0.85*AD8*(C8-2*E8)^2-2*V8*((C8-E8)/E8)*E8)/(0.0848*0.85*AD8*(C8-2*E8)^2)+(SQRT(ABS(((0.026*0.85*AD8*(C8-2*E8)^2)+(2*V8*((C8-E8)/E8)*E8))^2-(0.857*0.85*AD8*(C8-2*E8)^2*V8*((C8-E8)/E8)*E8)))/(0.0848*0.85*AD8*(C8-2*E8)^2)),0))/2)))/10^6)-((((V8*(O8*10^3))+(0.5*0.95*0.85*AD8*((C8-2*E8)^3)/6))/10^6-MIN(((V8*(O8*10^3))+(0.5*0.95*0.85*AD8*((C8-2*E8)^3)/6))/10^6,((V8*((C8^3-(C8-2*E8)^3)/6)*SIN((PI()-MAX((0.026*0.85*AD8*(C8-2*E8)^2-2*V8*((C8-E8)/E8)*E8)/(0.0848*0.85*AD8*(C8-2*E8)^2)+(SQRT(ABS(((0.026*0.85*AD8*(C8-2*E8)^2)+(2*V8*((C8-E8)/E8)*E8))^2-(0.857*0.85*AD8*(C8-2*E8)^2*V8*((C8-E8)/E8)*E8)))/(0.0848*0.85*AD8*(C8-2*E8)^2)),0))/2))+(0.5*0.95*0.85*AD8*(((C8-2*E8)^3)/6)*SIN((PI()-MAX((0.026*0.85*AD8*(C8-2*E8)^2-2*V8*((C8-E8)/E8)*E8)/(0.0848*0.85*AD8*(C8-2*E8)^2)+(SQRT(ABS(((0.026*0.85*AD8*(C8-2*E8)^2)+(2*V8*((C8-E8)/E8)*E8))^2-(0.857*0.85*AD8*(C8-2*E8)^2*V8*((C8-E8)/E8)*E8)))/(0.0848*0.85*AD8*(C8-2*E8)^2)),0))/2)))/10^6))*((C8/E8-0.09*(2.1*10^5)/V8)/(0.31*(2.1*10^5)/V8-0.09*(2.1*10^5)/V8))),IF(AE8=3,MIN(((V8*((C8^3-(C8-2*E8)^3)/6)*SIN((PI()-MAX((0.026*0.85*AD8*(C8-2*E8)^2-2*V8*((C8-E8)/E8)*E8)/(0.0848*0.85*AD8*(C8-2*E8)^2)+(SQRT(ABS(((0.026*0.85*AD8*(C8-2*E8)^2)+(2*V8*((C8-E8)/E8)*E8))^2-(0.857*0.85*AD8*(C8-2*E8)^2*V8*((C8-E8)/E8)*E8)))/(0.0848*0.85*AD8*(C8-2*E8)^2)),0))/2))+(0.5*0.95*0.85*AD8*(((C8-2*E8)^3)/6)*SIN((PI()-MAX((0.026*0.85*AD8*(C8-2*E8)^2-2*V8*((C8-E8)/E8)*E8)/(0.0848*0.85*AD8*(C8-2*E8)^2)+(SQRT(ABS(((0.026*0.85*AD8*(C8-2*E8)^2)+(2*V8*((C8-E8)/E8)*E8))^2-(0.857*0.85*AD8*(C8-2*E8)^2*V8*((C8-E8)/E8)*E8)))/(0.0848*0.85*AD8*(C8-2*E8)^2)),0))/2)))/10^6,((V8*((C8^3-(C8-2*E8)^3)/6)*SIN((PI()-MAX((0.026*0.85*AD8*(C8-2*E8)^2-2*V8*((C8-E8)/E8)*E8)/(0.0848*0.85*AD8*(C8-2*E8)^2)+(SQRT(ABS(((0.026*0.85*AD8*(C8-2*E8)^2)+(2*V8*((C8-E8)/E8)*E8))^2-(0.857*0.85*AD8*(C8-2*E8)^2*V8*((C8-E8)/E8)*E8)))/(0.0848*0.85*AD8*(C8-2*E8)^2)),0))/2))+(0.5*0.95*0.85*AD8*(((C8-2*E8)^3)/6)*SIN((PI()-MAX((0.026*0.85*AD8*(C8-2*E8)^2-2*V8*((C8-E8)/E8)*E8)/(0.0848*0.85*AD8*(C8-2*E8)^2)+(SQRT(ABS(((0.026*0.85*AD8*(C8-2*E8)^2)+(2*V8*((C8-E8)/E8)*E8))^2-(0.857*0.85*AD8*(C8-2*E8)^2*V8*((C8-E8)/E8)*E8)))/(0.0848*0.85*AD8*(C8-2*E8)^2)),0))/2)))/10^6),0)))</f>
        <v>42.027120659109059</v>
      </c>
      <c r="AI8" s="245">
        <f>0.9*MIN((0.78*(2.1*10^5))/(C8/E8)^(3/2),0.6*V8)*(F8*10^2)/2/1000</f>
        <v>214.55554151581291</v>
      </c>
      <c r="AJ8" s="251">
        <f>0.9*MIN((0.78*(2.1*10^5))/(C8/E8)^(3/2),0.6*V8)*(F8*10^2)/2/1000</f>
        <v>214.55554151581291</v>
      </c>
    </row>
    <row r="9" spans="1:36" s="254" customFormat="1" x14ac:dyDescent="0.25">
      <c r="A9" s="241" t="str">
        <f t="shared" si="3"/>
        <v>NB150X5.9</v>
      </c>
      <c r="B9" s="242">
        <v>150</v>
      </c>
      <c r="C9" s="243">
        <v>165.1</v>
      </c>
      <c r="D9" s="242">
        <v>0</v>
      </c>
      <c r="E9" s="244">
        <v>5.9</v>
      </c>
      <c r="F9" s="245">
        <f t="shared" si="4"/>
        <v>29.508351476638232</v>
      </c>
      <c r="G9" s="246">
        <f t="shared" si="5"/>
        <v>23.164055909161014</v>
      </c>
      <c r="H9" s="246">
        <f t="shared" si="6"/>
        <v>936.1321636047071</v>
      </c>
      <c r="I9" s="246">
        <f t="shared" si="7"/>
        <v>936.1321636047071</v>
      </c>
      <c r="J9" s="246">
        <f t="shared" si="8"/>
        <v>5.6324339765327016</v>
      </c>
      <c r="K9" s="246">
        <f t="shared" si="9"/>
        <v>5.6324339765327016</v>
      </c>
      <c r="L9" s="246">
        <f t="shared" si="10"/>
        <v>113.40183689941941</v>
      </c>
      <c r="M9" s="246">
        <f t="shared" si="11"/>
        <v>113.40183689941941</v>
      </c>
      <c r="N9" s="246">
        <f t="shared" si="12"/>
        <v>149.60183566666674</v>
      </c>
      <c r="O9" s="246">
        <f t="shared" si="13"/>
        <v>149.60183566666674</v>
      </c>
      <c r="P9" s="246">
        <f t="shared" si="14"/>
        <v>1872.2643272094142</v>
      </c>
      <c r="Q9" s="246">
        <f t="shared" si="15"/>
        <v>226.80367379883882</v>
      </c>
      <c r="R9" s="246">
        <f t="shared" si="16"/>
        <v>51.867694710767481</v>
      </c>
      <c r="S9" s="247">
        <f t="shared" si="17"/>
        <v>0.63661977236758138</v>
      </c>
      <c r="T9" s="248" t="s">
        <v>425</v>
      </c>
      <c r="U9" s="249" t="s">
        <v>652</v>
      </c>
      <c r="V9" s="250">
        <f>VLOOKUP($U9,GRADE!$B$5:$E$36,IF($E9&lt;=20,2,IF($E9&lt;=40,3,4)),FALSE)</f>
        <v>350</v>
      </c>
      <c r="W9" s="250">
        <f>VLOOKUP($U9,GRADE!$B$5:$F$36,5,FALSE)</f>
        <v>490</v>
      </c>
      <c r="X9" s="250">
        <f t="shared" si="18"/>
        <v>1</v>
      </c>
      <c r="Y9" s="245">
        <f t="shared" si="19"/>
        <v>938.90209243848903</v>
      </c>
      <c r="Z9" s="245">
        <f t="shared" si="20"/>
        <v>43.298883179778315</v>
      </c>
      <c r="AA9" s="245">
        <f t="shared" si="21"/>
        <v>43.298883179778315</v>
      </c>
      <c r="AB9" s="245">
        <f t="shared" si="22"/>
        <v>345.09590235554776</v>
      </c>
      <c r="AC9" s="251">
        <f t="shared" si="23"/>
        <v>345.09590235554776</v>
      </c>
      <c r="AD9" s="273">
        <v>40</v>
      </c>
      <c r="AE9" s="250">
        <f>IF((C9/E9)&lt;=(0.09*2.1*10^5/V9),1,IF((C9/E9)&lt;=(0.31*2.1*10^5/V9),2,IF((C9/E9)&lt;=(0.31*2.1*10^5/V9),3,4)))</f>
        <v>1</v>
      </c>
      <c r="AF9" s="245">
        <f>0.9*(V9*F9*10^2)/10^3</f>
        <v>929.51307151410435</v>
      </c>
      <c r="AG9" s="245">
        <f>0.9*IF(AE9=1,MIN(((V9*(N9*10^3))+(0.5*0.95*0.85*AD9*((C9-2*E9)^3)/6))/10^6,((V9*((C9^3-(C9-2*E9)^3)/6)*SIN((PI()-MAX((0.026*0.85*AD9*(C9-2*E9)^2-2*V9*((C9-E9)/E9)*E9)/(0.0848*0.85*AD9*(C9-2*E9)^2)+(SQRT(ABS(((0.026*0.85*AD9*(C9-2*E9)^2)+(2*V9*((C9-E9)/E9)*E9))^2-(0.857*0.85*AD9*(C9-2*E9)^2*V9*((C9-E9)/E9)*E9)))/(0.0848*0.85*AD9*(C9-2*E9)^2)),0))/2))+(0.5*0.95*0.85*AD9*(((C9-2*E9)^3)/6)*SIN((PI()-MAX((0.026*0.85*AD9*(C9-2*E9)^2-2*V9*((C9-E9)/E9)*E9)/(0.0848*0.85*AD9*(C9-2*E9)^2)+(SQRT(ABS(((0.026*0.85*AD9*(C9-2*E9)^2)+(2*V9*((C9-E9)/E9)*E9))^2-(0.857*0.85*AD9*(C9-2*E9)^2*V9*((C9-E9)/E9)*E9)))/(0.0848*0.85*AD9*(C9-2*E9)^2)),0))/2)))/10^6),IF(AE9=2,MIN(((V9*(N9*10^3))+(0.5*0.95*0.85*AD9*((C9-2*E9)^3)/6))/10^6,((V9*((C9^3-(C9-2*E9)^3)/6)*SIN((PI()-MAX((0.026*0.85*AD9*(C9-2*E9)^2-2*V9*((C9-E9)/E9)*E9)/(0.0848*0.85*AD9*(C9-2*E9)^2)+(SQRT(ABS(((0.026*0.85*AD9*(C9-2*E9)^2)+(2*V9*((C9-E9)/E9)*E9))^2-(0.857*0.85*AD9*(C9-2*E9)^2*V9*((C9-E9)/E9)*E9)))/(0.0848*0.85*AD9*(C9-2*E9)^2)),0))/2))+(0.5*0.95*0.85*AD9*(((C9-2*E9)^3)/6)*SIN((PI()-MAX((0.026*0.85*AD9*(C9-2*E9)^2-2*V9*((C9-E9)/E9)*E9)/(0.0848*0.85*AD9*(C9-2*E9)^2)+(SQRT(ABS(((0.026*0.85*AD9*(C9-2*E9)^2)+(2*V9*((C9-E9)/E9)*E9))^2-(0.857*0.85*AD9*(C9-2*E9)^2*V9*((C9-E9)/E9)*E9)))/(0.0848*0.85*AD9*(C9-2*E9)^2)),0))/2)))/10^6)-((((V9*(N9*10^3))+(0.5*0.95*0.85*AD9*((C9-2*E9)^3)/6))/10^6-MIN(((V9*(N9*10^3))+(0.5*0.95*0.85*AD9*((C9-2*E9)^3)/6))/10^6,((V9*((C9^3-(C9-2*E9)^3)/6)*SIN((PI()-MAX((0.026*0.85*AD9*(C9-2*E9)^2-2*V9*((C9-E9)/E9)*E9)/(0.0848*0.85*AD9*(C9-2*E9)^2)+(SQRT(ABS(((0.026*0.85*AD9*(C9-2*E9)^2)+(2*V9*((C9-E9)/E9)*E9))^2-(0.857*0.85*AD9*(C9-2*E9)^2*V9*((C9-E9)/E9)*E9)))/(0.0848*0.85*AD9*(C9-2*E9)^2)),0))/2))+(0.5*0.95*0.85*AD9*(((C9-2*E9)^3)/6)*SIN((PI()-MAX((0.026*0.85*AD9*(C9-2*E9)^2-2*V9*((C9-E9)/E9)*E9)/(0.0848*0.85*AD9*(C9-2*E9)^2)+(SQRT(ABS(((0.026*0.85*AD9*(C9-2*E9)^2)+(2*V9*((C9-E9)/E9)*E9))^2-(0.857*0.85*AD9*(C9-2*E9)^2*V9*((C9-E9)/E9)*E9)))/(0.0848*0.85*AD9*(C9-2*E9)^2)),0))/2)))/10^6))*((C9/E9-0.09*(2.1*10^5)/V9)/(0.31*(2.1*10^5)/V9-0.09*(2.1*10^5)/V9))),IF(AE9=3,MIN(((V9*((C9^3-(C9-2*E9)^3)/6)*SIN((PI()-MAX((0.026*0.85*AD9*(C9-2*E9)^2-2*V9*((C9-E9)/E9)*E9)/(0.0848*0.85*AD9*(C9-2*E9)^2)+(SQRT(ABS(((0.026*0.85*AD9*(C9-2*E9)^2)+(2*V9*((C9-E9)/E9)*E9))^2-(0.857*0.85*AD9*(C9-2*E9)^2*V9*((C9-E9)/E9)*E9)))/(0.0848*0.85*AD9*(C9-2*E9)^2)),0))/2))+(0.5*0.95*0.85*AD9*(((C9-2*E9)^3)/6)*SIN((PI()-MAX((0.026*0.85*AD9*(C9-2*E9)^2-2*V9*((C9-E9)/E9)*E9)/(0.0848*0.85*AD9*(C9-2*E9)^2)+(SQRT(ABS(((0.026*0.85*AD9*(C9-2*E9)^2)+(2*V9*((C9-E9)/E9)*E9))^2-(0.857*0.85*AD9*(C9-2*E9)^2*V9*((C9-E9)/E9)*E9)))/(0.0848*0.85*AD9*(C9-2*E9)^2)),0))/2)))/10^6,((V9*((C9^3-(C9-2*E9)^3)/6)*SIN((PI()-MAX((0.026*0.85*AD9*(C9-2*E9)^2-2*V9*((C9-E9)/E9)*E9)/(0.0848*0.85*AD9*(C9-2*E9)^2)+(SQRT(ABS(((0.026*0.85*AD9*(C9-2*E9)^2)+(2*V9*((C9-E9)/E9)*E9))^2-(0.857*0.85*AD9*(C9-2*E9)^2*V9*((C9-E9)/E9)*E9)))/(0.0848*0.85*AD9*(C9-2*E9)^2)),0))/2))+(0.5*0.95*0.85*AD9*(((C9-2*E9)^3)/6)*SIN((PI()-MAX((0.026*0.85*AD9*(C9-2*E9)^2-2*V9*((C9-E9)/E9)*E9)/(0.0848*0.85*AD9*(C9-2*E9)^2)+(SQRT(ABS(((0.026*0.85*AD9*(C9-2*E9)^2)+(2*V9*((C9-E9)/E9)*E9))^2-(0.857*0.85*AD9*(C9-2*E9)^2*V9*((C9-E9)/E9)*E9)))/(0.0848*0.85*AD9*(C9-2*E9)^2)),0))/2)))/10^6),0)))</f>
        <v>51.615645211433829</v>
      </c>
      <c r="AH9" s="245">
        <f>0.9*IF(AE9=1,MIN(((V9*(O9*10^3))+(0.5*0.95*0.85*AD9*((C9-2*E9)^3)/6))/10^6,((V9*((C9^3-(C9-2*E9)^3)/6)*SIN((PI()-MAX((0.026*0.85*AD9*(C9-2*E9)^2-2*V9*((C9-E9)/E9)*E9)/(0.0848*0.85*AD9*(C9-2*E9)^2)+(SQRT(ABS(((0.026*0.85*AD9*(C9-2*E9)^2)+(2*V9*((C9-E9)/E9)*E9))^2-(0.857*0.85*AD9*(C9-2*E9)^2*V9*((C9-E9)/E9)*E9)))/(0.0848*0.85*AD9*(C9-2*E9)^2)),0))/2))+(0.5*0.95*0.85*AD9*(((C9-2*E9)^3)/6)*SIN((PI()-MAX((0.026*0.85*AD9*(C9-2*E9)^2-2*V9*((C9-E9)/E9)*E9)/(0.0848*0.85*AD9*(C9-2*E9)^2)+(SQRT(ABS(((0.026*0.85*AD9*(C9-2*E9)^2)+(2*V9*((C9-E9)/E9)*E9))^2-(0.857*0.85*AD9*(C9-2*E9)^2*V9*((C9-E9)/E9)*E9)))/(0.0848*0.85*AD9*(C9-2*E9)^2)),0))/2)))/10^6),IF(AE9=2,MIN(((V9*(O9*10^3))+(0.5*0.95*0.85*AD9*((C9-2*E9)^3)/6))/10^6,((V9*((C9^3-(C9-2*E9)^3)/6)*SIN((PI()-MAX((0.026*0.85*AD9*(C9-2*E9)^2-2*V9*((C9-E9)/E9)*E9)/(0.0848*0.85*AD9*(C9-2*E9)^2)+(SQRT(ABS(((0.026*0.85*AD9*(C9-2*E9)^2)+(2*V9*((C9-E9)/E9)*E9))^2-(0.857*0.85*AD9*(C9-2*E9)^2*V9*((C9-E9)/E9)*E9)))/(0.0848*0.85*AD9*(C9-2*E9)^2)),0))/2))+(0.5*0.95*0.85*AD9*(((C9-2*E9)^3)/6)*SIN((PI()-MAX((0.026*0.85*AD9*(C9-2*E9)^2-2*V9*((C9-E9)/E9)*E9)/(0.0848*0.85*AD9*(C9-2*E9)^2)+(SQRT(ABS(((0.026*0.85*AD9*(C9-2*E9)^2)+(2*V9*((C9-E9)/E9)*E9))^2-(0.857*0.85*AD9*(C9-2*E9)^2*V9*((C9-E9)/E9)*E9)))/(0.0848*0.85*AD9*(C9-2*E9)^2)),0))/2)))/10^6)-((((V9*(O9*10^3))+(0.5*0.95*0.85*AD9*((C9-2*E9)^3)/6))/10^6-MIN(((V9*(O9*10^3))+(0.5*0.95*0.85*AD9*((C9-2*E9)^3)/6))/10^6,((V9*((C9^3-(C9-2*E9)^3)/6)*SIN((PI()-MAX((0.026*0.85*AD9*(C9-2*E9)^2-2*V9*((C9-E9)/E9)*E9)/(0.0848*0.85*AD9*(C9-2*E9)^2)+(SQRT(ABS(((0.026*0.85*AD9*(C9-2*E9)^2)+(2*V9*((C9-E9)/E9)*E9))^2-(0.857*0.85*AD9*(C9-2*E9)^2*V9*((C9-E9)/E9)*E9)))/(0.0848*0.85*AD9*(C9-2*E9)^2)),0))/2))+(0.5*0.95*0.85*AD9*(((C9-2*E9)^3)/6)*SIN((PI()-MAX((0.026*0.85*AD9*(C9-2*E9)^2-2*V9*((C9-E9)/E9)*E9)/(0.0848*0.85*AD9*(C9-2*E9)^2)+(SQRT(ABS(((0.026*0.85*AD9*(C9-2*E9)^2)+(2*V9*((C9-E9)/E9)*E9))^2-(0.857*0.85*AD9*(C9-2*E9)^2*V9*((C9-E9)/E9)*E9)))/(0.0848*0.85*AD9*(C9-2*E9)^2)),0))/2)))/10^6))*((C9/E9-0.09*(2.1*10^5)/V9)/(0.31*(2.1*10^5)/V9-0.09*(2.1*10^5)/V9))),IF(AE9=3,MIN(((V9*((C9^3-(C9-2*E9)^3)/6)*SIN((PI()-MAX((0.026*0.85*AD9*(C9-2*E9)^2-2*V9*((C9-E9)/E9)*E9)/(0.0848*0.85*AD9*(C9-2*E9)^2)+(SQRT(ABS(((0.026*0.85*AD9*(C9-2*E9)^2)+(2*V9*((C9-E9)/E9)*E9))^2-(0.857*0.85*AD9*(C9-2*E9)^2*V9*((C9-E9)/E9)*E9)))/(0.0848*0.85*AD9*(C9-2*E9)^2)),0))/2))+(0.5*0.95*0.85*AD9*(((C9-2*E9)^3)/6)*SIN((PI()-MAX((0.026*0.85*AD9*(C9-2*E9)^2-2*V9*((C9-E9)/E9)*E9)/(0.0848*0.85*AD9*(C9-2*E9)^2)+(SQRT(ABS(((0.026*0.85*AD9*(C9-2*E9)^2)+(2*V9*((C9-E9)/E9)*E9))^2-(0.857*0.85*AD9*(C9-2*E9)^2*V9*((C9-E9)/E9)*E9)))/(0.0848*0.85*AD9*(C9-2*E9)^2)),0))/2)))/10^6,((V9*((C9^3-(C9-2*E9)^3)/6)*SIN((PI()-MAX((0.026*0.85*AD9*(C9-2*E9)^2-2*V9*((C9-E9)/E9)*E9)/(0.0848*0.85*AD9*(C9-2*E9)^2)+(SQRT(ABS(((0.026*0.85*AD9*(C9-2*E9)^2)+(2*V9*((C9-E9)/E9)*E9))^2-(0.857*0.85*AD9*(C9-2*E9)^2*V9*((C9-E9)/E9)*E9)))/(0.0848*0.85*AD9*(C9-2*E9)^2)),0))/2))+(0.5*0.95*0.85*AD9*(((C9-2*E9)^3)/6)*SIN((PI()-MAX((0.026*0.85*AD9*(C9-2*E9)^2-2*V9*((C9-E9)/E9)*E9)/(0.0848*0.85*AD9*(C9-2*E9)^2)+(SQRT(ABS(((0.026*0.85*AD9*(C9-2*E9)^2)+(2*V9*((C9-E9)/E9)*E9))^2-(0.857*0.85*AD9*(C9-2*E9)^2*V9*((C9-E9)/E9)*E9)))/(0.0848*0.85*AD9*(C9-2*E9)^2)),0))/2)))/10^6),0)))</f>
        <v>51.615645211433829</v>
      </c>
      <c r="AI9" s="245">
        <f>0.9*MIN((0.78*(2.1*10^5))/(C9/E9)^(3/2),0.6*V9)*(F9*10^2)/2/1000</f>
        <v>278.85392145423134</v>
      </c>
      <c r="AJ9" s="251">
        <f>0.9*MIN((0.78*(2.1*10^5))/(C9/E9)^(3/2),0.6*V9)*(F9*10^2)/2/1000</f>
        <v>278.85392145423134</v>
      </c>
    </row>
    <row r="10" spans="1:36" s="254" customFormat="1" x14ac:dyDescent="0.25">
      <c r="A10" s="241" t="str">
        <f t="shared" si="3"/>
        <v>NB200X5.9</v>
      </c>
      <c r="B10" s="242">
        <v>200</v>
      </c>
      <c r="C10" s="243">
        <v>219.1</v>
      </c>
      <c r="D10" s="242">
        <v>0</v>
      </c>
      <c r="E10" s="244">
        <v>5.9</v>
      </c>
      <c r="F10" s="245">
        <f t="shared" si="4"/>
        <v>39.517465670975319</v>
      </c>
      <c r="G10" s="246">
        <f t="shared" si="5"/>
        <v>31.021210551715626</v>
      </c>
      <c r="H10" s="246">
        <f t="shared" si="6"/>
        <v>2247.0149647253497</v>
      </c>
      <c r="I10" s="246">
        <f t="shared" si="7"/>
        <v>2247.0149647253497</v>
      </c>
      <c r="J10" s="246">
        <f t="shared" si="8"/>
        <v>7.5406440374811483</v>
      </c>
      <c r="K10" s="246">
        <f t="shared" si="9"/>
        <v>7.5406440374811483</v>
      </c>
      <c r="L10" s="246">
        <f t="shared" si="10"/>
        <v>205.11318710409401</v>
      </c>
      <c r="M10" s="246">
        <f t="shared" si="11"/>
        <v>205.11318710409401</v>
      </c>
      <c r="N10" s="246">
        <f t="shared" si="12"/>
        <v>268.24847566666705</v>
      </c>
      <c r="O10" s="246">
        <f t="shared" si="13"/>
        <v>268.24847566666705</v>
      </c>
      <c r="P10" s="246">
        <f t="shared" si="14"/>
        <v>4494.0299294506995</v>
      </c>
      <c r="Q10" s="246">
        <f t="shared" si="15"/>
        <v>410.22637420818802</v>
      </c>
      <c r="R10" s="246">
        <f t="shared" si="16"/>
        <v>68.83229504015236</v>
      </c>
      <c r="S10" s="247">
        <f t="shared" si="17"/>
        <v>0.63661977236758138</v>
      </c>
      <c r="T10" s="248" t="s">
        <v>425</v>
      </c>
      <c r="U10" s="249" t="s">
        <v>652</v>
      </c>
      <c r="V10" s="250">
        <f>VLOOKUP($U10,GRADE!$B$5:$E$36,IF($E10&lt;=20,2,IF($E10&lt;=40,3,4)),FALSE)</f>
        <v>350</v>
      </c>
      <c r="W10" s="250">
        <f>VLOOKUP($U10,GRADE!$B$5:$F$36,5,FALSE)</f>
        <v>490</v>
      </c>
      <c r="X10" s="250">
        <f t="shared" si="18"/>
        <v>2</v>
      </c>
      <c r="Y10" s="245">
        <f t="shared" si="19"/>
        <v>1257.373907712851</v>
      </c>
      <c r="Z10" s="245">
        <f t="shared" si="20"/>
        <v>78.315944167017705</v>
      </c>
      <c r="AA10" s="245">
        <f t="shared" si="21"/>
        <v>78.315944167017705</v>
      </c>
      <c r="AB10" s="245">
        <f t="shared" si="22"/>
        <v>462.15104511433901</v>
      </c>
      <c r="AC10" s="251">
        <f t="shared" si="23"/>
        <v>462.15104511433901</v>
      </c>
      <c r="AD10" s="273">
        <v>40</v>
      </c>
      <c r="AE10" s="250">
        <f t="shared" ref="AE10:AE14" si="30">IF((C10/E10)&lt;=(0.09*2.1*10^5/V10),1,IF((C10/E10)&lt;=(0.31*2.1*10^5/V10),2,IF((C10/E10)&lt;=(0.31*2.1*10^5/V10),3,4)))</f>
        <v>1</v>
      </c>
      <c r="AF10" s="245">
        <f t="shared" ref="AF10:AF14" si="31">0.9*(V10*F10*10^2)/10^3</f>
        <v>1244.8001686357225</v>
      </c>
      <c r="AG10" s="245">
        <f t="shared" ref="AG10:AG14" si="32">0.9*IF(AE10=1,MIN(((V10*(N10*10^3))+(0.5*0.95*0.85*AD10*((C10-2*E10)^3)/6))/10^6,((V10*((C10^3-(C10-2*E10)^3)/6)*SIN((PI()-MAX((0.026*0.85*AD10*(C10-2*E10)^2-2*V10*((C10-E10)/E10)*E10)/(0.0848*0.85*AD10*(C10-2*E10)^2)+(SQRT(ABS(((0.026*0.85*AD10*(C10-2*E10)^2)+(2*V10*((C10-E10)/E10)*E10))^2-(0.857*0.85*AD10*(C10-2*E10)^2*V10*((C10-E10)/E10)*E10)))/(0.0848*0.85*AD10*(C10-2*E10)^2)),0))/2))+(0.5*0.95*0.85*AD10*(((C10-2*E10)^3)/6)*SIN((PI()-MAX((0.026*0.85*AD10*(C10-2*E10)^2-2*V10*((C10-E10)/E10)*E10)/(0.0848*0.85*AD10*(C10-2*E10)^2)+(SQRT(ABS(((0.026*0.85*AD10*(C10-2*E10)^2)+(2*V10*((C10-E10)/E10)*E10))^2-(0.857*0.85*AD10*(C10-2*E10)^2*V10*((C10-E10)/E10)*E10)))/(0.0848*0.85*AD10*(C10-2*E10)^2)),0))/2)))/10^6),IF(AE10=2,MIN(((V10*(N10*10^3))+(0.5*0.95*0.85*AD10*((C10-2*E10)^3)/6))/10^6,((V10*((C10^3-(C10-2*E10)^3)/6)*SIN((PI()-MAX((0.026*0.85*AD10*(C10-2*E10)^2-2*V10*((C10-E10)/E10)*E10)/(0.0848*0.85*AD10*(C10-2*E10)^2)+(SQRT(ABS(((0.026*0.85*AD10*(C10-2*E10)^2)+(2*V10*((C10-E10)/E10)*E10))^2-(0.857*0.85*AD10*(C10-2*E10)^2*V10*((C10-E10)/E10)*E10)))/(0.0848*0.85*AD10*(C10-2*E10)^2)),0))/2))+(0.5*0.95*0.85*AD10*(((C10-2*E10)^3)/6)*SIN((PI()-MAX((0.026*0.85*AD10*(C10-2*E10)^2-2*V10*((C10-E10)/E10)*E10)/(0.0848*0.85*AD10*(C10-2*E10)^2)+(SQRT(ABS(((0.026*0.85*AD10*(C10-2*E10)^2)+(2*V10*((C10-E10)/E10)*E10))^2-(0.857*0.85*AD10*(C10-2*E10)^2*V10*((C10-E10)/E10)*E10)))/(0.0848*0.85*AD10*(C10-2*E10)^2)),0))/2)))/10^6)-((((V10*(N10*10^3))+(0.5*0.95*0.85*AD10*((C10-2*E10)^3)/6))/10^6-MIN(((V10*(N10*10^3))+(0.5*0.95*0.85*AD10*((C10-2*E10)^3)/6))/10^6,((V10*((C10^3-(C10-2*E10)^3)/6)*SIN((PI()-MAX((0.026*0.85*AD10*(C10-2*E10)^2-2*V10*((C10-E10)/E10)*E10)/(0.0848*0.85*AD10*(C10-2*E10)^2)+(SQRT(ABS(((0.026*0.85*AD10*(C10-2*E10)^2)+(2*V10*((C10-E10)/E10)*E10))^2-(0.857*0.85*AD10*(C10-2*E10)^2*V10*((C10-E10)/E10)*E10)))/(0.0848*0.85*AD10*(C10-2*E10)^2)),0))/2))+(0.5*0.95*0.85*AD10*(((C10-2*E10)^3)/6)*SIN((PI()-MAX((0.026*0.85*AD10*(C10-2*E10)^2-2*V10*((C10-E10)/E10)*E10)/(0.0848*0.85*AD10*(C10-2*E10)^2)+(SQRT(ABS(((0.026*0.85*AD10*(C10-2*E10)^2)+(2*V10*((C10-E10)/E10)*E10))^2-(0.857*0.85*AD10*(C10-2*E10)^2*V10*((C10-E10)/E10)*E10)))/(0.0848*0.85*AD10*(C10-2*E10)^2)),0))/2)))/10^6))*((C10/E10-0.09*(2.1*10^5)/V10)/(0.31*(2.1*10^5)/V10-0.09*(2.1*10^5)/V10))),IF(AE10=3,MIN(((V10*((C10^3-(C10-2*E10)^3)/6)*SIN((PI()-MAX((0.026*0.85*AD10*(C10-2*E10)^2-2*V10*((C10-E10)/E10)*E10)/(0.0848*0.85*AD10*(C10-2*E10)^2)+(SQRT(ABS(((0.026*0.85*AD10*(C10-2*E10)^2)+(2*V10*((C10-E10)/E10)*E10))^2-(0.857*0.85*AD10*(C10-2*E10)^2*V10*((C10-E10)/E10)*E10)))/(0.0848*0.85*AD10*(C10-2*E10)^2)),0))/2))+(0.5*0.95*0.85*AD10*(((C10-2*E10)^3)/6)*SIN((PI()-MAX((0.026*0.85*AD10*(C10-2*E10)^2-2*V10*((C10-E10)/E10)*E10)/(0.0848*0.85*AD10*(C10-2*E10)^2)+(SQRT(ABS(((0.026*0.85*AD10*(C10-2*E10)^2)+(2*V10*((C10-E10)/E10)*E10))^2-(0.857*0.85*AD10*(C10-2*E10)^2*V10*((C10-E10)/E10)*E10)))/(0.0848*0.85*AD10*(C10-2*E10)^2)),0))/2)))/10^6,((V10*((C10^3-(C10-2*E10)^3)/6)*SIN((PI()-MAX((0.026*0.85*AD10*(C10-2*E10)^2-2*V10*((C10-E10)/E10)*E10)/(0.0848*0.85*AD10*(C10-2*E10)^2)+(SQRT(ABS(((0.026*0.85*AD10*(C10-2*E10)^2)+(2*V10*((C10-E10)/E10)*E10))^2-(0.857*0.85*AD10*(C10-2*E10)^2*V10*((C10-E10)/E10)*E10)))/(0.0848*0.85*AD10*(C10-2*E10)^2)),0))/2))+(0.5*0.95*0.85*AD10*(((C10-2*E10)^3)/6)*SIN((PI()-MAX((0.026*0.85*AD10*(C10-2*E10)^2-2*V10*((C10-E10)/E10)*E10)/(0.0848*0.85*AD10*(C10-2*E10)^2)+(SQRT(ABS(((0.026*0.85*AD10*(C10-2*E10)^2)+(2*V10*((C10-E10)/E10)*E10))^2-(0.857*0.85*AD10*(C10-2*E10)^2*V10*((C10-E10)/E10)*E10)))/(0.0848*0.85*AD10*(C10-2*E10)^2)),0))/2)))/10^6),0)))</f>
        <v>91.73340777092487</v>
      </c>
      <c r="AH10" s="245">
        <f t="shared" ref="AH10:AH14" si="33">0.9*IF(AE10=1,MIN(((V10*(O10*10^3))+(0.5*0.95*0.85*AD10*((C10-2*E10)^3)/6))/10^6,((V10*((C10^3-(C10-2*E10)^3)/6)*SIN((PI()-MAX((0.026*0.85*AD10*(C10-2*E10)^2-2*V10*((C10-E10)/E10)*E10)/(0.0848*0.85*AD10*(C10-2*E10)^2)+(SQRT(ABS(((0.026*0.85*AD10*(C10-2*E10)^2)+(2*V10*((C10-E10)/E10)*E10))^2-(0.857*0.85*AD10*(C10-2*E10)^2*V10*((C10-E10)/E10)*E10)))/(0.0848*0.85*AD10*(C10-2*E10)^2)),0))/2))+(0.5*0.95*0.85*AD10*(((C10-2*E10)^3)/6)*SIN((PI()-MAX((0.026*0.85*AD10*(C10-2*E10)^2-2*V10*((C10-E10)/E10)*E10)/(0.0848*0.85*AD10*(C10-2*E10)^2)+(SQRT(ABS(((0.026*0.85*AD10*(C10-2*E10)^2)+(2*V10*((C10-E10)/E10)*E10))^2-(0.857*0.85*AD10*(C10-2*E10)^2*V10*((C10-E10)/E10)*E10)))/(0.0848*0.85*AD10*(C10-2*E10)^2)),0))/2)))/10^6),IF(AE10=2,MIN(((V10*(O10*10^3))+(0.5*0.95*0.85*AD10*((C10-2*E10)^3)/6))/10^6,((V10*((C10^3-(C10-2*E10)^3)/6)*SIN((PI()-MAX((0.026*0.85*AD10*(C10-2*E10)^2-2*V10*((C10-E10)/E10)*E10)/(0.0848*0.85*AD10*(C10-2*E10)^2)+(SQRT(ABS(((0.026*0.85*AD10*(C10-2*E10)^2)+(2*V10*((C10-E10)/E10)*E10))^2-(0.857*0.85*AD10*(C10-2*E10)^2*V10*((C10-E10)/E10)*E10)))/(0.0848*0.85*AD10*(C10-2*E10)^2)),0))/2))+(0.5*0.95*0.85*AD10*(((C10-2*E10)^3)/6)*SIN((PI()-MAX((0.026*0.85*AD10*(C10-2*E10)^2-2*V10*((C10-E10)/E10)*E10)/(0.0848*0.85*AD10*(C10-2*E10)^2)+(SQRT(ABS(((0.026*0.85*AD10*(C10-2*E10)^2)+(2*V10*((C10-E10)/E10)*E10))^2-(0.857*0.85*AD10*(C10-2*E10)^2*V10*((C10-E10)/E10)*E10)))/(0.0848*0.85*AD10*(C10-2*E10)^2)),0))/2)))/10^6)-((((V10*(O10*10^3))+(0.5*0.95*0.85*AD10*((C10-2*E10)^3)/6))/10^6-MIN(((V10*(O10*10^3))+(0.5*0.95*0.85*AD10*((C10-2*E10)^3)/6))/10^6,((V10*((C10^3-(C10-2*E10)^3)/6)*SIN((PI()-MAX((0.026*0.85*AD10*(C10-2*E10)^2-2*V10*((C10-E10)/E10)*E10)/(0.0848*0.85*AD10*(C10-2*E10)^2)+(SQRT(ABS(((0.026*0.85*AD10*(C10-2*E10)^2)+(2*V10*((C10-E10)/E10)*E10))^2-(0.857*0.85*AD10*(C10-2*E10)^2*V10*((C10-E10)/E10)*E10)))/(0.0848*0.85*AD10*(C10-2*E10)^2)),0))/2))+(0.5*0.95*0.85*AD10*(((C10-2*E10)^3)/6)*SIN((PI()-MAX((0.026*0.85*AD10*(C10-2*E10)^2-2*V10*((C10-E10)/E10)*E10)/(0.0848*0.85*AD10*(C10-2*E10)^2)+(SQRT(ABS(((0.026*0.85*AD10*(C10-2*E10)^2)+(2*V10*((C10-E10)/E10)*E10))^2-(0.857*0.85*AD10*(C10-2*E10)^2*V10*((C10-E10)/E10)*E10)))/(0.0848*0.85*AD10*(C10-2*E10)^2)),0))/2)))/10^6))*((C10/E10-0.09*(2.1*10^5)/V10)/(0.31*(2.1*10^5)/V10-0.09*(2.1*10^5)/V10))),IF(AE10=3,MIN(((V10*((C10^3-(C10-2*E10)^3)/6)*SIN((PI()-MAX((0.026*0.85*AD10*(C10-2*E10)^2-2*V10*((C10-E10)/E10)*E10)/(0.0848*0.85*AD10*(C10-2*E10)^2)+(SQRT(ABS(((0.026*0.85*AD10*(C10-2*E10)^2)+(2*V10*((C10-E10)/E10)*E10))^2-(0.857*0.85*AD10*(C10-2*E10)^2*V10*((C10-E10)/E10)*E10)))/(0.0848*0.85*AD10*(C10-2*E10)^2)),0))/2))+(0.5*0.95*0.85*AD10*(((C10-2*E10)^3)/6)*SIN((PI()-MAX((0.026*0.85*AD10*(C10-2*E10)^2-2*V10*((C10-E10)/E10)*E10)/(0.0848*0.85*AD10*(C10-2*E10)^2)+(SQRT(ABS(((0.026*0.85*AD10*(C10-2*E10)^2)+(2*V10*((C10-E10)/E10)*E10))^2-(0.857*0.85*AD10*(C10-2*E10)^2*V10*((C10-E10)/E10)*E10)))/(0.0848*0.85*AD10*(C10-2*E10)^2)),0))/2)))/10^6,((V10*((C10^3-(C10-2*E10)^3)/6)*SIN((PI()-MAX((0.026*0.85*AD10*(C10-2*E10)^2-2*V10*((C10-E10)/E10)*E10)/(0.0848*0.85*AD10*(C10-2*E10)^2)+(SQRT(ABS(((0.026*0.85*AD10*(C10-2*E10)^2)+(2*V10*((C10-E10)/E10)*E10))^2-(0.857*0.85*AD10*(C10-2*E10)^2*V10*((C10-E10)/E10)*E10)))/(0.0848*0.85*AD10*(C10-2*E10)^2)),0))/2))+(0.5*0.95*0.85*AD10*(((C10-2*E10)^3)/6)*SIN((PI()-MAX((0.026*0.85*AD10*(C10-2*E10)^2-2*V10*((C10-E10)/E10)*E10)/(0.0848*0.85*AD10*(C10-2*E10)^2)+(SQRT(ABS(((0.026*0.85*AD10*(C10-2*E10)^2)+(2*V10*((C10-E10)/E10)*E10))^2-(0.857*0.85*AD10*(C10-2*E10)^2*V10*((C10-E10)/E10)*E10)))/(0.0848*0.85*AD10*(C10-2*E10)^2)),0))/2)))/10^6),0)))</f>
        <v>91.73340777092487</v>
      </c>
      <c r="AI10" s="245">
        <f t="shared" ref="AI10:AI14" si="34">0.9*MIN((0.78*(2.1*10^5))/(C10/E10)^(3/2),0.6*V10)*(F10*10^2)/2/1000</f>
        <v>373.44005059071679</v>
      </c>
      <c r="AJ10" s="251">
        <f t="shared" ref="AJ10:AJ14" si="35">0.9*MIN((0.78*(2.1*10^5))/(C10/E10)^(3/2),0.6*V10)*(F10*10^2)/2/1000</f>
        <v>373.44005059071679</v>
      </c>
    </row>
    <row r="11" spans="1:36" s="254" customFormat="1" x14ac:dyDescent="0.25">
      <c r="A11" s="241" t="str">
        <f t="shared" si="3"/>
        <v>NB200X8</v>
      </c>
      <c r="B11" s="242">
        <v>200</v>
      </c>
      <c r="C11" s="243">
        <v>219.1</v>
      </c>
      <c r="D11" s="242">
        <v>0</v>
      </c>
      <c r="E11" s="244">
        <v>8</v>
      </c>
      <c r="F11" s="245">
        <f t="shared" si="4"/>
        <v>53.055216733824402</v>
      </c>
      <c r="G11" s="246">
        <f t="shared" si="5"/>
        <v>41.648345136052157</v>
      </c>
      <c r="H11" s="246">
        <f t="shared" si="6"/>
        <v>2959.63287346987</v>
      </c>
      <c r="I11" s="246">
        <f t="shared" si="7"/>
        <v>2959.63287346987</v>
      </c>
      <c r="J11" s="246">
        <f t="shared" si="8"/>
        <v>7.468869559712501</v>
      </c>
      <c r="K11" s="246">
        <f t="shared" si="9"/>
        <v>7.468869559712501</v>
      </c>
      <c r="L11" s="246">
        <f t="shared" si="10"/>
        <v>270.16274518209673</v>
      </c>
      <c r="M11" s="246">
        <f t="shared" si="11"/>
        <v>270.16274518209673</v>
      </c>
      <c r="N11" s="246">
        <f t="shared" si="12"/>
        <v>356.67634666666652</v>
      </c>
      <c r="O11" s="246">
        <f t="shared" si="13"/>
        <v>356.67634666666652</v>
      </c>
      <c r="P11" s="246">
        <f t="shared" si="14"/>
        <v>5919.26574693974</v>
      </c>
      <c r="Q11" s="246">
        <f t="shared" si="15"/>
        <v>540.32549036419346</v>
      </c>
      <c r="R11" s="246">
        <f t="shared" si="16"/>
        <v>68.83229504015236</v>
      </c>
      <c r="S11" s="247">
        <f t="shared" si="17"/>
        <v>0.63661977236758127</v>
      </c>
      <c r="T11" s="248" t="s">
        <v>425</v>
      </c>
      <c r="U11" s="249" t="s">
        <v>652</v>
      </c>
      <c r="V11" s="250">
        <f>VLOOKUP($U11,GRADE!$B$5:$E$36,IF($E11&lt;=20,2,IF($E11&lt;=40,3,4)),FALSE)</f>
        <v>350</v>
      </c>
      <c r="W11" s="250">
        <f>VLOOKUP($U11,GRADE!$B$5:$F$36,5,FALSE)</f>
        <v>490</v>
      </c>
      <c r="X11" s="250">
        <f t="shared" si="18"/>
        <v>1</v>
      </c>
      <c r="Y11" s="245">
        <f t="shared" si="19"/>
        <v>1688.1205324398672</v>
      </c>
      <c r="Z11" s="245">
        <f t="shared" si="20"/>
        <v>103.15304816043691</v>
      </c>
      <c r="AA11" s="245">
        <f t="shared" si="21"/>
        <v>103.15304816043691</v>
      </c>
      <c r="AB11" s="245">
        <f t="shared" si="22"/>
        <v>620.4730856592796</v>
      </c>
      <c r="AC11" s="251">
        <f t="shared" si="23"/>
        <v>620.4730856592796</v>
      </c>
      <c r="AD11" s="273">
        <v>40</v>
      </c>
      <c r="AE11" s="250">
        <f t="shared" si="30"/>
        <v>1</v>
      </c>
      <c r="AF11" s="245">
        <f t="shared" si="31"/>
        <v>1671.2393271154685</v>
      </c>
      <c r="AG11" s="245">
        <f t="shared" si="32"/>
        <v>115.32649472070609</v>
      </c>
      <c r="AH11" s="245">
        <f t="shared" si="33"/>
        <v>115.32649472070609</v>
      </c>
      <c r="AI11" s="245">
        <f t="shared" si="34"/>
        <v>501.37179813464058</v>
      </c>
      <c r="AJ11" s="251">
        <f t="shared" si="35"/>
        <v>501.37179813464058</v>
      </c>
    </row>
    <row r="12" spans="1:36" s="254" customFormat="1" x14ac:dyDescent="0.25">
      <c r="A12" s="241" t="str">
        <f t="shared" si="3"/>
        <v>NB250X8</v>
      </c>
      <c r="B12" s="242">
        <v>250</v>
      </c>
      <c r="C12" s="243">
        <v>273</v>
      </c>
      <c r="D12" s="242">
        <v>0</v>
      </c>
      <c r="E12" s="244">
        <v>8</v>
      </c>
      <c r="F12" s="245">
        <f t="shared" si="4"/>
        <v>66.601764256103621</v>
      </c>
      <c r="G12" s="246">
        <f t="shared" si="5"/>
        <v>52.282384941041343</v>
      </c>
      <c r="H12" s="246">
        <f t="shared" si="6"/>
        <v>5851.7142597465836</v>
      </c>
      <c r="I12" s="246">
        <f t="shared" si="7"/>
        <v>5851.7142597465836</v>
      </c>
      <c r="J12" s="246">
        <f t="shared" si="8"/>
        <v>9.3734332024077496</v>
      </c>
      <c r="K12" s="246">
        <f t="shared" si="9"/>
        <v>9.3734332024077496</v>
      </c>
      <c r="L12" s="246">
        <f t="shared" si="10"/>
        <v>428.69701536605004</v>
      </c>
      <c r="M12" s="246">
        <f t="shared" si="11"/>
        <v>428.69701536605004</v>
      </c>
      <c r="N12" s="246">
        <f t="shared" si="12"/>
        <v>561.9706666666666</v>
      </c>
      <c r="O12" s="246">
        <f t="shared" si="13"/>
        <v>561.9706666666666</v>
      </c>
      <c r="P12" s="246">
        <f t="shared" si="14"/>
        <v>11703.428519493167</v>
      </c>
      <c r="Q12" s="246">
        <f t="shared" si="15"/>
        <v>857.39403073210008</v>
      </c>
      <c r="R12" s="246">
        <f t="shared" si="16"/>
        <v>85.765479443001354</v>
      </c>
      <c r="S12" s="247">
        <f t="shared" si="17"/>
        <v>0.63661977236758138</v>
      </c>
      <c r="T12" s="248" t="s">
        <v>425</v>
      </c>
      <c r="U12" s="249" t="s">
        <v>652</v>
      </c>
      <c r="V12" s="250">
        <f>VLOOKUP($U12,GRADE!$B$5:$E$36,IF($E12&lt;=20,2,IF($E12&lt;=40,3,4)),FALSE)</f>
        <v>350</v>
      </c>
      <c r="W12" s="250">
        <f>VLOOKUP($U12,GRADE!$B$5:$F$36,5,FALSE)</f>
        <v>490</v>
      </c>
      <c r="X12" s="250">
        <f t="shared" si="18"/>
        <v>2</v>
      </c>
      <c r="Y12" s="245">
        <f t="shared" si="19"/>
        <v>2119.1470445123878</v>
      </c>
      <c r="Z12" s="245">
        <f t="shared" si="20"/>
        <v>163.68431495794636</v>
      </c>
      <c r="AA12" s="245">
        <f t="shared" si="21"/>
        <v>163.68431495794636</v>
      </c>
      <c r="AB12" s="245">
        <f t="shared" si="22"/>
        <v>778.89799952491342</v>
      </c>
      <c r="AC12" s="251">
        <f t="shared" si="23"/>
        <v>778.89799952491342</v>
      </c>
      <c r="AD12" s="273">
        <v>40</v>
      </c>
      <c r="AE12" s="250">
        <f t="shared" si="30"/>
        <v>1</v>
      </c>
      <c r="AF12" s="245">
        <f t="shared" si="31"/>
        <v>2097.9555740672645</v>
      </c>
      <c r="AG12" s="245">
        <f t="shared" si="32"/>
        <v>183.41021933978834</v>
      </c>
      <c r="AH12" s="245">
        <f t="shared" si="33"/>
        <v>183.41021933978834</v>
      </c>
      <c r="AI12" s="245">
        <f t="shared" si="34"/>
        <v>629.38667222017921</v>
      </c>
      <c r="AJ12" s="251">
        <f t="shared" si="35"/>
        <v>629.38667222017921</v>
      </c>
    </row>
    <row r="13" spans="1:36" s="254" customFormat="1" x14ac:dyDescent="0.25">
      <c r="A13" s="241" t="str">
        <f t="shared" si="3"/>
        <v>NB300X10</v>
      </c>
      <c r="B13" s="242">
        <v>300</v>
      </c>
      <c r="C13" s="243">
        <v>323.89999999999998</v>
      </c>
      <c r="D13" s="242">
        <v>0</v>
      </c>
      <c r="E13" s="244">
        <v>10</v>
      </c>
      <c r="F13" s="245">
        <f t="shared" si="4"/>
        <v>98.614593396183608</v>
      </c>
      <c r="G13" s="246">
        <f t="shared" si="5"/>
        <v>77.41245581600414</v>
      </c>
      <c r="H13" s="246">
        <f t="shared" si="6"/>
        <v>12158.342374387992</v>
      </c>
      <c r="I13" s="246">
        <f t="shared" si="7"/>
        <v>12158.342374387992</v>
      </c>
      <c r="J13" s="246">
        <f t="shared" si="8"/>
        <v>11.1036711271543</v>
      </c>
      <c r="K13" s="246">
        <f t="shared" si="9"/>
        <v>11.1036711271543</v>
      </c>
      <c r="L13" s="246">
        <f t="shared" si="10"/>
        <v>750.74667331818409</v>
      </c>
      <c r="M13" s="246">
        <f t="shared" si="11"/>
        <v>750.74667331818409</v>
      </c>
      <c r="N13" s="246">
        <f t="shared" si="12"/>
        <v>985.665433333333</v>
      </c>
      <c r="O13" s="246">
        <f t="shared" si="13"/>
        <v>985.665433333333</v>
      </c>
      <c r="P13" s="246">
        <f t="shared" si="14"/>
        <v>24316.684748775984</v>
      </c>
      <c r="Q13" s="246">
        <f t="shared" si="15"/>
        <v>1501.4933466363682</v>
      </c>
      <c r="R13" s="246">
        <f t="shared" si="16"/>
        <v>101.75618604977339</v>
      </c>
      <c r="S13" s="247">
        <f t="shared" si="17"/>
        <v>0.63661977236758138</v>
      </c>
      <c r="T13" s="248" t="s">
        <v>425</v>
      </c>
      <c r="U13" s="249" t="s">
        <v>652</v>
      </c>
      <c r="V13" s="250">
        <f>VLOOKUP($U13,GRADE!$B$5:$E$36,IF($E13&lt;=20,2,IF($E13&lt;=40,3,4)),FALSE)</f>
        <v>350</v>
      </c>
      <c r="W13" s="250">
        <f>VLOOKUP($U13,GRADE!$B$5:$F$36,5,FALSE)</f>
        <v>490</v>
      </c>
      <c r="X13" s="250">
        <f t="shared" si="18"/>
        <v>2</v>
      </c>
      <c r="Y13" s="245">
        <f t="shared" si="19"/>
        <v>3137.7370626058419</v>
      </c>
      <c r="Z13" s="245">
        <f t="shared" si="20"/>
        <v>286.64872981239756</v>
      </c>
      <c r="AA13" s="245">
        <f t="shared" si="21"/>
        <v>286.64872981239756</v>
      </c>
      <c r="AB13" s="245">
        <f t="shared" si="22"/>
        <v>1153.2834059003314</v>
      </c>
      <c r="AC13" s="251">
        <f t="shared" si="23"/>
        <v>1153.2834059003314</v>
      </c>
      <c r="AD13" s="273">
        <v>40</v>
      </c>
      <c r="AE13" s="250">
        <f t="shared" si="30"/>
        <v>1</v>
      </c>
      <c r="AF13" s="245">
        <f t="shared" si="31"/>
        <v>3106.3596919797837</v>
      </c>
      <c r="AG13" s="245">
        <f t="shared" si="32"/>
        <v>314.38014898381539</v>
      </c>
      <c r="AH13" s="245">
        <f t="shared" si="33"/>
        <v>314.38014898381539</v>
      </c>
      <c r="AI13" s="245">
        <f t="shared" si="34"/>
        <v>931.90790759393519</v>
      </c>
      <c r="AJ13" s="251">
        <f t="shared" si="35"/>
        <v>931.90790759393519</v>
      </c>
    </row>
    <row r="14" spans="1:36" s="254" customFormat="1" x14ac:dyDescent="0.25">
      <c r="A14" s="241" t="str">
        <f t="shared" si="3"/>
        <v>NB350X10</v>
      </c>
      <c r="B14" s="242">
        <v>350</v>
      </c>
      <c r="C14" s="243">
        <v>355.6</v>
      </c>
      <c r="D14" s="242">
        <v>0</v>
      </c>
      <c r="E14" s="244">
        <v>10</v>
      </c>
      <c r="F14" s="245">
        <f t="shared" si="4"/>
        <v>108.57344210806325</v>
      </c>
      <c r="G14" s="246">
        <f t="shared" si="5"/>
        <v>85.230152054829645</v>
      </c>
      <c r="H14" s="246">
        <f t="shared" si="6"/>
        <v>16223.499728243667</v>
      </c>
      <c r="I14" s="246">
        <f t="shared" si="7"/>
        <v>16223.499728243667</v>
      </c>
      <c r="J14" s="246">
        <f t="shared" si="8"/>
        <v>12.223919175125465</v>
      </c>
      <c r="K14" s="246">
        <f t="shared" si="9"/>
        <v>12.223919175125465</v>
      </c>
      <c r="L14" s="246">
        <f t="shared" si="10"/>
        <v>912.45780248839515</v>
      </c>
      <c r="M14" s="246">
        <f t="shared" si="11"/>
        <v>912.45780248839515</v>
      </c>
      <c r="N14" s="246">
        <f t="shared" si="12"/>
        <v>1194.7269333333336</v>
      </c>
      <c r="O14" s="246">
        <f t="shared" si="13"/>
        <v>1194.7269333333336</v>
      </c>
      <c r="P14" s="246">
        <f t="shared" si="14"/>
        <v>32446.999456487334</v>
      </c>
      <c r="Q14" s="246">
        <f t="shared" si="15"/>
        <v>1824.9156049767903</v>
      </c>
      <c r="R14" s="246">
        <f t="shared" si="16"/>
        <v>111.71503476165306</v>
      </c>
      <c r="S14" s="247">
        <f t="shared" si="17"/>
        <v>0.63661977236758138</v>
      </c>
      <c r="T14" s="248" t="s">
        <v>425</v>
      </c>
      <c r="U14" s="249" t="s">
        <v>652</v>
      </c>
      <c r="V14" s="250">
        <f>VLOOKUP($U14,GRADE!$B$5:$E$36,IF($E14&lt;=20,2,IF($E14&lt;=40,3,4)),FALSE)</f>
        <v>350</v>
      </c>
      <c r="W14" s="250">
        <f>VLOOKUP($U14,GRADE!$B$5:$F$36,5,FALSE)</f>
        <v>490</v>
      </c>
      <c r="X14" s="250">
        <f t="shared" si="18"/>
        <v>2</v>
      </c>
      <c r="Y14" s="245">
        <f t="shared" si="19"/>
        <v>3454.6095216201934</v>
      </c>
      <c r="Z14" s="245">
        <f t="shared" si="20"/>
        <v>348.39297913193263</v>
      </c>
      <c r="AA14" s="245">
        <f t="shared" si="21"/>
        <v>348.39297913193263</v>
      </c>
      <c r="AB14" s="245">
        <f t="shared" si="22"/>
        <v>1269.7507011123114</v>
      </c>
      <c r="AC14" s="251">
        <f t="shared" si="23"/>
        <v>1269.7507011123114</v>
      </c>
      <c r="AD14" s="273">
        <v>40</v>
      </c>
      <c r="AE14" s="250">
        <f t="shared" si="30"/>
        <v>1</v>
      </c>
      <c r="AF14" s="245">
        <f t="shared" si="31"/>
        <v>3420.0634264039923</v>
      </c>
      <c r="AG14" s="245">
        <f t="shared" si="32"/>
        <v>387.21247720098796</v>
      </c>
      <c r="AH14" s="245">
        <f t="shared" si="33"/>
        <v>387.21247720098796</v>
      </c>
      <c r="AI14" s="245">
        <f t="shared" si="34"/>
        <v>1026.0190279211977</v>
      </c>
      <c r="AJ14" s="251">
        <f t="shared" si="35"/>
        <v>1026.0190279211977</v>
      </c>
    </row>
    <row r="15" spans="1:36" s="254" customFormat="1" ht="15.75" thickBot="1" x14ac:dyDescent="0.3">
      <c r="A15" s="262" t="str">
        <f t="shared" si="3"/>
        <v>NB350X12</v>
      </c>
      <c r="B15" s="263">
        <v>350</v>
      </c>
      <c r="C15" s="264">
        <v>355.6</v>
      </c>
      <c r="D15" s="263">
        <v>0</v>
      </c>
      <c r="E15" s="265">
        <v>12</v>
      </c>
      <c r="F15" s="266">
        <f t="shared" si="4"/>
        <v>129.53414829281436</v>
      </c>
      <c r="G15" s="267">
        <f t="shared" si="5"/>
        <v>101.68430640985927</v>
      </c>
      <c r="H15" s="267">
        <f t="shared" si="6"/>
        <v>19139.473521982734</v>
      </c>
      <c r="I15" s="267">
        <f t="shared" si="7"/>
        <v>19139.473521982734</v>
      </c>
      <c r="J15" s="267">
        <f t="shared" si="8"/>
        <v>12.155500812389425</v>
      </c>
      <c r="K15" s="267">
        <f t="shared" si="9"/>
        <v>12.155500812389425</v>
      </c>
      <c r="L15" s="267">
        <f t="shared" si="10"/>
        <v>1076.4608280080276</v>
      </c>
      <c r="M15" s="267">
        <f t="shared" si="11"/>
        <v>1076.4608280080276</v>
      </c>
      <c r="N15" s="267">
        <f t="shared" si="12"/>
        <v>1417.3075200000007</v>
      </c>
      <c r="O15" s="267">
        <f t="shared" si="13"/>
        <v>1417.3075200000007</v>
      </c>
      <c r="P15" s="267">
        <f t="shared" si="14"/>
        <v>38278.947043965469</v>
      </c>
      <c r="Q15" s="267">
        <f t="shared" si="15"/>
        <v>2152.9216560160553</v>
      </c>
      <c r="R15" s="267">
        <f t="shared" si="16"/>
        <v>111.71503476165306</v>
      </c>
      <c r="S15" s="268">
        <f t="shared" si="17"/>
        <v>0.63661977236758138</v>
      </c>
      <c r="T15" s="269" t="s">
        <v>425</v>
      </c>
      <c r="U15" s="270" t="s">
        <v>652</v>
      </c>
      <c r="V15" s="271">
        <f>VLOOKUP($U15,GRADE!$B$5:$E$36,IF($E15&lt;=20,2,IF($E15&lt;=40,3,4)),FALSE)</f>
        <v>350</v>
      </c>
      <c r="W15" s="271">
        <f>VLOOKUP($U15,GRADE!$B$5:$F$36,5,FALSE)</f>
        <v>490</v>
      </c>
      <c r="X15" s="271">
        <f t="shared" si="18"/>
        <v>1</v>
      </c>
      <c r="Y15" s="266">
        <f t="shared" si="19"/>
        <v>4121.5410820440939</v>
      </c>
      <c r="Z15" s="266">
        <f t="shared" si="20"/>
        <v>411.01231614851963</v>
      </c>
      <c r="AA15" s="266">
        <f t="shared" si="21"/>
        <v>411.01231614851963</v>
      </c>
      <c r="AB15" s="266">
        <f t="shared" si="22"/>
        <v>1514.8831281326052</v>
      </c>
      <c r="AC15" s="272">
        <f t="shared" si="23"/>
        <v>1514.8831281326052</v>
      </c>
      <c r="AD15" s="274">
        <v>40</v>
      </c>
      <c r="AE15" s="271">
        <f>IF((C15/E15)&lt;=(0.09*2.1*10^5/V15),1,IF((C15/E15)&lt;=(0.31*2.1*10^5/V15),2,IF((C15/E15)&lt;=(0.31*2.1*10^5/V15),3,4)))</f>
        <v>1</v>
      </c>
      <c r="AF15" s="266">
        <f>0.9*(V15*F15*10^2)/10^3</f>
        <v>4080.325671223653</v>
      </c>
      <c r="AG15" s="266">
        <f>0.9*IF(AE15=1,MIN(((V15*(N15*10^3))+(0.5*0.95*0.85*AD15*((C15-2*E15)^3)/6))/10^6,((V15*((C15^3-(C15-2*E15)^3)/6)*SIN((PI()-MAX((0.026*0.85*AD15*(C15-2*E15)^2-2*V15*((C15-E15)/E15)*E15)/(0.0848*0.85*AD15*(C15-2*E15)^2)+(SQRT(ABS(((0.026*0.85*AD15*(C15-2*E15)^2)+(2*V15*((C15-E15)/E15)*E15))^2-(0.857*0.85*AD15*(C15-2*E15)^2*V15*((C15-E15)/E15)*E15)))/(0.0848*0.85*AD15*(C15-2*E15)^2)),0))/2))+(0.5*0.95*0.85*AD15*(((C15-2*E15)^3)/6)*SIN((PI()-MAX((0.026*0.85*AD15*(C15-2*E15)^2-2*V15*((C15-E15)/E15)*E15)/(0.0848*0.85*AD15*(C15-2*E15)^2)+(SQRT(ABS(((0.026*0.85*AD15*(C15-2*E15)^2)+(2*V15*((C15-E15)/E15)*E15))^2-(0.857*0.85*AD15*(C15-2*E15)^2*V15*((C15-E15)/E15)*E15)))/(0.0848*0.85*AD15*(C15-2*E15)^2)),0))/2)))/10^6),IF(AE15=2,MIN(((V15*(N15*10^3))+(0.5*0.95*0.85*AD15*((C15-2*E15)^3)/6))/10^6,((V15*((C15^3-(C15-2*E15)^3)/6)*SIN((PI()-MAX((0.026*0.85*AD15*(C15-2*E15)^2-2*V15*((C15-E15)/E15)*E15)/(0.0848*0.85*AD15*(C15-2*E15)^2)+(SQRT(ABS(((0.026*0.85*AD15*(C15-2*E15)^2)+(2*V15*((C15-E15)/E15)*E15))^2-(0.857*0.85*AD15*(C15-2*E15)^2*V15*((C15-E15)/E15)*E15)))/(0.0848*0.85*AD15*(C15-2*E15)^2)),0))/2))+(0.5*0.95*0.85*AD15*(((C15-2*E15)^3)/6)*SIN((PI()-MAX((0.026*0.85*AD15*(C15-2*E15)^2-2*V15*((C15-E15)/E15)*E15)/(0.0848*0.85*AD15*(C15-2*E15)^2)+(SQRT(ABS(((0.026*0.85*AD15*(C15-2*E15)^2)+(2*V15*((C15-E15)/E15)*E15))^2-(0.857*0.85*AD15*(C15-2*E15)^2*V15*((C15-E15)/E15)*E15)))/(0.0848*0.85*AD15*(C15-2*E15)^2)),0))/2)))/10^6)-((((V15*(N15*10^3))+(0.5*0.95*0.85*AD15*((C15-2*E15)^3)/6))/10^6-MIN(((V15*(N15*10^3))+(0.5*0.95*0.85*AD15*((C15-2*E15)^3)/6))/10^6,((V15*((C15^3-(C15-2*E15)^3)/6)*SIN((PI()-MAX((0.026*0.85*AD15*(C15-2*E15)^2-2*V15*((C15-E15)/E15)*E15)/(0.0848*0.85*AD15*(C15-2*E15)^2)+(SQRT(ABS(((0.026*0.85*AD15*(C15-2*E15)^2)+(2*V15*((C15-E15)/E15)*E15))^2-(0.857*0.85*AD15*(C15-2*E15)^2*V15*((C15-E15)/E15)*E15)))/(0.0848*0.85*AD15*(C15-2*E15)^2)),0))/2))+(0.5*0.95*0.85*AD15*(((C15-2*E15)^3)/6)*SIN((PI()-MAX((0.026*0.85*AD15*(C15-2*E15)^2-2*V15*((C15-E15)/E15)*E15)/(0.0848*0.85*AD15*(C15-2*E15)^2)+(SQRT(ABS(((0.026*0.85*AD15*(C15-2*E15)^2)+(2*V15*((C15-E15)/E15)*E15))^2-(0.857*0.85*AD15*(C15-2*E15)^2*V15*((C15-E15)/E15)*E15)))/(0.0848*0.85*AD15*(C15-2*E15)^2)),0))/2)))/10^6))*((C15/E15-0.09*(2.1*10^5)/V15)/(0.31*(2.1*10^5)/V15-0.09*(2.1*10^5)/V15))),IF(AE15=3,MIN(((V15*((C15^3-(C15-2*E15)^3)/6)*SIN((PI()-MAX((0.026*0.85*AD15*(C15-2*E15)^2-2*V15*((C15-E15)/E15)*E15)/(0.0848*0.85*AD15*(C15-2*E15)^2)+(SQRT(ABS(((0.026*0.85*AD15*(C15-2*E15)^2)+(2*V15*((C15-E15)/E15)*E15))^2-(0.857*0.85*AD15*(C15-2*E15)^2*V15*((C15-E15)/E15)*E15)))/(0.0848*0.85*AD15*(C15-2*E15)^2)),0))/2))+(0.5*0.95*0.85*AD15*(((C15-2*E15)^3)/6)*SIN((PI()-MAX((0.026*0.85*AD15*(C15-2*E15)^2-2*V15*((C15-E15)/E15)*E15)/(0.0848*0.85*AD15*(C15-2*E15)^2)+(SQRT(ABS(((0.026*0.85*AD15*(C15-2*E15)^2)+(2*V15*((C15-E15)/E15)*E15))^2-(0.857*0.85*AD15*(C15-2*E15)^2*V15*((C15-E15)/E15)*E15)))/(0.0848*0.85*AD15*(C15-2*E15)^2)),0))/2)))/10^6,((V15*((C15^3-(C15-2*E15)^3)/6)*SIN((PI()-MAX((0.026*0.85*AD15*(C15-2*E15)^2-2*V15*((C15-E15)/E15)*E15)/(0.0848*0.85*AD15*(C15-2*E15)^2)+(SQRT(ABS(((0.026*0.85*AD15*(C15-2*E15)^2)+(2*V15*((C15-E15)/E15)*E15))^2-(0.857*0.85*AD15*(C15-2*E15)^2*V15*((C15-E15)/E15)*E15)))/(0.0848*0.85*AD15*(C15-2*E15)^2)),0))/2))+(0.5*0.95*0.85*AD15*(((C15-2*E15)^3)/6)*SIN((PI()-MAX((0.026*0.85*AD15*(C15-2*E15)^2-2*V15*((C15-E15)/E15)*E15)/(0.0848*0.85*AD15*(C15-2*E15)^2)+(SQRT(ABS(((0.026*0.85*AD15*(C15-2*E15)^2)+(2*V15*((C15-E15)/E15)*E15))^2-(0.857*0.85*AD15*(C15-2*E15)^2*V15*((C15-E15)/E15)*E15)))/(0.0848*0.85*AD15*(C15-2*E15)^2)),0))/2)))/10^6),0)))</f>
        <v>442.76805344335702</v>
      </c>
      <c r="AH15" s="266">
        <f>0.9*IF(AE15=1,MIN(((V15*(O15*10^3))+(0.5*0.95*0.85*AD15*((C15-2*E15)^3)/6))/10^6,((V15*((C15^3-(C15-2*E15)^3)/6)*SIN((PI()-MAX((0.026*0.85*AD15*(C15-2*E15)^2-2*V15*((C15-E15)/E15)*E15)/(0.0848*0.85*AD15*(C15-2*E15)^2)+(SQRT(ABS(((0.026*0.85*AD15*(C15-2*E15)^2)+(2*V15*((C15-E15)/E15)*E15))^2-(0.857*0.85*AD15*(C15-2*E15)^2*V15*((C15-E15)/E15)*E15)))/(0.0848*0.85*AD15*(C15-2*E15)^2)),0))/2))+(0.5*0.95*0.85*AD15*(((C15-2*E15)^3)/6)*SIN((PI()-MAX((0.026*0.85*AD15*(C15-2*E15)^2-2*V15*((C15-E15)/E15)*E15)/(0.0848*0.85*AD15*(C15-2*E15)^2)+(SQRT(ABS(((0.026*0.85*AD15*(C15-2*E15)^2)+(2*V15*((C15-E15)/E15)*E15))^2-(0.857*0.85*AD15*(C15-2*E15)^2*V15*((C15-E15)/E15)*E15)))/(0.0848*0.85*AD15*(C15-2*E15)^2)),0))/2)))/10^6),IF(AE15=2,MIN(((V15*(O15*10^3))+(0.5*0.95*0.85*AD15*((C15-2*E15)^3)/6))/10^6,((V15*((C15^3-(C15-2*E15)^3)/6)*SIN((PI()-MAX((0.026*0.85*AD15*(C15-2*E15)^2-2*V15*((C15-E15)/E15)*E15)/(0.0848*0.85*AD15*(C15-2*E15)^2)+(SQRT(ABS(((0.026*0.85*AD15*(C15-2*E15)^2)+(2*V15*((C15-E15)/E15)*E15))^2-(0.857*0.85*AD15*(C15-2*E15)^2*V15*((C15-E15)/E15)*E15)))/(0.0848*0.85*AD15*(C15-2*E15)^2)),0))/2))+(0.5*0.95*0.85*AD15*(((C15-2*E15)^3)/6)*SIN((PI()-MAX((0.026*0.85*AD15*(C15-2*E15)^2-2*V15*((C15-E15)/E15)*E15)/(0.0848*0.85*AD15*(C15-2*E15)^2)+(SQRT(ABS(((0.026*0.85*AD15*(C15-2*E15)^2)+(2*V15*((C15-E15)/E15)*E15))^2-(0.857*0.85*AD15*(C15-2*E15)^2*V15*((C15-E15)/E15)*E15)))/(0.0848*0.85*AD15*(C15-2*E15)^2)),0))/2)))/10^6)-((((V15*(O15*10^3))+(0.5*0.95*0.85*AD15*((C15-2*E15)^3)/6))/10^6-MIN(((V15*(O15*10^3))+(0.5*0.95*0.85*AD15*((C15-2*E15)^3)/6))/10^6,((V15*((C15^3-(C15-2*E15)^3)/6)*SIN((PI()-MAX((0.026*0.85*AD15*(C15-2*E15)^2-2*V15*((C15-E15)/E15)*E15)/(0.0848*0.85*AD15*(C15-2*E15)^2)+(SQRT(ABS(((0.026*0.85*AD15*(C15-2*E15)^2)+(2*V15*((C15-E15)/E15)*E15))^2-(0.857*0.85*AD15*(C15-2*E15)^2*V15*((C15-E15)/E15)*E15)))/(0.0848*0.85*AD15*(C15-2*E15)^2)),0))/2))+(0.5*0.95*0.85*AD15*(((C15-2*E15)^3)/6)*SIN((PI()-MAX((0.026*0.85*AD15*(C15-2*E15)^2-2*V15*((C15-E15)/E15)*E15)/(0.0848*0.85*AD15*(C15-2*E15)^2)+(SQRT(ABS(((0.026*0.85*AD15*(C15-2*E15)^2)+(2*V15*((C15-E15)/E15)*E15))^2-(0.857*0.85*AD15*(C15-2*E15)^2*V15*((C15-E15)/E15)*E15)))/(0.0848*0.85*AD15*(C15-2*E15)^2)),0))/2)))/10^6))*((C15/E15-0.09*(2.1*10^5)/V15)/(0.31*(2.1*10^5)/V15-0.09*(2.1*10^5)/V15))),IF(AE15=3,MIN(((V15*((C15^3-(C15-2*E15)^3)/6)*SIN((PI()-MAX((0.026*0.85*AD15*(C15-2*E15)^2-2*V15*((C15-E15)/E15)*E15)/(0.0848*0.85*AD15*(C15-2*E15)^2)+(SQRT(ABS(((0.026*0.85*AD15*(C15-2*E15)^2)+(2*V15*((C15-E15)/E15)*E15))^2-(0.857*0.85*AD15*(C15-2*E15)^2*V15*((C15-E15)/E15)*E15)))/(0.0848*0.85*AD15*(C15-2*E15)^2)),0))/2))+(0.5*0.95*0.85*AD15*(((C15-2*E15)^3)/6)*SIN((PI()-MAX((0.026*0.85*AD15*(C15-2*E15)^2-2*V15*((C15-E15)/E15)*E15)/(0.0848*0.85*AD15*(C15-2*E15)^2)+(SQRT(ABS(((0.026*0.85*AD15*(C15-2*E15)^2)+(2*V15*((C15-E15)/E15)*E15))^2-(0.857*0.85*AD15*(C15-2*E15)^2*V15*((C15-E15)/E15)*E15)))/(0.0848*0.85*AD15*(C15-2*E15)^2)),0))/2)))/10^6,((V15*((C15^3-(C15-2*E15)^3)/6)*SIN((PI()-MAX((0.026*0.85*AD15*(C15-2*E15)^2-2*V15*((C15-E15)/E15)*E15)/(0.0848*0.85*AD15*(C15-2*E15)^2)+(SQRT(ABS(((0.026*0.85*AD15*(C15-2*E15)^2)+(2*V15*((C15-E15)/E15)*E15))^2-(0.857*0.85*AD15*(C15-2*E15)^2*V15*((C15-E15)/E15)*E15)))/(0.0848*0.85*AD15*(C15-2*E15)^2)),0))/2))+(0.5*0.95*0.85*AD15*(((C15-2*E15)^3)/6)*SIN((PI()-MAX((0.026*0.85*AD15*(C15-2*E15)^2-2*V15*((C15-E15)/E15)*E15)/(0.0848*0.85*AD15*(C15-2*E15)^2)+(SQRT(ABS(((0.026*0.85*AD15*(C15-2*E15)^2)+(2*V15*((C15-E15)/E15)*E15))^2-(0.857*0.85*AD15*(C15-2*E15)^2*V15*((C15-E15)/E15)*E15)))/(0.0848*0.85*AD15*(C15-2*E15)^2)),0))/2)))/10^6),0)))</f>
        <v>442.76805344335702</v>
      </c>
      <c r="AI15" s="266">
        <f>0.9*MIN((0.78*(2.1*10^5))/(C15/E15)^(3/2),0.6*V15)*(F15*10^2)/2/1000</f>
        <v>1224.0977013670959</v>
      </c>
      <c r="AJ15" s="272">
        <f>0.9*MIN((0.78*(2.1*10^5))/(C15/E15)^(3/2),0.6*V15)*(F15*10^2)/2/1000</f>
        <v>1224.0977013670959</v>
      </c>
    </row>
  </sheetData>
  <pageMargins left="0.7" right="0.7" top="0.75" bottom="0.75" header="0.3" footer="0.3"/>
  <pageSetup paperSize="9" orientation="portrait" horizontalDpi="3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GRADE!$B$18:$B$36</xm:f>
          </x14:formula1>
          <xm:sqref>U2:U15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19"/>
  <sheetViews>
    <sheetView zoomScale="70" zoomScaleNormal="70" workbookViewId="0">
      <pane xSplit="1" ySplit="1" topLeftCell="B2" activePane="bottomRight" state="frozen"/>
      <selection activeCell="R69" sqref="R69"/>
      <selection pane="topRight" activeCell="R69" sqref="R69"/>
      <selection pane="bottomLeft" activeCell="R69" sqref="R69"/>
      <selection pane="bottomRight" activeCell="R69" sqref="R69"/>
    </sheetView>
  </sheetViews>
  <sheetFormatPr defaultRowHeight="15" x14ac:dyDescent="0.25"/>
  <cols>
    <col min="1" max="1" width="15.5703125" style="254" bestFit="1" customWidth="1"/>
    <col min="2" max="16384" width="9.140625" style="254"/>
  </cols>
  <sheetData>
    <row r="1" spans="1:36" s="295" customFormat="1" ht="75.75" thickBot="1" x14ac:dyDescent="0.3">
      <c r="A1" s="285" t="s">
        <v>25</v>
      </c>
      <c r="B1" s="286" t="s">
        <v>416</v>
      </c>
      <c r="C1" s="287" t="s">
        <v>431</v>
      </c>
      <c r="D1" s="287" t="s">
        <v>432</v>
      </c>
      <c r="E1" s="287" t="s">
        <v>433</v>
      </c>
      <c r="F1" s="287" t="s">
        <v>434</v>
      </c>
      <c r="G1" s="287" t="s">
        <v>435</v>
      </c>
      <c r="H1" s="287" t="s">
        <v>436</v>
      </c>
      <c r="I1" s="287" t="s">
        <v>437</v>
      </c>
      <c r="J1" s="287" t="s">
        <v>438</v>
      </c>
      <c r="K1" s="287" t="s">
        <v>439</v>
      </c>
      <c r="L1" s="287" t="s">
        <v>440</v>
      </c>
      <c r="M1" s="287" t="s">
        <v>441</v>
      </c>
      <c r="N1" s="287" t="s">
        <v>442</v>
      </c>
      <c r="O1" s="287" t="s">
        <v>443</v>
      </c>
      <c r="P1" s="287" t="s">
        <v>444</v>
      </c>
      <c r="Q1" s="287" t="s">
        <v>445</v>
      </c>
      <c r="R1" s="287" t="s">
        <v>446</v>
      </c>
      <c r="S1" s="287" t="s">
        <v>706</v>
      </c>
      <c r="T1" s="288" t="s">
        <v>426</v>
      </c>
      <c r="U1" s="289" t="s">
        <v>644</v>
      </c>
      <c r="V1" s="290" t="s">
        <v>645</v>
      </c>
      <c r="W1" s="290" t="s">
        <v>646</v>
      </c>
      <c r="X1" s="290" t="s">
        <v>647</v>
      </c>
      <c r="Y1" s="290" t="s">
        <v>648</v>
      </c>
      <c r="Z1" s="290" t="s">
        <v>649</v>
      </c>
      <c r="AA1" s="290" t="s">
        <v>650</v>
      </c>
      <c r="AB1" s="290" t="s">
        <v>651</v>
      </c>
      <c r="AC1" s="291" t="s">
        <v>1002</v>
      </c>
      <c r="AD1" s="292" t="s">
        <v>993</v>
      </c>
      <c r="AE1" s="293" t="s">
        <v>647</v>
      </c>
      <c r="AF1" s="293" t="s">
        <v>648</v>
      </c>
      <c r="AG1" s="293" t="s">
        <v>649</v>
      </c>
      <c r="AH1" s="293" t="s">
        <v>650</v>
      </c>
      <c r="AI1" s="293" t="s">
        <v>651</v>
      </c>
      <c r="AJ1" s="294" t="s">
        <v>1002</v>
      </c>
    </row>
    <row r="2" spans="1:36" x14ac:dyDescent="0.25">
      <c r="A2" s="296" t="str">
        <f>IF(C2=D2,"SHS"&amp;C2,"RHS"&amp;C2&amp;"x"&amp;D2)&amp;"x"&amp;E2</f>
        <v>RHS50x25x2.6</v>
      </c>
      <c r="B2" s="297">
        <v>0</v>
      </c>
      <c r="C2" s="298">
        <v>50</v>
      </c>
      <c r="D2" s="298">
        <v>25</v>
      </c>
      <c r="E2" s="298">
        <v>2.6</v>
      </c>
      <c r="F2" s="299">
        <f>(2*E2*((D2-4*E2)+(C2-4*E2)+3/2*PI()*E2))/10^2</f>
        <v>3.4555149901480102</v>
      </c>
      <c r="G2" s="300">
        <f t="shared" ref="G2:G19" si="0">F2*7850/10^4</f>
        <v>2.7125792672661877</v>
      </c>
      <c r="H2" s="300">
        <f>((E2*(C2-4*E2)^3/6)+(0.5*(((D2-4*E2)*E2)/3+(D2-4*E2)*(C2-E2)^2*E2))+(PI()*E2^4/108*(405-3136/PI()^2))+(3*PI()*E2^2*((9*PI()*(C2-4*E2)+56*E2)/(18*PI()))^2))/10^4</f>
        <v>10.157136490710432</v>
      </c>
      <c r="I2" s="300">
        <f>((E2*(D2-4*E2)^3/6)+(0.5*(((C2-4*E2)*E2)/3+(C2-4*E2)*(D2-E2)^2*E2))+(PI()*E2^4/108*(405-3136/PI()^2))+(3*PI()*E2^2*((9*PI()*(D2-4*E2)+56*E2)/(18*PI()))^2))/10^4</f>
        <v>3.3524927949173811</v>
      </c>
      <c r="J2" s="300">
        <f>SQRT(H2/F2)</f>
        <v>1.7144674869792957</v>
      </c>
      <c r="K2" s="300">
        <f>SQRT(I2/F2)</f>
        <v>0.98498028051207276</v>
      </c>
      <c r="L2" s="300">
        <f>2*H2/(C2/10)</f>
        <v>4.0628545962841729</v>
      </c>
      <c r="M2" s="300">
        <f>2*I2/(D2/10)</f>
        <v>2.6819942359339048</v>
      </c>
      <c r="N2" s="300">
        <f>((E2/2*(C2-4*E2)^2)+(E2*(D2-4*E2)*(C2-E2))+(E2^2/6*(9*PI()*(C2-4*E2)+56*E2)))/10^3</f>
        <v>5.2634423471597263</v>
      </c>
      <c r="O2" s="300">
        <f>((E2/2*(D2-4*E2)^2)+(E2*(C2-4*E2)*(D2-E2))+(E2^2/6*(9*PI()*(D2-4*E2)+56*E2)))/10^3</f>
        <v>3.2125486094747142</v>
      </c>
      <c r="P2" s="300">
        <f>((E2^3*((2*((D2-E2)+(C2-E2)))-(2*((1.5*E2+1*E2)/2)*(4-PI())))/3)+(2*2*(((D2-E2)*(C2-E2))-(((1.5*E2+1*E2)/2)^2*(4-PI())))*E2/((2*((D2-E2)+(C2-E2)))-(2*((1.5*E2+1*E2)/2)*(4-PI())))*(((D2-E2)*(C2-E2))-(((1.5*E2+1*E2)/2)^2*(4-PI())))))/10^4</f>
        <v>8.6778777329344745</v>
      </c>
      <c r="Q2" s="300">
        <f>(P2*10^4/(E2+(2*(((D2-E2)*(C2-E2))-(((1.5*E2+1*E2)/2)^2*(4-PI())))*E2/((2*((D2-E2)+(C2-E2)))-(2*((1.5*E2+1*E2)/2)*(4-PI()))))/E2))/10^3</f>
        <v>4.7395619752930056</v>
      </c>
      <c r="R2" s="300">
        <f>F2/(E2/10)</f>
        <v>13.290442269800039</v>
      </c>
      <c r="S2" s="301">
        <f>(F2*C2/(D2+C2))/F2</f>
        <v>0.66666666666666674</v>
      </c>
      <c r="T2" s="302" t="s">
        <v>425</v>
      </c>
      <c r="U2" s="303" t="s">
        <v>652</v>
      </c>
      <c r="V2" s="276">
        <f>VLOOKUP($U2,GRADE!$B$5:$E$36,IF($E2&lt;=20,2,IF($E2&lt;=40,3,4)),FALSE)</f>
        <v>350</v>
      </c>
      <c r="W2" s="276">
        <f>VLOOKUP($U2,GRADE!$B$5:$F$36,5,FALSE)</f>
        <v>490</v>
      </c>
      <c r="X2" s="304">
        <f t="shared" ref="X2:X19" si="1">MAX(IF(((E2-2*F2)/F2)&lt;=(29.3*SQRT(250/V2)),1,IF(((E2-2*F2)/F2)&lt;=(33.5*SQRT(250/V2)),2,IF(((E2-2*F2)/F2)&lt;=(42*SQRT(250/V2)),3,4))),IF(((D2-2*F2)/F2)&lt;=(84*SQRT(250/V2)),1,IF(((D2-2*F2)/F2)&lt;=(105*SQRT(250/V2)),2,IF(((D2-2*F2)/F2)&lt;=(126*SQRT(250/V2)),3,4))))</f>
        <v>1</v>
      </c>
      <c r="Y2" s="299">
        <f>MIN((F2*10^2*V2/1.1),(0.9*F2*10^2*1*W2/1.25))/10^3</f>
        <v>109.94820423198213</v>
      </c>
      <c r="Z2" s="299">
        <f>MIN(IF(X2&lt;=2,1,IF(X2=3,L2/N2,0))*N2,1.2*L2)*V2/1.1/10^3</f>
        <v>1.5512717549448658</v>
      </c>
      <c r="AA2" s="299">
        <f>MIN(IF(X2&lt;=2,1,IF(X2=3,M2/O2,0))*O2,1.2*M2)*V2/1.1/10^3</f>
        <v>1.0221745575601364</v>
      </c>
      <c r="AB2" s="299">
        <f>IF((C2-2*E2)/E2&gt;(67*SQRT(250/V2)),0,(F2*10^2*C2/(C2+D2))*V2/SQRT(3)/1.1/10^3)</f>
        <v>42.31908354016722</v>
      </c>
      <c r="AC2" s="305">
        <f>IF((D2-2*E2)/E2&gt;(67*SQRT(250/V2)),0,(F2*10^2*D2/(C2+D2))*V2/SQRT(3)/1.1/10^3)</f>
        <v>21.15954177008361</v>
      </c>
      <c r="AD2" s="252">
        <v>40</v>
      </c>
      <c r="AE2" s="253">
        <f>IF(MAX(D2/E2,C2/E2)&lt;=2.26*SQRT((2.1*10^5)/V2),1,IF(MAX(D2/E2,C2/E2)&lt;=3*SQRT((2.1*10^5)/V2),2,IF(MAX(D2/E2,C2/E2)&lt;=5*SQRT((2.1*10^5)/V2),3,4)))</f>
        <v>1</v>
      </c>
      <c r="AF2" s="256">
        <f>0.9*(V2*F2*10^2)/10^3</f>
        <v>108.84872218966233</v>
      </c>
      <c r="AG2" s="256"/>
      <c r="AH2" s="256"/>
      <c r="AI2" s="256"/>
      <c r="AJ2" s="261"/>
    </row>
    <row r="3" spans="1:36" x14ac:dyDescent="0.25">
      <c r="A3" s="275" t="str">
        <f t="shared" ref="A3:A19" si="2">IF(C3=D3,"SHS"&amp;C3,"RHS"&amp;C3&amp;"x"&amp;D3)&amp;"x"&amp;E3</f>
        <v>RHS50x25x4</v>
      </c>
      <c r="B3" s="276">
        <v>0</v>
      </c>
      <c r="C3" s="277">
        <v>50</v>
      </c>
      <c r="D3" s="277">
        <v>25</v>
      </c>
      <c r="E3" s="278">
        <v>4</v>
      </c>
      <c r="F3" s="279">
        <f t="shared" ref="F3:F19" si="3">(2*E3*((D3-4*E3)+(C3-4*E3)+3/2*PI()*E3))/10^2</f>
        <v>4.9479644737231006</v>
      </c>
      <c r="G3" s="280">
        <f t="shared" si="0"/>
        <v>3.8841521118726341</v>
      </c>
      <c r="H3" s="280">
        <f t="shared" ref="H3:H19" si="4">((E3*(C3-4*E3)^3/6)+(0.5*(((D3-4*E3)*E3)/3+(D3-4*E3)*(C3-E3)^2*E3))+(PI()*E3^4/108*(405-3136/PI()^2))+(3*PI()*E3^2*((9*PI()*(C3-4*E3)+56*E3)/(18*PI()))^2))/10^4</f>
        <v>13.120210223804381</v>
      </c>
      <c r="I3" s="280">
        <f t="shared" ref="I3:I19" si="5">((E3*(D3-4*E3)^3/6)+(0.5*(((C3-4*E3)*E3)/3+(C3-4*E3)*(D3-E3)^2*E3))+(PI()*E3^4/108*(405-3136/PI()^2))+(3*PI()*E3^2*((9*PI()*(D3-4*E3)+56*E3)/(18*PI()))^2))/10^4</f>
        <v>4.1942223673402141</v>
      </c>
      <c r="J3" s="280">
        <f t="shared" ref="J3:J19" si="6">SQRT(H3/F3)</f>
        <v>1.628385064930973</v>
      </c>
      <c r="K3" s="280">
        <f t="shared" ref="K3:K19" si="7">SQRT(I3/F3)</f>
        <v>0.920687908628123</v>
      </c>
      <c r="L3" s="280">
        <f t="shared" ref="L3:M19" si="8">2*H3/(C3/10)</f>
        <v>5.2480840895217522</v>
      </c>
      <c r="M3" s="280">
        <f t="shared" si="8"/>
        <v>3.3553778938721712</v>
      </c>
      <c r="N3" s="280">
        <f t="shared" ref="N3:N19" si="9">((E3/2*(C3-4*E3)^2)+(E3*(D3-4*E3)*(C3-E3))+(E3^2/6*(9*PI()*(C3-4*E3)+56*E3)))/10^3</f>
        <v>7.1288729386626049</v>
      </c>
      <c r="O3" s="280">
        <f t="shared" ref="O3:O19" si="10">((E3/2*(D3-4*E3)^2)+(E3*(C3-4*E3)*(D3-E3))+(E3^2/6*(9*PI()*(D3-4*E3)+56*E3)))/10^3</f>
        <v>4.2939173465087288</v>
      </c>
      <c r="P3" s="280">
        <f t="shared" ref="P3:P19" si="11">((E3^3*((2*((D3-E3)+(C3-E3)))-(2*((1.5*E3+1*E3)/2)*(4-PI())))/3)+(2*2*(((D3-E3)*(C3-E3))-(((1.5*E3+1*E3)/2)^2*(4-PI())))*E3/((2*((D3-E3)+(C3-E3)))-(2*((1.5*E3+1*E3)/2)*(4-PI())))*(((D3-E3)*(C3-E3))-(((1.5*E3+1*E3)/2)^2*(4-PI())))))/10^4</f>
        <v>11.649272254895806</v>
      </c>
      <c r="Q3" s="280">
        <f t="shared" ref="Q3:Q19" si="12">(P3*10^4/(E3+(2*(((D3-E3)*(C3-E3))-(((1.5*E3+1*E3)/2)^2*(4-PI())))*E3/((2*((D3-E3)+(C3-E3)))-(2*((1.5*E3+1*E3)/2)*(4-PI()))))/E3))/10^3</f>
        <v>6.1110879181029603</v>
      </c>
      <c r="R3" s="280">
        <f t="shared" ref="R3:R19" si="13">F3/(E3/10)</f>
        <v>12.369911184307751</v>
      </c>
      <c r="S3" s="281">
        <f t="shared" ref="S3:S19" si="14">(F3*C3/(D3+C3))/F3</f>
        <v>0.66666666666666674</v>
      </c>
      <c r="T3" s="282" t="s">
        <v>425</v>
      </c>
      <c r="U3" s="283" t="s">
        <v>652</v>
      </c>
      <c r="V3" s="276">
        <f>VLOOKUP($U3,GRADE!$B$5:$E$36,IF($E3&lt;=20,2,IF($E3&lt;=40,3,4)),FALSE)</f>
        <v>350</v>
      </c>
      <c r="W3" s="276">
        <f>VLOOKUP($U3,GRADE!$B$5:$F$36,5,FALSE)</f>
        <v>490</v>
      </c>
      <c r="X3" s="276">
        <f t="shared" si="1"/>
        <v>1</v>
      </c>
      <c r="Y3" s="279">
        <f t="shared" ref="Y3:Y19" si="15">MIN((F3*10^2*V3/1.1),(0.9*F3*10^2*1*W3/1.25))/10^3</f>
        <v>157.4352332548259</v>
      </c>
      <c r="Z3" s="279">
        <f t="shared" ref="Z3:Z19" si="16">MIN(IF(X3&lt;=2,1,IF(X3=3,L3/N3,0))*N3,1.2*L3)*V3/1.1/10^3</f>
        <v>2.0038139250901232</v>
      </c>
      <c r="AA3" s="279">
        <f t="shared" ref="AA3:AA19" si="17">MIN(IF(X3&lt;=2,1,IF(X3=3,M3/O3,0))*O3,1.2*M3)*V3/1.1/10^3</f>
        <v>1.2811442867511926</v>
      </c>
      <c r="AB3" s="279">
        <f t="shared" ref="AB3:AB19" si="18">IF((C3-2*E3)/E3&gt;(67*SQRT(250/V3)),0,(F3*10^2*C3/(C3+D3))*V3/SQRT(3)/1.1/10^3)</f>
        <v>60.596849533070184</v>
      </c>
      <c r="AC3" s="284">
        <f t="shared" ref="AC3:AC19" si="19">IF((D3-2*E3)/E3&gt;(67*SQRT(250/V3)),0,(F3*10^2*D3/(C3+D3))*V3/SQRT(3)/1.1/10^3)</f>
        <v>30.298424766535092</v>
      </c>
      <c r="AD3" s="273">
        <v>40</v>
      </c>
      <c r="AE3" s="250">
        <f t="shared" ref="AE3:AE17" si="20">IF(MAX(D3/E3,C3/E3)&lt;=2.26*SQRT((2.1*10^5)/V3),1,IF(MAX(D3/E3,C3/E3)&lt;=3*SQRT((2.1*10^5)/V3),2,IF(MAX(D3/E3,C3/E3)&lt;=5*SQRT((2.1*10^5)/V3),3,4)))</f>
        <v>1</v>
      </c>
      <c r="AF3" s="245">
        <f t="shared" ref="AF3:AF17" si="21">0.9*(V3*F3*10^2)/10^3</f>
        <v>155.86088092227766</v>
      </c>
      <c r="AG3" s="245"/>
      <c r="AH3" s="245"/>
      <c r="AI3" s="245"/>
      <c r="AJ3" s="251"/>
    </row>
    <row r="4" spans="1:36" x14ac:dyDescent="0.25">
      <c r="A4" s="275" t="str">
        <f t="shared" si="2"/>
        <v>RHS60x40x2.6</v>
      </c>
      <c r="B4" s="276">
        <v>0</v>
      </c>
      <c r="C4" s="277">
        <v>60</v>
      </c>
      <c r="D4" s="277">
        <v>40</v>
      </c>
      <c r="E4" s="278">
        <v>2.6</v>
      </c>
      <c r="F4" s="279">
        <f t="shared" si="3"/>
        <v>4.7555149901480105</v>
      </c>
      <c r="G4" s="280">
        <f t="shared" si="0"/>
        <v>3.7330792672661883</v>
      </c>
      <c r="H4" s="280">
        <f t="shared" si="4"/>
        <v>22.753222918740498</v>
      </c>
      <c r="I4" s="280">
        <f t="shared" si="5"/>
        <v>12.080114224421042</v>
      </c>
      <c r="J4" s="280">
        <f t="shared" si="6"/>
        <v>2.1873721755487803</v>
      </c>
      <c r="K4" s="280">
        <f t="shared" si="7"/>
        <v>1.5938107175894387</v>
      </c>
      <c r="L4" s="280">
        <f t="shared" si="8"/>
        <v>7.5844076395801663</v>
      </c>
      <c r="M4" s="280">
        <f t="shared" si="8"/>
        <v>6.0400571122105209</v>
      </c>
      <c r="N4" s="280">
        <f t="shared" si="9"/>
        <v>9.3597998422337305</v>
      </c>
      <c r="O4" s="280">
        <f t="shared" si="10"/>
        <v>7.0690848520857212</v>
      </c>
      <c r="P4" s="280">
        <f t="shared" si="11"/>
        <v>25.933872913504146</v>
      </c>
      <c r="Q4" s="280">
        <f t="shared" si="12"/>
        <v>10.038960864719003</v>
      </c>
      <c r="R4" s="280">
        <f t="shared" si="13"/>
        <v>18.290442269800039</v>
      </c>
      <c r="S4" s="281">
        <f t="shared" si="14"/>
        <v>0.6</v>
      </c>
      <c r="T4" s="282" t="s">
        <v>425</v>
      </c>
      <c r="U4" s="283" t="s">
        <v>652</v>
      </c>
      <c r="V4" s="276">
        <f>VLOOKUP($U4,GRADE!$B$5:$E$36,IF($E4&lt;=20,2,IF($E4&lt;=40,3,4)),FALSE)</f>
        <v>350</v>
      </c>
      <c r="W4" s="276">
        <f>VLOOKUP($U4,GRADE!$B$5:$F$36,5,FALSE)</f>
        <v>490</v>
      </c>
      <c r="X4" s="276">
        <f t="shared" si="1"/>
        <v>1</v>
      </c>
      <c r="Y4" s="279">
        <f t="shared" si="15"/>
        <v>151.31184059561849</v>
      </c>
      <c r="Z4" s="279">
        <f t="shared" si="16"/>
        <v>2.8958647351124269</v>
      </c>
      <c r="AA4" s="279">
        <f t="shared" si="17"/>
        <v>2.249254271118184</v>
      </c>
      <c r="AB4" s="279">
        <f t="shared" si="18"/>
        <v>52.415959139674861</v>
      </c>
      <c r="AC4" s="284">
        <f t="shared" si="19"/>
        <v>34.943972759783236</v>
      </c>
      <c r="AD4" s="273">
        <v>40</v>
      </c>
      <c r="AE4" s="250">
        <f t="shared" si="20"/>
        <v>1</v>
      </c>
      <c r="AF4" s="245">
        <f t="shared" si="21"/>
        <v>149.79872218966233</v>
      </c>
      <c r="AG4" s="245"/>
      <c r="AH4" s="245"/>
      <c r="AI4" s="245"/>
      <c r="AJ4" s="251"/>
    </row>
    <row r="5" spans="1:36" x14ac:dyDescent="0.25">
      <c r="A5" s="275" t="str">
        <f t="shared" si="2"/>
        <v>RHS60x40x3.6</v>
      </c>
      <c r="B5" s="276">
        <v>0</v>
      </c>
      <c r="C5" s="277">
        <v>60</v>
      </c>
      <c r="D5" s="277">
        <v>40</v>
      </c>
      <c r="E5" s="278">
        <v>3.6</v>
      </c>
      <c r="F5" s="279">
        <f t="shared" si="3"/>
        <v>6.3478512237157121</v>
      </c>
      <c r="G5" s="280">
        <f t="shared" si="0"/>
        <v>4.9830632106168338</v>
      </c>
      <c r="H5" s="280">
        <f t="shared" si="4"/>
        <v>28.881675139605701</v>
      </c>
      <c r="I5" s="280">
        <f t="shared" si="5"/>
        <v>15.198508783177767</v>
      </c>
      <c r="J5" s="280">
        <f t="shared" si="6"/>
        <v>2.1330342041463815</v>
      </c>
      <c r="K5" s="280">
        <f t="shared" si="7"/>
        <v>1.5473448707807529</v>
      </c>
      <c r="L5" s="280">
        <f t="shared" si="8"/>
        <v>9.6272250465352336</v>
      </c>
      <c r="M5" s="280">
        <f t="shared" si="8"/>
        <v>7.5992543915888833</v>
      </c>
      <c r="N5" s="280">
        <f t="shared" si="9"/>
        <v>12.161036790071822</v>
      </c>
      <c r="O5" s="280">
        <f t="shared" si="10"/>
        <v>9.1539855663561109</v>
      </c>
      <c r="P5" s="280">
        <f t="shared" si="11"/>
        <v>33.821366516081426</v>
      </c>
      <c r="Q5" s="280">
        <f t="shared" si="12"/>
        <v>12.768651921771513</v>
      </c>
      <c r="R5" s="280">
        <f t="shared" si="13"/>
        <v>17.632920065876977</v>
      </c>
      <c r="S5" s="281">
        <f t="shared" si="14"/>
        <v>0.60000000000000009</v>
      </c>
      <c r="T5" s="282" t="s">
        <v>425</v>
      </c>
      <c r="U5" s="283" t="s">
        <v>652</v>
      </c>
      <c r="V5" s="276">
        <f>VLOOKUP($U5,GRADE!$B$5:$E$36,IF($E5&lt;=20,2,IF($E5&lt;=40,3,4)),FALSE)</f>
        <v>350</v>
      </c>
      <c r="W5" s="276">
        <f>VLOOKUP($U5,GRADE!$B$5:$F$36,5,FALSE)</f>
        <v>490</v>
      </c>
      <c r="X5" s="276">
        <f t="shared" si="1"/>
        <v>1</v>
      </c>
      <c r="Y5" s="279">
        <f t="shared" si="15"/>
        <v>201.97708439095447</v>
      </c>
      <c r="Z5" s="279">
        <f t="shared" si="16"/>
        <v>3.6758495632225432</v>
      </c>
      <c r="AA5" s="279">
        <f t="shared" si="17"/>
        <v>2.9015334949703004</v>
      </c>
      <c r="AB5" s="279">
        <f t="shared" si="18"/>
        <v>69.966914425951998</v>
      </c>
      <c r="AC5" s="284">
        <f t="shared" si="19"/>
        <v>46.644609617301327</v>
      </c>
      <c r="AD5" s="273">
        <v>40</v>
      </c>
      <c r="AE5" s="250">
        <f t="shared" si="20"/>
        <v>1</v>
      </c>
      <c r="AF5" s="245">
        <f t="shared" si="21"/>
        <v>199.95731354704492</v>
      </c>
      <c r="AG5" s="245"/>
      <c r="AH5" s="245"/>
      <c r="AI5" s="245"/>
      <c r="AJ5" s="251"/>
    </row>
    <row r="6" spans="1:36" x14ac:dyDescent="0.25">
      <c r="A6" s="275" t="str">
        <f t="shared" si="2"/>
        <v>RHS80x40x3.2</v>
      </c>
      <c r="B6" s="276">
        <v>0</v>
      </c>
      <c r="C6" s="277">
        <v>80</v>
      </c>
      <c r="D6" s="277">
        <v>40</v>
      </c>
      <c r="E6" s="278">
        <v>3.2</v>
      </c>
      <c r="F6" s="279">
        <f t="shared" si="3"/>
        <v>7.0066972631827857</v>
      </c>
      <c r="G6" s="280">
        <f t="shared" si="0"/>
        <v>5.5002573515984867</v>
      </c>
      <c r="H6" s="280">
        <f t="shared" si="4"/>
        <v>54.929665178782436</v>
      </c>
      <c r="I6" s="280">
        <f t="shared" si="5"/>
        <v>18.37808034767027</v>
      </c>
      <c r="J6" s="280">
        <f t="shared" si="6"/>
        <v>2.7999275845562219</v>
      </c>
      <c r="K6" s="280">
        <f t="shared" si="7"/>
        <v>1.6195464043731995</v>
      </c>
      <c r="L6" s="280">
        <f t="shared" si="8"/>
        <v>13.732416294695609</v>
      </c>
      <c r="M6" s="280">
        <f t="shared" si="8"/>
        <v>9.1890401738351351</v>
      </c>
      <c r="N6" s="280">
        <f t="shared" si="9"/>
        <v>17.458577470960822</v>
      </c>
      <c r="O6" s="280">
        <f t="shared" si="10"/>
        <v>10.715582944595255</v>
      </c>
      <c r="P6" s="280">
        <f t="shared" si="11"/>
        <v>46.194066116177673</v>
      </c>
      <c r="Q6" s="280">
        <f t="shared" si="12"/>
        <v>16.078899588250625</v>
      </c>
      <c r="R6" s="280">
        <f t="shared" si="13"/>
        <v>21.895928947446205</v>
      </c>
      <c r="S6" s="281">
        <f t="shared" si="14"/>
        <v>0.66666666666666663</v>
      </c>
      <c r="T6" s="282" t="s">
        <v>425</v>
      </c>
      <c r="U6" s="283" t="s">
        <v>652</v>
      </c>
      <c r="V6" s="276">
        <f>VLOOKUP($U6,GRADE!$B$5:$E$36,IF($E6&lt;=20,2,IF($E6&lt;=40,3,4)),FALSE)</f>
        <v>350</v>
      </c>
      <c r="W6" s="276">
        <f>VLOOKUP($U6,GRADE!$B$5:$F$36,5,FALSE)</f>
        <v>490</v>
      </c>
      <c r="X6" s="276">
        <f t="shared" si="1"/>
        <v>1</v>
      </c>
      <c r="Y6" s="279">
        <f t="shared" si="15"/>
        <v>222.94036746490679</v>
      </c>
      <c r="Z6" s="279">
        <f t="shared" si="16"/>
        <v>5.2432862216110498</v>
      </c>
      <c r="AA6" s="279">
        <f t="shared" si="17"/>
        <v>3.409503664189399</v>
      </c>
      <c r="AB6" s="279">
        <f t="shared" si="18"/>
        <v>85.809787446065357</v>
      </c>
      <c r="AC6" s="284">
        <f t="shared" si="19"/>
        <v>42.904893723032679</v>
      </c>
      <c r="AD6" s="273">
        <v>40</v>
      </c>
      <c r="AE6" s="250">
        <f t="shared" si="20"/>
        <v>1</v>
      </c>
      <c r="AF6" s="245">
        <f t="shared" si="21"/>
        <v>220.71096379025775</v>
      </c>
      <c r="AG6" s="245"/>
      <c r="AH6" s="245"/>
      <c r="AI6" s="245"/>
      <c r="AJ6" s="251"/>
    </row>
    <row r="7" spans="1:36" x14ac:dyDescent="0.25">
      <c r="A7" s="275" t="str">
        <f t="shared" si="2"/>
        <v>RHS80x40x4.8</v>
      </c>
      <c r="B7" s="276">
        <v>0</v>
      </c>
      <c r="C7" s="277">
        <v>80</v>
      </c>
      <c r="D7" s="277">
        <v>40</v>
      </c>
      <c r="E7" s="278">
        <v>4.8</v>
      </c>
      <c r="F7" s="279">
        <f t="shared" si="3"/>
        <v>10.005068842161265</v>
      </c>
      <c r="G7" s="280">
        <f t="shared" si="0"/>
        <v>7.8539790410965926</v>
      </c>
      <c r="H7" s="280">
        <f t="shared" si="4"/>
        <v>73.181037478259981</v>
      </c>
      <c r="I7" s="280">
        <f t="shared" si="5"/>
        <v>23.925851726224074</v>
      </c>
      <c r="J7" s="280">
        <f t="shared" si="6"/>
        <v>2.7045140406076338</v>
      </c>
      <c r="K7" s="280">
        <f t="shared" si="7"/>
        <v>1.5464064871119703</v>
      </c>
      <c r="L7" s="280">
        <f t="shared" si="8"/>
        <v>18.295259369564995</v>
      </c>
      <c r="M7" s="280">
        <f t="shared" si="8"/>
        <v>11.962925863112037</v>
      </c>
      <c r="N7" s="280">
        <f t="shared" si="9"/>
        <v>24.013361280170248</v>
      </c>
      <c r="O7" s="280">
        <f t="shared" si="10"/>
        <v>14.601623595847716</v>
      </c>
      <c r="P7" s="280">
        <f t="shared" si="11"/>
        <v>63.202922628747494</v>
      </c>
      <c r="Q7" s="280">
        <f t="shared" si="12"/>
        <v>21.311647435992661</v>
      </c>
      <c r="R7" s="280">
        <f t="shared" si="13"/>
        <v>20.843893421169302</v>
      </c>
      <c r="S7" s="281">
        <f t="shared" si="14"/>
        <v>0.66666666666666663</v>
      </c>
      <c r="T7" s="282" t="s">
        <v>425</v>
      </c>
      <c r="U7" s="283" t="s">
        <v>652</v>
      </c>
      <c r="V7" s="276">
        <f>VLOOKUP($U7,GRADE!$B$5:$E$36,IF($E7&lt;=20,2,IF($E7&lt;=40,3,4)),FALSE)</f>
        <v>350</v>
      </c>
      <c r="W7" s="276">
        <f>VLOOKUP($U7,GRADE!$B$5:$F$36,5,FALSE)</f>
        <v>490</v>
      </c>
      <c r="X7" s="276">
        <f t="shared" si="1"/>
        <v>1</v>
      </c>
      <c r="Y7" s="279">
        <f t="shared" si="15"/>
        <v>318.34309952331301</v>
      </c>
      <c r="Z7" s="279">
        <f t="shared" si="16"/>
        <v>6.9854626683793608</v>
      </c>
      <c r="AA7" s="279">
        <f t="shared" si="17"/>
        <v>4.5676626022791416</v>
      </c>
      <c r="AB7" s="279">
        <f t="shared" si="18"/>
        <v>122.53031613629639</v>
      </c>
      <c r="AC7" s="284">
        <f t="shared" si="19"/>
        <v>61.265158068148196</v>
      </c>
      <c r="AD7" s="273">
        <v>40</v>
      </c>
      <c r="AE7" s="250">
        <f t="shared" si="20"/>
        <v>1</v>
      </c>
      <c r="AF7" s="245">
        <f t="shared" si="21"/>
        <v>315.15966852807981</v>
      </c>
      <c r="AG7" s="245"/>
      <c r="AH7" s="245"/>
      <c r="AI7" s="245"/>
      <c r="AJ7" s="251"/>
    </row>
    <row r="8" spans="1:36" x14ac:dyDescent="0.25">
      <c r="A8" s="275" t="str">
        <f t="shared" si="2"/>
        <v>RHS96x48x4.8</v>
      </c>
      <c r="B8" s="276">
        <v>0</v>
      </c>
      <c r="C8" s="277">
        <v>96</v>
      </c>
      <c r="D8" s="277">
        <v>48</v>
      </c>
      <c r="E8" s="278">
        <v>4.8</v>
      </c>
      <c r="F8" s="279">
        <f t="shared" si="3"/>
        <v>12.309068842161262</v>
      </c>
      <c r="G8" s="280">
        <f t="shared" si="0"/>
        <v>9.6626190410965904</v>
      </c>
      <c r="H8" s="280">
        <f t="shared" si="4"/>
        <v>134.30346438551558</v>
      </c>
      <c r="I8" s="280">
        <f t="shared" si="5"/>
        <v>44.416563217648047</v>
      </c>
      <c r="J8" s="280">
        <f t="shared" si="6"/>
        <v>3.3031706230296267</v>
      </c>
      <c r="K8" s="280">
        <f t="shared" si="7"/>
        <v>1.8995900033689648</v>
      </c>
      <c r="L8" s="280">
        <f t="shared" si="8"/>
        <v>27.979888413649082</v>
      </c>
      <c r="M8" s="280">
        <f t="shared" si="8"/>
        <v>18.506901340686689</v>
      </c>
      <c r="N8" s="280">
        <f t="shared" si="9"/>
        <v>36.13389635389926</v>
      </c>
      <c r="O8" s="280">
        <f t="shared" si="10"/>
        <v>22.07501113271222</v>
      </c>
      <c r="P8" s="280">
        <f t="shared" si="11"/>
        <v>114.44345219411159</v>
      </c>
      <c r="Q8" s="280">
        <f t="shared" si="12"/>
        <v>32.657696346493474</v>
      </c>
      <c r="R8" s="280">
        <f t="shared" si="13"/>
        <v>25.643893421169295</v>
      </c>
      <c r="S8" s="281">
        <f t="shared" si="14"/>
        <v>0.66666666666666663</v>
      </c>
      <c r="T8" s="282" t="s">
        <v>425</v>
      </c>
      <c r="U8" s="283" t="s">
        <v>652</v>
      </c>
      <c r="V8" s="276">
        <f>VLOOKUP($U8,GRADE!$B$5:$E$36,IF($E8&lt;=20,2,IF($E8&lt;=40,3,4)),FALSE)</f>
        <v>350</v>
      </c>
      <c r="W8" s="276">
        <f>VLOOKUP($U8,GRADE!$B$5:$F$36,5,FALSE)</f>
        <v>490</v>
      </c>
      <c r="X8" s="276">
        <f t="shared" si="1"/>
        <v>1</v>
      </c>
      <c r="Y8" s="279">
        <f t="shared" si="15"/>
        <v>391.65219043240376</v>
      </c>
      <c r="Z8" s="279">
        <f t="shared" si="16"/>
        <v>10.683230121575104</v>
      </c>
      <c r="AA8" s="279">
        <f t="shared" si="17"/>
        <v>7.023867178590252</v>
      </c>
      <c r="AB8" s="279">
        <f t="shared" si="18"/>
        <v>150.74699838323659</v>
      </c>
      <c r="AC8" s="284">
        <f t="shared" si="19"/>
        <v>75.373499191618293</v>
      </c>
      <c r="AD8" s="273">
        <v>40</v>
      </c>
      <c r="AE8" s="250">
        <f t="shared" si="20"/>
        <v>1</v>
      </c>
      <c r="AF8" s="245">
        <f t="shared" si="21"/>
        <v>387.73566852807971</v>
      </c>
      <c r="AG8" s="245"/>
      <c r="AH8" s="245"/>
      <c r="AI8" s="245"/>
      <c r="AJ8" s="251"/>
    </row>
    <row r="9" spans="1:36" x14ac:dyDescent="0.25">
      <c r="A9" s="275" t="str">
        <f t="shared" si="2"/>
        <v>RHS122x61x3.6</v>
      </c>
      <c r="B9" s="276">
        <v>0</v>
      </c>
      <c r="C9" s="277">
        <v>122</v>
      </c>
      <c r="D9" s="277">
        <v>61</v>
      </c>
      <c r="E9" s="278">
        <v>3.6</v>
      </c>
      <c r="F9" s="279">
        <f t="shared" si="3"/>
        <v>12.323851223715712</v>
      </c>
      <c r="G9" s="280">
        <f t="shared" si="0"/>
        <v>9.6742232106168355</v>
      </c>
      <c r="H9" s="280">
        <f t="shared" si="4"/>
        <v>232.57405029795902</v>
      </c>
      <c r="I9" s="280">
        <f t="shared" si="5"/>
        <v>78.749286046672168</v>
      </c>
      <c r="J9" s="280">
        <f t="shared" si="6"/>
        <v>4.344175927691742</v>
      </c>
      <c r="K9" s="280">
        <f t="shared" si="7"/>
        <v>2.5278429534312434</v>
      </c>
      <c r="L9" s="280">
        <f t="shared" si="8"/>
        <v>38.126893491468692</v>
      </c>
      <c r="M9" s="280">
        <f t="shared" si="8"/>
        <v>25.819438048089236</v>
      </c>
      <c r="N9" s="280">
        <f t="shared" si="9"/>
        <v>47.709615583590534</v>
      </c>
      <c r="O9" s="280">
        <f t="shared" si="10"/>
        <v>29.424709351257611</v>
      </c>
      <c r="P9" s="280">
        <f t="shared" si="11"/>
        <v>192.96154858135611</v>
      </c>
      <c r="Q9" s="280">
        <f t="shared" si="12"/>
        <v>44.847767595105843</v>
      </c>
      <c r="R9" s="280">
        <f t="shared" si="13"/>
        <v>34.232920065876982</v>
      </c>
      <c r="S9" s="281">
        <f t="shared" si="14"/>
        <v>0.66666666666666663</v>
      </c>
      <c r="T9" s="282" t="s">
        <v>425</v>
      </c>
      <c r="U9" s="283" t="s">
        <v>652</v>
      </c>
      <c r="V9" s="276">
        <f>VLOOKUP($U9,GRADE!$B$5:$E$36,IF($E9&lt;=20,2,IF($E9&lt;=40,3,4)),FALSE)</f>
        <v>350</v>
      </c>
      <c r="W9" s="276">
        <f>VLOOKUP($U9,GRADE!$B$5:$F$36,5,FALSE)</f>
        <v>490</v>
      </c>
      <c r="X9" s="276">
        <f t="shared" si="1"/>
        <v>1</v>
      </c>
      <c r="Y9" s="279">
        <f t="shared" si="15"/>
        <v>392.122538936409</v>
      </c>
      <c r="Z9" s="279">
        <f t="shared" si="16"/>
        <v>14.557541151288044</v>
      </c>
      <c r="AA9" s="279">
        <f t="shared" si="17"/>
        <v>9.362407520854692</v>
      </c>
      <c r="AB9" s="279">
        <f t="shared" si="18"/>
        <v>150.9280356068368</v>
      </c>
      <c r="AC9" s="284">
        <f t="shared" si="19"/>
        <v>75.4640178034184</v>
      </c>
      <c r="AD9" s="273">
        <v>40</v>
      </c>
      <c r="AE9" s="250">
        <f t="shared" si="20"/>
        <v>1</v>
      </c>
      <c r="AF9" s="245">
        <f t="shared" si="21"/>
        <v>388.20131354704489</v>
      </c>
      <c r="AG9" s="245"/>
      <c r="AH9" s="245"/>
      <c r="AI9" s="245"/>
      <c r="AJ9" s="251"/>
    </row>
    <row r="10" spans="1:36" x14ac:dyDescent="0.25">
      <c r="A10" s="275" t="str">
        <f t="shared" si="2"/>
        <v>RHS122x61x5.4</v>
      </c>
      <c r="B10" s="276">
        <v>0</v>
      </c>
      <c r="C10" s="277">
        <v>122</v>
      </c>
      <c r="D10" s="277">
        <v>61</v>
      </c>
      <c r="E10" s="278">
        <v>5.4</v>
      </c>
      <c r="F10" s="279">
        <f t="shared" si="3"/>
        <v>17.846665253360353</v>
      </c>
      <c r="G10" s="280">
        <f t="shared" si="0"/>
        <v>14.009632223887879</v>
      </c>
      <c r="H10" s="280">
        <f t="shared" si="4"/>
        <v>320.73199197563213</v>
      </c>
      <c r="I10" s="280">
        <f t="shared" si="5"/>
        <v>106.77225290661606</v>
      </c>
      <c r="J10" s="280">
        <f t="shared" si="6"/>
        <v>4.2392848776976884</v>
      </c>
      <c r="K10" s="280">
        <f t="shared" si="7"/>
        <v>2.4459673996400295</v>
      </c>
      <c r="L10" s="280">
        <f t="shared" si="8"/>
        <v>52.579015077972485</v>
      </c>
      <c r="M10" s="280">
        <f t="shared" si="8"/>
        <v>35.007296034956084</v>
      </c>
      <c r="N10" s="280">
        <f t="shared" si="9"/>
        <v>67.290203571868972</v>
      </c>
      <c r="O10" s="280">
        <f t="shared" si="10"/>
        <v>41.219214549119904</v>
      </c>
      <c r="P10" s="280">
        <f t="shared" si="11"/>
        <v>271.23900564325646</v>
      </c>
      <c r="Q10" s="280">
        <f t="shared" si="12"/>
        <v>61.472386685477062</v>
      </c>
      <c r="R10" s="280">
        <f>F10/(E10/10)</f>
        <v>33.049380098815469</v>
      </c>
      <c r="S10" s="281">
        <f t="shared" si="14"/>
        <v>0.66666666666666674</v>
      </c>
      <c r="T10" s="282" t="s">
        <v>425</v>
      </c>
      <c r="U10" s="283" t="s">
        <v>652</v>
      </c>
      <c r="V10" s="276">
        <f>VLOOKUP($U10,GRADE!$B$5:$E$36,IF($E10&lt;=20,2,IF($E10&lt;=40,3,4)),FALSE)</f>
        <v>350</v>
      </c>
      <c r="W10" s="276">
        <f>VLOOKUP($U10,GRADE!$B$5:$F$36,5,FALSE)</f>
        <v>490</v>
      </c>
      <c r="X10" s="276">
        <f t="shared" si="1"/>
        <v>1</v>
      </c>
      <c r="Y10" s="279">
        <f t="shared" si="15"/>
        <v>567.84843987964757</v>
      </c>
      <c r="Z10" s="279">
        <f t="shared" si="16"/>
        <v>20.075623938862218</v>
      </c>
      <c r="AA10" s="279">
        <f t="shared" si="17"/>
        <v>13.115204629265422</v>
      </c>
      <c r="AB10" s="279">
        <f t="shared" si="18"/>
        <v>218.56496641561569</v>
      </c>
      <c r="AC10" s="284">
        <f t="shared" si="19"/>
        <v>109.28248320780784</v>
      </c>
      <c r="AD10" s="273">
        <v>40</v>
      </c>
      <c r="AE10" s="250">
        <f t="shared" si="20"/>
        <v>1</v>
      </c>
      <c r="AF10" s="245">
        <f t="shared" si="21"/>
        <v>562.16995548085117</v>
      </c>
      <c r="AG10" s="245"/>
      <c r="AH10" s="245"/>
      <c r="AI10" s="245"/>
      <c r="AJ10" s="251"/>
    </row>
    <row r="11" spans="1:36" x14ac:dyDescent="0.25">
      <c r="A11" s="275" t="str">
        <f t="shared" si="2"/>
        <v>RHS145x82x4.8</v>
      </c>
      <c r="B11" s="276">
        <v>0</v>
      </c>
      <c r="C11" s="277">
        <v>145</v>
      </c>
      <c r="D11" s="277">
        <v>82</v>
      </c>
      <c r="E11" s="278">
        <v>4.8</v>
      </c>
      <c r="F11" s="279">
        <f t="shared" si="3"/>
        <v>20.27706884216126</v>
      </c>
      <c r="G11" s="280">
        <f t="shared" si="0"/>
        <v>15.91749904109659</v>
      </c>
      <c r="H11" s="280">
        <f t="shared" si="4"/>
        <v>555.05266864469479</v>
      </c>
      <c r="I11" s="280">
        <f t="shared" si="5"/>
        <v>228.28076842271565</v>
      </c>
      <c r="J11" s="280">
        <f t="shared" si="6"/>
        <v>5.2319611408410864</v>
      </c>
      <c r="K11" s="280">
        <f t="shared" si="7"/>
        <v>3.3553055488813426</v>
      </c>
      <c r="L11" s="280">
        <f t="shared" si="8"/>
        <v>76.558988778578595</v>
      </c>
      <c r="M11" s="280">
        <f t="shared" si="8"/>
        <v>55.678236200662361</v>
      </c>
      <c r="N11" s="280">
        <f t="shared" si="9"/>
        <v>94.934155017194357</v>
      </c>
      <c r="O11" s="280">
        <f t="shared" si="10"/>
        <v>63.932268164386372</v>
      </c>
      <c r="P11" s="280">
        <f t="shared" si="11"/>
        <v>528.39616496368365</v>
      </c>
      <c r="Q11" s="280">
        <f t="shared" si="12"/>
        <v>94.952729244916185</v>
      </c>
      <c r="R11" s="280">
        <f t="shared" si="13"/>
        <v>42.24389342116929</v>
      </c>
      <c r="S11" s="281">
        <f t="shared" si="14"/>
        <v>0.63876651982378863</v>
      </c>
      <c r="T11" s="282" t="s">
        <v>425</v>
      </c>
      <c r="U11" s="283" t="s">
        <v>652</v>
      </c>
      <c r="V11" s="276">
        <f>VLOOKUP($U11,GRADE!$B$5:$E$36,IF($E11&lt;=20,2,IF($E11&lt;=40,3,4)),FALSE)</f>
        <v>350</v>
      </c>
      <c r="W11" s="276">
        <f>VLOOKUP($U11,GRADE!$B$5:$F$36,5,FALSE)</f>
        <v>490</v>
      </c>
      <c r="X11" s="276">
        <f t="shared" si="1"/>
        <v>1</v>
      </c>
      <c r="Y11" s="279">
        <f t="shared" si="15"/>
        <v>645.1794631596764</v>
      </c>
      <c r="Z11" s="279">
        <f t="shared" si="16"/>
        <v>29.231613897275459</v>
      </c>
      <c r="AA11" s="279">
        <f t="shared" si="17"/>
        <v>20.342085325032023</v>
      </c>
      <c r="AB11" s="279">
        <f t="shared" si="18"/>
        <v>237.93703888094416</v>
      </c>
      <c r="AC11" s="284">
        <f t="shared" si="19"/>
        <v>134.55749784991323</v>
      </c>
      <c r="AD11" s="273">
        <v>40</v>
      </c>
      <c r="AE11" s="250">
        <f t="shared" si="20"/>
        <v>1</v>
      </c>
      <c r="AF11" s="245">
        <f t="shared" si="21"/>
        <v>638.72766852807968</v>
      </c>
      <c r="AG11" s="245"/>
      <c r="AH11" s="245"/>
      <c r="AI11" s="245"/>
      <c r="AJ11" s="251"/>
    </row>
    <row r="12" spans="1:36" x14ac:dyDescent="0.25">
      <c r="A12" s="275" t="str">
        <f t="shared" si="2"/>
        <v>RHS172x92x4.8</v>
      </c>
      <c r="B12" s="276">
        <v>0</v>
      </c>
      <c r="C12" s="277">
        <v>172</v>
      </c>
      <c r="D12" s="277">
        <v>92</v>
      </c>
      <c r="E12" s="278">
        <v>4.8</v>
      </c>
      <c r="F12" s="279">
        <f t="shared" si="3"/>
        <v>23.82906884216127</v>
      </c>
      <c r="G12" s="280">
        <f t="shared" si="0"/>
        <v>18.705819041096596</v>
      </c>
      <c r="H12" s="280">
        <f t="shared" si="4"/>
        <v>916.99930115595873</v>
      </c>
      <c r="I12" s="280">
        <f t="shared" si="5"/>
        <v>346.63734699764234</v>
      </c>
      <c r="J12" s="280">
        <f t="shared" si="6"/>
        <v>6.2034168644569965</v>
      </c>
      <c r="K12" s="280">
        <f t="shared" si="7"/>
        <v>3.8140303104423543</v>
      </c>
      <c r="L12" s="280">
        <f t="shared" si="8"/>
        <v>106.62782571580917</v>
      </c>
      <c r="M12" s="280">
        <f t="shared" si="8"/>
        <v>75.355944999487477</v>
      </c>
      <c r="N12" s="280">
        <f t="shared" si="9"/>
        <v>132.08339795411206</v>
      </c>
      <c r="O12" s="280">
        <f t="shared" si="10"/>
        <v>85.611922585467013</v>
      </c>
      <c r="P12" s="280">
        <f t="shared" si="11"/>
        <v>817.10377156540619</v>
      </c>
      <c r="Q12" s="280">
        <f t="shared" si="12"/>
        <v>129.34799390829457</v>
      </c>
      <c r="R12" s="280">
        <f t="shared" si="13"/>
        <v>49.643893421169317</v>
      </c>
      <c r="S12" s="281">
        <f t="shared" si="14"/>
        <v>0.65151515151515138</v>
      </c>
      <c r="T12" s="282" t="s">
        <v>425</v>
      </c>
      <c r="U12" s="283" t="s">
        <v>652</v>
      </c>
      <c r="V12" s="276">
        <f>VLOOKUP($U12,GRADE!$B$5:$E$36,IF($E12&lt;=20,2,IF($E12&lt;=40,3,4)),FALSE)</f>
        <v>350</v>
      </c>
      <c r="W12" s="276">
        <f>VLOOKUP($U12,GRADE!$B$5:$F$36,5,FALSE)</f>
        <v>490</v>
      </c>
      <c r="X12" s="276">
        <f t="shared" si="1"/>
        <v>1</v>
      </c>
      <c r="Y12" s="279">
        <f t="shared" si="15"/>
        <v>758.19764497785843</v>
      </c>
      <c r="Z12" s="279">
        <f t="shared" si="16"/>
        <v>40.712442546036215</v>
      </c>
      <c r="AA12" s="279">
        <f t="shared" si="17"/>
        <v>27.240157186284957</v>
      </c>
      <c r="AB12" s="279">
        <f t="shared" si="18"/>
        <v>285.19790030843933</v>
      </c>
      <c r="AC12" s="284">
        <f t="shared" si="19"/>
        <v>152.54771411846755</v>
      </c>
      <c r="AD12" s="273">
        <v>40</v>
      </c>
      <c r="AE12" s="250">
        <f t="shared" si="20"/>
        <v>1</v>
      </c>
      <c r="AF12" s="245">
        <f t="shared" si="21"/>
        <v>750.61566852807994</v>
      </c>
      <c r="AG12" s="245"/>
      <c r="AH12" s="245"/>
      <c r="AI12" s="245"/>
      <c r="AJ12" s="251"/>
    </row>
    <row r="13" spans="1:36" x14ac:dyDescent="0.25">
      <c r="A13" s="275" t="str">
        <f t="shared" si="2"/>
        <v>RHS200x100x5</v>
      </c>
      <c r="B13" s="276">
        <v>0</v>
      </c>
      <c r="C13" s="277">
        <v>200</v>
      </c>
      <c r="D13" s="277">
        <v>100</v>
      </c>
      <c r="E13" s="278">
        <v>5</v>
      </c>
      <c r="F13" s="279">
        <f t="shared" si="3"/>
        <v>28.356194490192344</v>
      </c>
      <c r="G13" s="280">
        <f t="shared" si="0"/>
        <v>22.259612674800991</v>
      </c>
      <c r="H13" s="280">
        <f t="shared" si="4"/>
        <v>1459.0947311504319</v>
      </c>
      <c r="I13" s="280">
        <f t="shared" si="5"/>
        <v>496.57542262126265</v>
      </c>
      <c r="J13" s="280">
        <f t="shared" si="6"/>
        <v>7.1732798030480351</v>
      </c>
      <c r="K13" s="280">
        <f t="shared" si="7"/>
        <v>4.184741512724556</v>
      </c>
      <c r="L13" s="280">
        <f t="shared" si="8"/>
        <v>145.9094731150432</v>
      </c>
      <c r="M13" s="280">
        <f t="shared" si="8"/>
        <v>99.315084524252526</v>
      </c>
      <c r="N13" s="280">
        <f t="shared" si="9"/>
        <v>181.37241707839777</v>
      </c>
      <c r="O13" s="280">
        <f t="shared" si="10"/>
        <v>112.09144462743605</v>
      </c>
      <c r="P13" s="280">
        <f t="shared" si="11"/>
        <v>1203.68051479517</v>
      </c>
      <c r="Q13" s="280">
        <f t="shared" si="12"/>
        <v>172.03900870596064</v>
      </c>
      <c r="R13" s="280">
        <f t="shared" si="13"/>
        <v>56.712388980384688</v>
      </c>
      <c r="S13" s="281">
        <f t="shared" si="14"/>
        <v>0.66666666666666663</v>
      </c>
      <c r="T13" s="282" t="s">
        <v>425</v>
      </c>
      <c r="U13" s="283" t="s">
        <v>652</v>
      </c>
      <c r="V13" s="276">
        <f>VLOOKUP($U13,GRADE!$B$5:$E$36,IF($E13&lt;=20,2,IF($E13&lt;=40,3,4)),FALSE)</f>
        <v>350</v>
      </c>
      <c r="W13" s="276">
        <f>VLOOKUP($U13,GRADE!$B$5:$F$36,5,FALSE)</f>
        <v>490</v>
      </c>
      <c r="X13" s="276">
        <f t="shared" si="1"/>
        <v>1</v>
      </c>
      <c r="Y13" s="279">
        <f t="shared" si="15"/>
        <v>902.24255196066542</v>
      </c>
      <c r="Z13" s="279">
        <f t="shared" si="16"/>
        <v>55.710889734834673</v>
      </c>
      <c r="AA13" s="279">
        <f t="shared" si="17"/>
        <v>35.665459654184197</v>
      </c>
      <c r="AB13" s="279">
        <f t="shared" si="18"/>
        <v>347.27332016588343</v>
      </c>
      <c r="AC13" s="284">
        <f t="shared" si="19"/>
        <v>173.63666008294172</v>
      </c>
      <c r="AD13" s="273">
        <v>40</v>
      </c>
      <c r="AE13" s="250">
        <f t="shared" si="20"/>
        <v>1</v>
      </c>
      <c r="AF13" s="245">
        <f t="shared" si="21"/>
        <v>893.22012644105894</v>
      </c>
      <c r="AG13" s="245"/>
      <c r="AH13" s="245"/>
      <c r="AI13" s="245"/>
      <c r="AJ13" s="251"/>
    </row>
    <row r="14" spans="1:36" x14ac:dyDescent="0.25">
      <c r="A14" s="275" t="str">
        <f t="shared" si="2"/>
        <v>RHS240x120x5</v>
      </c>
      <c r="B14" s="276">
        <v>0</v>
      </c>
      <c r="C14" s="277">
        <v>240</v>
      </c>
      <c r="D14" s="277">
        <v>120</v>
      </c>
      <c r="E14" s="278">
        <v>5</v>
      </c>
      <c r="F14" s="279">
        <f t="shared" si="3"/>
        <v>34.356194490192344</v>
      </c>
      <c r="G14" s="280">
        <f t="shared" si="0"/>
        <v>26.969612674800988</v>
      </c>
      <c r="H14" s="280">
        <f t="shared" si="4"/>
        <v>2579.4691774247922</v>
      </c>
      <c r="I14" s="280">
        <f t="shared" si="5"/>
        <v>882.03450636632704</v>
      </c>
      <c r="J14" s="280">
        <f t="shared" si="6"/>
        <v>8.6648818462278268</v>
      </c>
      <c r="K14" s="280">
        <f t="shared" si="7"/>
        <v>5.0668758301383656</v>
      </c>
      <c r="L14" s="280">
        <f t="shared" si="8"/>
        <v>214.95576478539934</v>
      </c>
      <c r="M14" s="280">
        <f t="shared" si="8"/>
        <v>147.0057510610545</v>
      </c>
      <c r="N14" s="280">
        <f t="shared" si="9"/>
        <v>265.58480605878242</v>
      </c>
      <c r="O14" s="280">
        <f t="shared" si="10"/>
        <v>164.4476391176284</v>
      </c>
      <c r="P14" s="280">
        <f t="shared" si="11"/>
        <v>2116.8170501575728</v>
      </c>
      <c r="Q14" s="280">
        <f t="shared" si="12"/>
        <v>254.06171372426738</v>
      </c>
      <c r="R14" s="280">
        <f t="shared" si="13"/>
        <v>68.712388980384688</v>
      </c>
      <c r="S14" s="281">
        <f t="shared" si="14"/>
        <v>0.66666666666666663</v>
      </c>
      <c r="T14" s="282" t="s">
        <v>425</v>
      </c>
      <c r="U14" s="283" t="s">
        <v>652</v>
      </c>
      <c r="V14" s="276">
        <f>VLOOKUP($U14,GRADE!$B$5:$E$36,IF($E14&lt;=20,2,IF($E14&lt;=40,3,4)),FALSE)</f>
        <v>350</v>
      </c>
      <c r="W14" s="276">
        <f>VLOOKUP($U14,GRADE!$B$5:$F$36,5,FALSE)</f>
        <v>490</v>
      </c>
      <c r="X14" s="276">
        <f t="shared" si="1"/>
        <v>1</v>
      </c>
      <c r="Y14" s="279">
        <f t="shared" si="15"/>
        <v>1093.1516428697564</v>
      </c>
      <c r="Z14" s="279">
        <f t="shared" si="16"/>
        <v>82.074019281697915</v>
      </c>
      <c r="AA14" s="279">
        <f t="shared" si="17"/>
        <v>52.324248810154486</v>
      </c>
      <c r="AB14" s="279">
        <f t="shared" si="18"/>
        <v>420.75426351729033</v>
      </c>
      <c r="AC14" s="284">
        <f t="shared" si="19"/>
        <v>210.37713175864516</v>
      </c>
      <c r="AD14" s="273">
        <v>40</v>
      </c>
      <c r="AE14" s="250">
        <f t="shared" si="20"/>
        <v>1</v>
      </c>
      <c r="AF14" s="245">
        <f t="shared" si="21"/>
        <v>1082.2201264410589</v>
      </c>
      <c r="AG14" s="245"/>
      <c r="AH14" s="245"/>
      <c r="AI14" s="245"/>
      <c r="AJ14" s="251"/>
    </row>
    <row r="15" spans="1:36" x14ac:dyDescent="0.25">
      <c r="A15" s="275" t="str">
        <f t="shared" si="2"/>
        <v>RHS240x120x8</v>
      </c>
      <c r="B15" s="276">
        <v>0</v>
      </c>
      <c r="C15" s="277">
        <v>240</v>
      </c>
      <c r="D15" s="277">
        <v>120</v>
      </c>
      <c r="E15" s="278">
        <v>8</v>
      </c>
      <c r="F15" s="279">
        <f t="shared" si="3"/>
        <v>53.391857894892404</v>
      </c>
      <c r="G15" s="280">
        <f t="shared" si="0"/>
        <v>41.912608447490541</v>
      </c>
      <c r="H15" s="280">
        <f t="shared" si="4"/>
        <v>3851.0989695608096</v>
      </c>
      <c r="I15" s="280">
        <f t="shared" si="5"/>
        <v>1298.2059884943644</v>
      </c>
      <c r="J15" s="280">
        <f t="shared" si="6"/>
        <v>8.4928767807584205</v>
      </c>
      <c r="K15" s="280">
        <f t="shared" si="7"/>
        <v>4.9309918800392234</v>
      </c>
      <c r="L15" s="280">
        <f t="shared" si="8"/>
        <v>320.92491413006746</v>
      </c>
      <c r="M15" s="280">
        <f t="shared" si="8"/>
        <v>216.36766474906074</v>
      </c>
      <c r="N15" s="280">
        <f t="shared" si="9"/>
        <v>403.89398877354762</v>
      </c>
      <c r="O15" s="280">
        <f t="shared" si="10"/>
        <v>248.66284140419324</v>
      </c>
      <c r="P15" s="280">
        <f t="shared" si="11"/>
        <v>3210.8897978038954</v>
      </c>
      <c r="Q15" s="280">
        <f t="shared" si="12"/>
        <v>376.81160139838846</v>
      </c>
      <c r="R15" s="280">
        <f t="shared" si="13"/>
        <v>66.739822368615506</v>
      </c>
      <c r="S15" s="281">
        <f t="shared" si="14"/>
        <v>0.66666666666666674</v>
      </c>
      <c r="T15" s="282" t="s">
        <v>425</v>
      </c>
      <c r="U15" s="283" t="s">
        <v>652</v>
      </c>
      <c r="V15" s="276">
        <f>VLOOKUP($U15,GRADE!$B$5:$E$36,IF($E15&lt;=20,2,IF($E15&lt;=40,3,4)),FALSE)</f>
        <v>350</v>
      </c>
      <c r="W15" s="276">
        <f>VLOOKUP($U15,GRADE!$B$5:$F$36,5,FALSE)</f>
        <v>490</v>
      </c>
      <c r="X15" s="276">
        <f t="shared" si="1"/>
        <v>1</v>
      </c>
      <c r="Y15" s="279">
        <f t="shared" si="15"/>
        <v>1698.8318421102126</v>
      </c>
      <c r="Z15" s="279">
        <f t="shared" si="16"/>
        <v>122.53496721329847</v>
      </c>
      <c r="AA15" s="279">
        <f t="shared" si="17"/>
        <v>79.119994992243306</v>
      </c>
      <c r="AB15" s="279">
        <f t="shared" si="18"/>
        <v>653.8806809001594</v>
      </c>
      <c r="AC15" s="284">
        <f t="shared" si="19"/>
        <v>326.9403404500797</v>
      </c>
      <c r="AD15" s="273">
        <v>40</v>
      </c>
      <c r="AE15" s="250">
        <f t="shared" si="20"/>
        <v>1</v>
      </c>
      <c r="AF15" s="245">
        <f t="shared" si="21"/>
        <v>1681.8435236891107</v>
      </c>
      <c r="AG15" s="245"/>
      <c r="AH15" s="245"/>
      <c r="AI15" s="245"/>
      <c r="AJ15" s="251"/>
    </row>
    <row r="16" spans="1:36" x14ac:dyDescent="0.25">
      <c r="A16" s="275" t="str">
        <f t="shared" si="2"/>
        <v>RHS300x150x6</v>
      </c>
      <c r="B16" s="276">
        <v>0</v>
      </c>
      <c r="C16" s="277">
        <v>300</v>
      </c>
      <c r="D16" s="277">
        <v>150</v>
      </c>
      <c r="E16" s="278">
        <v>6</v>
      </c>
      <c r="F16" s="279">
        <f t="shared" si="3"/>
        <v>51.632920065876981</v>
      </c>
      <c r="G16" s="280">
        <f t="shared" si="0"/>
        <v>40.531842251713428</v>
      </c>
      <c r="H16" s="280">
        <f t="shared" si="4"/>
        <v>6073.067111375256</v>
      </c>
      <c r="I16" s="280">
        <f t="shared" si="5"/>
        <v>2078.5994114443019</v>
      </c>
      <c r="J16" s="280">
        <f t="shared" si="6"/>
        <v>10.845278195294757</v>
      </c>
      <c r="K16" s="280">
        <f t="shared" si="7"/>
        <v>6.3448601857777547</v>
      </c>
      <c r="L16" s="280">
        <f t="shared" si="8"/>
        <v>404.87114075835041</v>
      </c>
      <c r="M16" s="280">
        <f t="shared" si="8"/>
        <v>277.14658819257357</v>
      </c>
      <c r="N16" s="280">
        <f t="shared" si="9"/>
        <v>499.6302969091023</v>
      </c>
      <c r="O16" s="280">
        <f t="shared" si="10"/>
        <v>309.48339641502491</v>
      </c>
      <c r="P16" s="280">
        <f t="shared" si="11"/>
        <v>4978.6199399745619</v>
      </c>
      <c r="Q16" s="280">
        <f t="shared" si="12"/>
        <v>478.77058950707431</v>
      </c>
      <c r="R16" s="280">
        <f t="shared" si="13"/>
        <v>86.054866776461637</v>
      </c>
      <c r="S16" s="281">
        <f t="shared" si="14"/>
        <v>0.66666666666666674</v>
      </c>
      <c r="T16" s="282" t="s">
        <v>425</v>
      </c>
      <c r="U16" s="283" t="s">
        <v>652</v>
      </c>
      <c r="V16" s="276">
        <f>VLOOKUP($U16,GRADE!$B$5:$E$36,IF($E16&lt;=20,2,IF($E16&lt;=40,3,4)),FALSE)</f>
        <v>350</v>
      </c>
      <c r="W16" s="276">
        <f>VLOOKUP($U16,GRADE!$B$5:$F$36,5,FALSE)</f>
        <v>490</v>
      </c>
      <c r="X16" s="276">
        <f t="shared" si="1"/>
        <v>1</v>
      </c>
      <c r="Y16" s="279">
        <f t="shared" si="15"/>
        <v>1642.865638459722</v>
      </c>
      <c r="Z16" s="279">
        <f t="shared" si="16"/>
        <v>154.5871628350065</v>
      </c>
      <c r="AA16" s="279">
        <f t="shared" si="17"/>
        <v>98.471989768417018</v>
      </c>
      <c r="AB16" s="279">
        <f t="shared" si="18"/>
        <v>632.33927907140458</v>
      </c>
      <c r="AC16" s="284">
        <f t="shared" si="19"/>
        <v>316.16963953570229</v>
      </c>
      <c r="AD16" s="273">
        <v>40</v>
      </c>
      <c r="AE16" s="250">
        <f t="shared" si="20"/>
        <v>1</v>
      </c>
      <c r="AF16" s="245">
        <f t="shared" si="21"/>
        <v>1626.4369820751249</v>
      </c>
      <c r="AG16" s="245"/>
      <c r="AH16" s="245"/>
      <c r="AI16" s="245"/>
      <c r="AJ16" s="251"/>
    </row>
    <row r="17" spans="1:36" x14ac:dyDescent="0.25">
      <c r="A17" s="275" t="str">
        <f t="shared" si="2"/>
        <v>RHS300x200x6</v>
      </c>
      <c r="B17" s="276">
        <v>0</v>
      </c>
      <c r="C17" s="277">
        <v>300</v>
      </c>
      <c r="D17" s="277">
        <v>200</v>
      </c>
      <c r="E17" s="278">
        <v>6</v>
      </c>
      <c r="F17" s="279">
        <f t="shared" si="3"/>
        <v>57.632920065876981</v>
      </c>
      <c r="G17" s="280">
        <f t="shared" si="0"/>
        <v>45.241842251713429</v>
      </c>
      <c r="H17" s="280">
        <f t="shared" si="4"/>
        <v>7369.6121113752561</v>
      </c>
      <c r="I17" s="280">
        <f t="shared" si="5"/>
        <v>3961.2221439311579</v>
      </c>
      <c r="J17" s="280">
        <f t="shared" si="6"/>
        <v>11.308031323334289</v>
      </c>
      <c r="K17" s="280">
        <f t="shared" si="7"/>
        <v>8.2904725732386595</v>
      </c>
      <c r="L17" s="280">
        <f t="shared" si="8"/>
        <v>491.30747409168373</v>
      </c>
      <c r="M17" s="280">
        <f t="shared" si="8"/>
        <v>396.12221439311577</v>
      </c>
      <c r="N17" s="280">
        <f t="shared" si="9"/>
        <v>587.83029690910223</v>
      </c>
      <c r="O17" s="280">
        <f t="shared" si="10"/>
        <v>446.06569657971738</v>
      </c>
      <c r="P17" s="280">
        <f t="shared" si="11"/>
        <v>8099.5995745448872</v>
      </c>
      <c r="Q17" s="280">
        <f t="shared" si="12"/>
        <v>651.41094330426233</v>
      </c>
      <c r="R17" s="280">
        <f t="shared" si="13"/>
        <v>96.054866776461637</v>
      </c>
      <c r="S17" s="281">
        <f t="shared" si="14"/>
        <v>0.60000000000000009</v>
      </c>
      <c r="T17" s="282" t="s">
        <v>425</v>
      </c>
      <c r="U17" s="283" t="s">
        <v>652</v>
      </c>
      <c r="V17" s="276">
        <f>VLOOKUP($U17,GRADE!$B$5:$E$36,IF($E17&lt;=20,2,IF($E17&lt;=40,3,4)),FALSE)</f>
        <v>350</v>
      </c>
      <c r="W17" s="276">
        <f>VLOOKUP($U17,GRADE!$B$5:$F$36,5,FALSE)</f>
        <v>490</v>
      </c>
      <c r="X17" s="276">
        <f t="shared" si="1"/>
        <v>1</v>
      </c>
      <c r="Y17" s="279">
        <f t="shared" si="15"/>
        <v>1833.7747293688128</v>
      </c>
      <c r="Z17" s="279">
        <f t="shared" si="16"/>
        <v>187.03691265289615</v>
      </c>
      <c r="AA17" s="279">
        <f t="shared" si="17"/>
        <v>141.92999436627372</v>
      </c>
      <c r="AB17" s="279">
        <f t="shared" si="18"/>
        <v>635.23820018053038</v>
      </c>
      <c r="AC17" s="284">
        <f t="shared" si="19"/>
        <v>423.4921334536869</v>
      </c>
      <c r="AD17" s="273">
        <v>40</v>
      </c>
      <c r="AE17" s="250">
        <f t="shared" si="20"/>
        <v>1</v>
      </c>
      <c r="AF17" s="245">
        <f t="shared" si="21"/>
        <v>1815.4369820751249</v>
      </c>
      <c r="AG17" s="245"/>
      <c r="AH17" s="245"/>
      <c r="AI17" s="245"/>
      <c r="AJ17" s="251"/>
    </row>
    <row r="18" spans="1:36" x14ac:dyDescent="0.25">
      <c r="A18" s="275" t="str">
        <f t="shared" si="2"/>
        <v>RHS300x200x8</v>
      </c>
      <c r="B18" s="276">
        <v>0</v>
      </c>
      <c r="C18" s="277">
        <v>300</v>
      </c>
      <c r="D18" s="277">
        <v>200</v>
      </c>
      <c r="E18" s="278">
        <v>8</v>
      </c>
      <c r="F18" s="279">
        <f t="shared" si="3"/>
        <v>75.791857894892402</v>
      </c>
      <c r="G18" s="280">
        <f t="shared" si="0"/>
        <v>59.496608447490537</v>
      </c>
      <c r="H18" s="280">
        <f t="shared" si="4"/>
        <v>9512.2482899227925</v>
      </c>
      <c r="I18" s="280">
        <f t="shared" si="5"/>
        <v>5094.789112712856</v>
      </c>
      <c r="J18" s="280">
        <f t="shared" si="6"/>
        <v>11.202896207161455</v>
      </c>
      <c r="K18" s="280">
        <f t="shared" si="7"/>
        <v>8.1988290169673252</v>
      </c>
      <c r="L18" s="280">
        <f t="shared" si="8"/>
        <v>634.14988599485287</v>
      </c>
      <c r="M18" s="280">
        <f t="shared" si="8"/>
        <v>509.4789112712856</v>
      </c>
      <c r="N18" s="280">
        <f t="shared" si="9"/>
        <v>765.3495624582248</v>
      </c>
      <c r="O18" s="280">
        <f t="shared" si="10"/>
        <v>579.99027298376291</v>
      </c>
      <c r="P18" s="280">
        <f t="shared" si="11"/>
        <v>10562.123499980888</v>
      </c>
      <c r="Q18" s="280">
        <f t="shared" si="12"/>
        <v>839.95932670701325</v>
      </c>
      <c r="R18" s="280">
        <f t="shared" si="13"/>
        <v>94.739822368615492</v>
      </c>
      <c r="S18" s="281">
        <f t="shared" si="14"/>
        <v>0.60000000000000009</v>
      </c>
      <c r="T18" s="282" t="s">
        <v>425</v>
      </c>
      <c r="U18" s="283" t="s">
        <v>652</v>
      </c>
      <c r="V18" s="276">
        <f>VLOOKUP($U18,GRADE!$B$5:$E$36,IF($E18&lt;=20,2,IF($E18&lt;=40,3,4)),FALSE)</f>
        <v>350</v>
      </c>
      <c r="W18" s="276">
        <f>VLOOKUP($U18,GRADE!$B$5:$F$36,5,FALSE)</f>
        <v>490</v>
      </c>
      <c r="X18" s="276">
        <f t="shared" si="1"/>
        <v>1</v>
      </c>
      <c r="Y18" s="279">
        <f t="shared" si="15"/>
        <v>2411.5591148374851</v>
      </c>
      <c r="Z18" s="279">
        <f t="shared" si="16"/>
        <v>242.12995647076198</v>
      </c>
      <c r="AA18" s="279">
        <f t="shared" si="17"/>
        <v>184.54235958574273</v>
      </c>
      <c r="AB18" s="279">
        <f t="shared" si="18"/>
        <v>835.38858247087069</v>
      </c>
      <c r="AC18" s="284">
        <f t="shared" si="19"/>
        <v>556.92572164724709</v>
      </c>
      <c r="AD18" s="273">
        <v>40</v>
      </c>
      <c r="AE18" s="250">
        <f>IF(MAX(D18/E18,C18/E18)&lt;=2.26*SQRT((2.1*10^5)/V18),1,IF(MAX(D18/E18,C18/E18)&lt;=3*SQRT((2.1*10^5)/V18),2,IF(MAX(D18/E18,C18/E18)&lt;=5*SQRT((2.1*10^5)/V18),3,4)))</f>
        <v>1</v>
      </c>
      <c r="AF18" s="245">
        <f>0.9*(V18*F18*10^2)/10^3</f>
        <v>2387.4435236891109</v>
      </c>
      <c r="AG18" s="245"/>
      <c r="AH18" s="245"/>
      <c r="AI18" s="245"/>
      <c r="AJ18" s="251"/>
    </row>
    <row r="19" spans="1:36" ht="15.75" thickBot="1" x14ac:dyDescent="0.3">
      <c r="A19" s="275" t="str">
        <f t="shared" si="2"/>
        <v>RHS300x200x10</v>
      </c>
      <c r="B19" s="276">
        <v>0</v>
      </c>
      <c r="C19" s="277">
        <v>300</v>
      </c>
      <c r="D19" s="277">
        <v>200</v>
      </c>
      <c r="E19" s="278">
        <v>10</v>
      </c>
      <c r="F19" s="279">
        <f t="shared" si="3"/>
        <v>93.42477796076939</v>
      </c>
      <c r="G19" s="280">
        <f t="shared" si="0"/>
        <v>73.338450699203975</v>
      </c>
      <c r="H19" s="280">
        <f t="shared" si="4"/>
        <v>11504.595114487654</v>
      </c>
      <c r="I19" s="280">
        <f t="shared" si="5"/>
        <v>6140.0100952735347</v>
      </c>
      <c r="J19" s="280">
        <f t="shared" si="6"/>
        <v>11.096975630833008</v>
      </c>
      <c r="K19" s="280">
        <f t="shared" si="7"/>
        <v>8.1068755366119447</v>
      </c>
      <c r="L19" s="280">
        <f t="shared" si="8"/>
        <v>766.9730076325103</v>
      </c>
      <c r="M19" s="280">
        <f t="shared" si="8"/>
        <v>614.00100952735352</v>
      </c>
      <c r="N19" s="280">
        <f t="shared" si="9"/>
        <v>933.85544682333523</v>
      </c>
      <c r="O19" s="280">
        <f t="shared" si="10"/>
        <v>706.73155701948838</v>
      </c>
      <c r="P19" s="280">
        <f t="shared" si="11"/>
        <v>12907.658089688011</v>
      </c>
      <c r="Q19" s="280">
        <f t="shared" si="12"/>
        <v>1015.3068081522985</v>
      </c>
      <c r="R19" s="280">
        <f t="shared" si="13"/>
        <v>93.42477796076939</v>
      </c>
      <c r="S19" s="281">
        <f t="shared" si="14"/>
        <v>0.6</v>
      </c>
      <c r="T19" s="282" t="s">
        <v>425</v>
      </c>
      <c r="U19" s="306" t="s">
        <v>652</v>
      </c>
      <c r="V19" s="307">
        <f>VLOOKUP($U19,GRADE!$B$5:$E$36,IF($E19&lt;=20,2,IF($E19&lt;=40,3,4)),FALSE)</f>
        <v>350</v>
      </c>
      <c r="W19" s="307">
        <f>VLOOKUP($U19,GRADE!$B$5:$F$36,5,FALSE)</f>
        <v>490</v>
      </c>
      <c r="X19" s="307">
        <f t="shared" si="1"/>
        <v>1</v>
      </c>
      <c r="Y19" s="308">
        <f t="shared" si="15"/>
        <v>2972.6065714790257</v>
      </c>
      <c r="Z19" s="308">
        <f t="shared" si="16"/>
        <v>292.84423927786753</v>
      </c>
      <c r="AA19" s="308">
        <f t="shared" si="17"/>
        <v>224.86913177892811</v>
      </c>
      <c r="AB19" s="308">
        <f t="shared" si="18"/>
        <v>1029.7411225429598</v>
      </c>
      <c r="AC19" s="309">
        <f t="shared" si="19"/>
        <v>686.49408169530659</v>
      </c>
      <c r="AD19" s="274">
        <v>40</v>
      </c>
      <c r="AE19" s="271">
        <f>IF(MAX(D19/E19,C19/E19)&lt;=2.26*SQRT((2.1*10^5)/V19),1,IF(MAX(D19/E19,C19/E19)&lt;=3*SQRT((2.1*10^5)/V19),2,IF(MAX(D19/E19,C19/E19)&lt;=5*SQRT((2.1*10^5)/V19),3,4)))</f>
        <v>1</v>
      </c>
      <c r="AF19" s="266">
        <f>0.9*(V19*F19*10^2)/10^3</f>
        <v>2942.8805057642357</v>
      </c>
      <c r="AG19" s="266"/>
      <c r="AH19" s="266"/>
      <c r="AI19" s="266"/>
      <c r="AJ19" s="27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GRADE!$B$18:$B$36</xm:f>
          </x14:formula1>
          <xm:sqref>U2:U19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59"/>
  <sheetViews>
    <sheetView zoomScale="85" zoomScaleNormal="85" workbookViewId="0">
      <pane xSplit="1" ySplit="1" topLeftCell="L50" activePane="bottomRight" state="frozen"/>
      <selection activeCell="I29" sqref="I29"/>
      <selection pane="topRight" activeCell="I29" sqref="I29"/>
      <selection pane="bottomLeft" activeCell="I29" sqref="I29"/>
      <selection pane="bottomRight" activeCell="R69" sqref="R69"/>
    </sheetView>
  </sheetViews>
  <sheetFormatPr defaultRowHeight="12.75" x14ac:dyDescent="0.2"/>
  <cols>
    <col min="1" max="1" width="15.7109375" style="148" bestFit="1" customWidth="1"/>
    <col min="2" max="2" width="8" style="148" customWidth="1"/>
    <col min="3" max="3" width="10.85546875" style="148" bestFit="1" customWidth="1"/>
    <col min="4" max="4" width="9.7109375" style="148" customWidth="1"/>
    <col min="5" max="7" width="8" style="148" customWidth="1"/>
    <col min="8" max="8" width="9" style="148" customWidth="1"/>
    <col min="9" max="9" width="8.140625" style="148" customWidth="1"/>
    <col min="10" max="10" width="9.5703125" style="148" customWidth="1"/>
    <col min="11" max="11" width="9.140625" style="148" customWidth="1"/>
    <col min="12" max="13" width="7.42578125" style="148" customWidth="1"/>
    <col min="14" max="14" width="9.28515625" style="148" customWidth="1"/>
    <col min="15" max="15" width="9.140625" style="148" customWidth="1"/>
    <col min="16" max="16" width="8.28515625" style="148" customWidth="1"/>
    <col min="17" max="17" width="9.5703125" style="148" customWidth="1"/>
    <col min="18" max="18" width="8.5703125" style="148" customWidth="1"/>
    <col min="19" max="19" width="9.85546875" style="148" customWidth="1"/>
    <col min="20" max="20" width="11" style="148" customWidth="1"/>
    <col min="21" max="22" width="9.85546875" style="148" customWidth="1"/>
    <col min="23" max="24" width="9.28515625" style="148" bestFit="1" customWidth="1"/>
    <col min="25" max="25" width="10.28515625" style="148" bestFit="1" customWidth="1"/>
    <col min="26" max="16384" width="9.140625" style="148"/>
  </cols>
  <sheetData>
    <row r="1" spans="1:31" s="147" customFormat="1" ht="90.75" thickBot="1" x14ac:dyDescent="0.3">
      <c r="A1" s="211" t="s">
        <v>453</v>
      </c>
      <c r="B1" s="211" t="s">
        <v>454</v>
      </c>
      <c r="C1" s="211" t="s">
        <v>455</v>
      </c>
      <c r="D1" s="211" t="s">
        <v>432</v>
      </c>
      <c r="E1" s="211" t="s">
        <v>457</v>
      </c>
      <c r="F1" s="211" t="s">
        <v>456</v>
      </c>
      <c r="G1" s="211" t="s">
        <v>458</v>
      </c>
      <c r="H1" s="211" t="s">
        <v>459</v>
      </c>
      <c r="I1" s="211" t="s">
        <v>465</v>
      </c>
      <c r="J1" s="211" t="s">
        <v>707</v>
      </c>
      <c r="K1" s="211" t="s">
        <v>460</v>
      </c>
      <c r="L1" s="211" t="s">
        <v>708</v>
      </c>
      <c r="M1" s="211" t="s">
        <v>709</v>
      </c>
      <c r="N1" s="211" t="s">
        <v>710</v>
      </c>
      <c r="O1" s="211" t="s">
        <v>711</v>
      </c>
      <c r="P1" s="332" t="s">
        <v>1005</v>
      </c>
      <c r="Q1" s="332" t="s">
        <v>1004</v>
      </c>
      <c r="R1" s="211" t="s">
        <v>461</v>
      </c>
      <c r="S1" s="211" t="s">
        <v>462</v>
      </c>
      <c r="T1" s="211" t="s">
        <v>463</v>
      </c>
      <c r="U1" s="211" t="s">
        <v>464</v>
      </c>
      <c r="V1" s="211" t="s">
        <v>706</v>
      </c>
      <c r="W1" s="139" t="s">
        <v>644</v>
      </c>
      <c r="X1" s="141" t="s">
        <v>645</v>
      </c>
      <c r="Y1" s="141" t="s">
        <v>646</v>
      </c>
      <c r="Z1" s="141" t="s">
        <v>647</v>
      </c>
      <c r="AA1" s="141" t="s">
        <v>648</v>
      </c>
      <c r="AB1" s="141" t="s">
        <v>649</v>
      </c>
      <c r="AC1" s="141" t="s">
        <v>650</v>
      </c>
      <c r="AD1" s="141" t="s">
        <v>651</v>
      </c>
      <c r="AE1" s="142" t="s">
        <v>1002</v>
      </c>
    </row>
    <row r="2" spans="1:31" ht="15" x14ac:dyDescent="0.25">
      <c r="A2" s="208" t="s">
        <v>466</v>
      </c>
      <c r="B2" s="209">
        <v>13</v>
      </c>
      <c r="C2" s="209">
        <v>127</v>
      </c>
      <c r="D2" s="209">
        <v>76</v>
      </c>
      <c r="E2" s="209">
        <v>7.6</v>
      </c>
      <c r="F2" s="209">
        <v>4</v>
      </c>
      <c r="G2" s="209">
        <v>7.6</v>
      </c>
      <c r="H2" s="209">
        <v>96.6</v>
      </c>
      <c r="I2" s="209">
        <v>16.5</v>
      </c>
      <c r="J2" s="210">
        <v>473</v>
      </c>
      <c r="K2" s="210">
        <v>56</v>
      </c>
      <c r="L2" s="209">
        <v>5.35</v>
      </c>
      <c r="M2" s="209">
        <v>1.84</v>
      </c>
      <c r="N2" s="210">
        <v>75</v>
      </c>
      <c r="O2" s="210">
        <v>15</v>
      </c>
      <c r="P2" s="210">
        <v>84</v>
      </c>
      <c r="Q2" s="210">
        <v>23</v>
      </c>
      <c r="R2" s="209">
        <v>0.89500000000000002</v>
      </c>
      <c r="S2" s="209">
        <v>16.3</v>
      </c>
      <c r="T2" s="209">
        <v>2E-3</v>
      </c>
      <c r="U2" s="209">
        <v>2.85</v>
      </c>
      <c r="V2" s="209">
        <f>(H2*F2)/(I2*10^2)</f>
        <v>0.23418181818181816</v>
      </c>
      <c r="W2" s="206" t="s">
        <v>652</v>
      </c>
      <c r="X2" s="146">
        <f>VLOOKUP($W2,GRADE!$B$5:$E$36,IF($E2&lt;=20,2,IF($E2&lt;=40,3,4)),FALSE)</f>
        <v>350</v>
      </c>
      <c r="Y2" s="146">
        <f>VLOOKUP($W2,GRADE!$B$5:$F$36,5,FALSE)</f>
        <v>490</v>
      </c>
      <c r="Z2" s="219">
        <f>MAX(IF((D2/2/E2)&lt;=(9.4*SQRT(250/X2)),1,IF((D2/2/E2)&lt;=(10.5*SQRT(250/X2)),2,IF((D2/2/E2)&lt;=(15.7*SQRT(250/X2)),3,4))),IF((H2/F2)&lt;=(84*SQRT(250/X2)),1,IF((H2/F2)&lt;=(105*SQRT(250/X2)),2,IF((H2/F2)&lt;=(126*SQRT(250/X2)),3,4))))</f>
        <v>1</v>
      </c>
      <c r="AA2" s="144">
        <f>MIN((I2*10^2*X2/1.1),(0.9*I2*10^2*1*Y2/1.25))/10^3</f>
        <v>525</v>
      </c>
      <c r="AB2" s="144">
        <f>MIN(IF(Z2&lt;=2,1,IF(Z2=3,N2/P2,0))*P2*10^3,1.2*N2*10^3)*X2/1.1/10^6</f>
        <v>26.727272727272727</v>
      </c>
      <c r="AC2" s="144">
        <f>MIN(IF(Z2&lt;=2,1,IF(Z2=3,O2/Q2,0))*Q2*10^3,1.2*O2*10^3)*X2/1.1/10^6</f>
        <v>5.7272727272727266</v>
      </c>
      <c r="AD2" s="144">
        <f>IF((H2/F2)&gt;(67*SQRT(250/X2)),0,(C2*F2)*X2/(SQRT(3)*1.1)/10^3)</f>
        <v>93.320798056286776</v>
      </c>
      <c r="AE2" s="207">
        <f>IF((D2/2/E2)&gt;(67*SQRT(250/X2)),0,(2*D2*E2)*X2/(SQRT(3)*1.1)/10^3)</f>
        <v>212.21296439886316</v>
      </c>
    </row>
    <row r="3" spans="1:31" ht="15" x14ac:dyDescent="0.25">
      <c r="A3" s="149" t="s">
        <v>467</v>
      </c>
      <c r="B3" s="150">
        <v>16</v>
      </c>
      <c r="C3" s="150">
        <v>152.4</v>
      </c>
      <c r="D3" s="150">
        <v>88.7</v>
      </c>
      <c r="E3" s="150">
        <v>7.7</v>
      </c>
      <c r="F3" s="150">
        <v>4.5</v>
      </c>
      <c r="G3" s="150">
        <v>7.6</v>
      </c>
      <c r="H3" s="150">
        <v>121.8</v>
      </c>
      <c r="I3" s="150">
        <v>20.3</v>
      </c>
      <c r="J3" s="151">
        <v>834</v>
      </c>
      <c r="K3" s="151">
        <v>90</v>
      </c>
      <c r="L3" s="150">
        <v>6.41</v>
      </c>
      <c r="M3" s="150">
        <v>2.1</v>
      </c>
      <c r="N3" s="151">
        <v>109</v>
      </c>
      <c r="O3" s="151">
        <v>20</v>
      </c>
      <c r="P3" s="151">
        <v>123</v>
      </c>
      <c r="Q3" s="151">
        <v>31</v>
      </c>
      <c r="R3" s="150">
        <v>0.89</v>
      </c>
      <c r="S3" s="150">
        <v>19.600000000000001</v>
      </c>
      <c r="T3" s="150">
        <v>4.7000000000000002E-3</v>
      </c>
      <c r="U3" s="150">
        <v>3.56</v>
      </c>
      <c r="V3" s="150">
        <f t="shared" ref="V3:V66" si="0">(H3*F3)/(I3*10^2)</f>
        <v>0.27</v>
      </c>
      <c r="W3" s="206" t="s">
        <v>652</v>
      </c>
      <c r="X3" s="146">
        <f>VLOOKUP($W3,GRADE!$B$5:$E$36,IF($E3&lt;=20,2,IF($E3&lt;=40,3,4)),FALSE)</f>
        <v>350</v>
      </c>
      <c r="Y3" s="146">
        <f>VLOOKUP($W3,GRADE!$B$5:$F$36,5,FALSE)</f>
        <v>490</v>
      </c>
      <c r="Z3" s="219">
        <f t="shared" ref="Z3:Z66" si="1">MAX(IF((D3/2/E3)&lt;=(9.4*SQRT(250/X3)),1,IF((D3/2/E3)&lt;=(10.5*SQRT(250/X3)),2,IF((D3/2/E3)&lt;=(15.7*SQRT(250/X3)),3,4))),IF((H3/F3)&lt;=(84*SQRT(250/X3)),1,IF((H3/F3)&lt;=(105*SQRT(250/X3)),2,IF((H3/F3)&lt;=(126*SQRT(250/X3)),3,4))))</f>
        <v>1</v>
      </c>
      <c r="AA3" s="144">
        <f t="shared" ref="AA3:AA66" si="2">MIN((I3*10^2*X3/1.1),(0.9*I3*10^2*1*Y3/1.25))/10^3</f>
        <v>645.90909090909088</v>
      </c>
      <c r="AB3" s="144">
        <f t="shared" ref="AB3:AB66" si="3">MIN(IF(Z3&lt;=2,1,IF(Z3=3,N3/P3,0))*P3*10^3,1.2*N3*10^3)*X3/1.1/10^6</f>
        <v>39.136363636363633</v>
      </c>
      <c r="AC3" s="144">
        <f t="shared" ref="AC3:AC66" si="4">MIN(IF(Z3&lt;=2,1,IF(Z3=3,O3/Q3,0))*Q3*10^3,1.2*O3*10^3)*X3/1.1/10^6</f>
        <v>7.6363636363636358</v>
      </c>
      <c r="AD3" s="144">
        <f t="shared" ref="AD3:AD66" si="5">IF((H3/F3)&gt;(67*SQRT(250/X3)),0,(C3*F3)*X3/(SQRT(3)*1.1)/10^3)</f>
        <v>125.98307737598716</v>
      </c>
      <c r="AE3" s="207">
        <f t="shared" ref="AE3:AE66" si="6">IF((D3/2/E3)&gt;(67*SQRT(250/X3)),0,(2*D3*E3)*X3/(SQRT(3)*1.1)/10^3)</f>
        <v>250.93374749788703</v>
      </c>
    </row>
    <row r="4" spans="1:31" ht="15" x14ac:dyDescent="0.25">
      <c r="A4" s="149" t="s">
        <v>468</v>
      </c>
      <c r="B4" s="150">
        <v>19</v>
      </c>
      <c r="C4" s="150">
        <v>177.8</v>
      </c>
      <c r="D4" s="150">
        <v>101.2</v>
      </c>
      <c r="E4" s="150">
        <v>7.9</v>
      </c>
      <c r="F4" s="150">
        <v>4.8</v>
      </c>
      <c r="G4" s="150">
        <v>7.6</v>
      </c>
      <c r="H4" s="150">
        <v>146.80000000000001</v>
      </c>
      <c r="I4" s="150">
        <v>24.3</v>
      </c>
      <c r="J4" s="151">
        <v>1356</v>
      </c>
      <c r="K4" s="151">
        <v>137</v>
      </c>
      <c r="L4" s="150">
        <v>7.48</v>
      </c>
      <c r="M4" s="150">
        <v>2.37</v>
      </c>
      <c r="N4" s="151">
        <v>153</v>
      </c>
      <c r="O4" s="151">
        <v>27</v>
      </c>
      <c r="P4" s="151">
        <v>171</v>
      </c>
      <c r="Q4" s="151">
        <v>42</v>
      </c>
      <c r="R4" s="150">
        <v>0.88800000000000001</v>
      </c>
      <c r="S4" s="150">
        <v>22.6</v>
      </c>
      <c r="T4" s="150">
        <v>9.9000000000000008E-3</v>
      </c>
      <c r="U4" s="150">
        <v>4.41</v>
      </c>
      <c r="V4" s="150">
        <f t="shared" si="0"/>
        <v>0.28997530864197529</v>
      </c>
      <c r="W4" s="206" t="s">
        <v>652</v>
      </c>
      <c r="X4" s="146">
        <f>VLOOKUP($W4,GRADE!$B$5:$E$36,IF($E4&lt;=20,2,IF($E4&lt;=40,3,4)),FALSE)</f>
        <v>350</v>
      </c>
      <c r="Y4" s="146">
        <f>VLOOKUP($W4,GRADE!$B$5:$F$36,5,FALSE)</f>
        <v>490</v>
      </c>
      <c r="Z4" s="219">
        <f t="shared" si="1"/>
        <v>1</v>
      </c>
      <c r="AA4" s="144">
        <f t="shared" si="2"/>
        <v>773.18181818181813</v>
      </c>
      <c r="AB4" s="144">
        <f t="shared" si="3"/>
        <v>54.409090909090907</v>
      </c>
      <c r="AC4" s="144">
        <f t="shared" si="4"/>
        <v>10.309090909090909</v>
      </c>
      <c r="AD4" s="144">
        <f t="shared" si="5"/>
        <v>156.77894073456179</v>
      </c>
      <c r="AE4" s="207">
        <f t="shared" si="6"/>
        <v>293.732722952914</v>
      </c>
    </row>
    <row r="5" spans="1:31" ht="15" x14ac:dyDescent="0.25">
      <c r="A5" s="149" t="s">
        <v>469</v>
      </c>
      <c r="B5" s="150">
        <v>22</v>
      </c>
      <c r="C5" s="150">
        <v>254</v>
      </c>
      <c r="D5" s="150">
        <v>101.6</v>
      </c>
      <c r="E5" s="150">
        <v>6.8</v>
      </c>
      <c r="F5" s="150">
        <v>5.7</v>
      </c>
      <c r="G5" s="150">
        <v>7.6</v>
      </c>
      <c r="H5" s="150">
        <v>225.2</v>
      </c>
      <c r="I5" s="150">
        <v>28</v>
      </c>
      <c r="J5" s="151">
        <v>2841</v>
      </c>
      <c r="K5" s="151">
        <v>119</v>
      </c>
      <c r="L5" s="150">
        <v>10.1</v>
      </c>
      <c r="M5" s="150">
        <v>2.06</v>
      </c>
      <c r="N5" s="151">
        <v>224</v>
      </c>
      <c r="O5" s="151">
        <v>23</v>
      </c>
      <c r="P5" s="151">
        <v>259</v>
      </c>
      <c r="Q5" s="151">
        <v>37</v>
      </c>
      <c r="R5" s="150">
        <v>0.85599999999999998</v>
      </c>
      <c r="S5" s="150">
        <v>36.4</v>
      </c>
      <c r="T5" s="150">
        <v>1.8200000000000001E-2</v>
      </c>
      <c r="U5" s="150">
        <v>4.1500000000000004</v>
      </c>
      <c r="V5" s="150">
        <f t="shared" si="0"/>
        <v>0.4584428571428571</v>
      </c>
      <c r="W5" s="206" t="s">
        <v>652</v>
      </c>
      <c r="X5" s="146">
        <f>VLOOKUP($W5,GRADE!$B$5:$E$36,IF($E5&lt;=20,2,IF($E5&lt;=40,3,4)),FALSE)</f>
        <v>350</v>
      </c>
      <c r="Y5" s="146">
        <f>VLOOKUP($W5,GRADE!$B$5:$F$36,5,FALSE)</f>
        <v>490</v>
      </c>
      <c r="Z5" s="219">
        <f t="shared" si="1"/>
        <v>1</v>
      </c>
      <c r="AA5" s="144">
        <f t="shared" si="2"/>
        <v>890.90909090909088</v>
      </c>
      <c r="AB5" s="144">
        <f t="shared" si="3"/>
        <v>82.409090909090907</v>
      </c>
      <c r="AC5" s="144">
        <f t="shared" si="4"/>
        <v>8.7818181818181795</v>
      </c>
      <c r="AD5" s="144">
        <f t="shared" si="5"/>
        <v>265.96427446041736</v>
      </c>
      <c r="AE5" s="207">
        <f t="shared" si="6"/>
        <v>253.83257071310004</v>
      </c>
    </row>
    <row r="6" spans="1:31" ht="15" x14ac:dyDescent="0.25">
      <c r="A6" s="149" t="s">
        <v>470</v>
      </c>
      <c r="B6" s="150">
        <v>23.1</v>
      </c>
      <c r="C6" s="150">
        <v>203.2</v>
      </c>
      <c r="D6" s="150">
        <v>101.8</v>
      </c>
      <c r="E6" s="150">
        <v>9.3000000000000007</v>
      </c>
      <c r="F6" s="150">
        <v>5.4</v>
      </c>
      <c r="G6" s="150">
        <v>7.6</v>
      </c>
      <c r="H6" s="150">
        <v>169.4</v>
      </c>
      <c r="I6" s="150">
        <v>29.4</v>
      </c>
      <c r="J6" s="151">
        <v>2105</v>
      </c>
      <c r="K6" s="151">
        <v>164</v>
      </c>
      <c r="L6" s="150">
        <v>8.4600000000000009</v>
      </c>
      <c r="M6" s="150">
        <v>2.36</v>
      </c>
      <c r="N6" s="151">
        <v>207</v>
      </c>
      <c r="O6" s="151">
        <v>32</v>
      </c>
      <c r="P6" s="151">
        <v>234</v>
      </c>
      <c r="Q6" s="151">
        <v>50</v>
      </c>
      <c r="R6" s="150">
        <v>0.88800000000000001</v>
      </c>
      <c r="S6" s="150">
        <v>22.5</v>
      </c>
      <c r="T6" s="150">
        <v>1.54E-2</v>
      </c>
      <c r="U6" s="150">
        <v>7.02</v>
      </c>
      <c r="V6" s="150">
        <f t="shared" si="0"/>
        <v>0.31114285714285717</v>
      </c>
      <c r="W6" s="206" t="s">
        <v>652</v>
      </c>
      <c r="X6" s="146">
        <f>VLOOKUP($W6,GRADE!$B$5:$E$36,IF($E6&lt;=20,2,IF($E6&lt;=40,3,4)),FALSE)</f>
        <v>350</v>
      </c>
      <c r="Y6" s="146">
        <f>VLOOKUP($W6,GRADE!$B$5:$F$36,5,FALSE)</f>
        <v>490</v>
      </c>
      <c r="Z6" s="219">
        <f t="shared" si="1"/>
        <v>1</v>
      </c>
      <c r="AA6" s="144">
        <f t="shared" si="2"/>
        <v>935.45454545454538</v>
      </c>
      <c r="AB6" s="144">
        <f t="shared" si="3"/>
        <v>74.454545454545453</v>
      </c>
      <c r="AC6" s="144">
        <f t="shared" si="4"/>
        <v>12.218181818181817</v>
      </c>
      <c r="AD6" s="144">
        <f t="shared" si="5"/>
        <v>201.57292380157946</v>
      </c>
      <c r="AE6" s="207">
        <f t="shared" si="6"/>
        <v>347.83674154255493</v>
      </c>
    </row>
    <row r="7" spans="1:31" ht="15" x14ac:dyDescent="0.25">
      <c r="A7" s="149" t="s">
        <v>471</v>
      </c>
      <c r="B7" s="150">
        <v>24.8</v>
      </c>
      <c r="C7" s="150">
        <v>305.10000000000002</v>
      </c>
      <c r="D7" s="150">
        <v>101.6</v>
      </c>
      <c r="E7" s="150">
        <v>7</v>
      </c>
      <c r="F7" s="150">
        <v>5.8</v>
      </c>
      <c r="G7" s="150">
        <v>7.6</v>
      </c>
      <c r="H7" s="150">
        <v>275.89999999999998</v>
      </c>
      <c r="I7" s="150">
        <v>31.6</v>
      </c>
      <c r="J7" s="151">
        <v>4455</v>
      </c>
      <c r="K7" s="151">
        <v>123</v>
      </c>
      <c r="L7" s="150">
        <v>11.9</v>
      </c>
      <c r="M7" s="150">
        <v>1.97</v>
      </c>
      <c r="N7" s="151">
        <v>292</v>
      </c>
      <c r="O7" s="151">
        <v>24</v>
      </c>
      <c r="P7" s="151">
        <v>342</v>
      </c>
      <c r="Q7" s="151">
        <v>39</v>
      </c>
      <c r="R7" s="150">
        <v>0.84599999999999997</v>
      </c>
      <c r="S7" s="150">
        <v>43.4</v>
      </c>
      <c r="T7" s="150">
        <v>2.7300000000000001E-2</v>
      </c>
      <c r="U7" s="150">
        <v>4.7699999999999996</v>
      </c>
      <c r="V7" s="150">
        <f t="shared" si="0"/>
        <v>0.50639873417721515</v>
      </c>
      <c r="W7" s="206" t="s">
        <v>652</v>
      </c>
      <c r="X7" s="146">
        <f>VLOOKUP($W7,GRADE!$B$5:$E$36,IF($E7&lt;=20,2,IF($E7&lt;=40,3,4)),FALSE)</f>
        <v>350</v>
      </c>
      <c r="Y7" s="146">
        <f>VLOOKUP($W7,GRADE!$B$5:$F$36,5,FALSE)</f>
        <v>490</v>
      </c>
      <c r="Z7" s="219">
        <f t="shared" si="1"/>
        <v>1</v>
      </c>
      <c r="AA7" s="144">
        <f t="shared" si="2"/>
        <v>1005.4545454545454</v>
      </c>
      <c r="AB7" s="144">
        <f t="shared" si="3"/>
        <v>108.81818181818181</v>
      </c>
      <c r="AC7" s="144">
        <f t="shared" si="4"/>
        <v>9.1636363636363622</v>
      </c>
      <c r="AD7" s="144">
        <f t="shared" si="5"/>
        <v>325.07601933945665</v>
      </c>
      <c r="AE7" s="207">
        <f t="shared" si="6"/>
        <v>261.29823455760294</v>
      </c>
    </row>
    <row r="8" spans="1:31" ht="15" x14ac:dyDescent="0.25">
      <c r="A8" s="149" t="s">
        <v>472</v>
      </c>
      <c r="B8" s="150">
        <v>25.1</v>
      </c>
      <c r="C8" s="150">
        <v>203.2</v>
      </c>
      <c r="D8" s="150">
        <v>133.19999999999999</v>
      </c>
      <c r="E8" s="150">
        <v>7.8</v>
      </c>
      <c r="F8" s="150">
        <v>5.7</v>
      </c>
      <c r="G8" s="150">
        <v>7.6</v>
      </c>
      <c r="H8" s="150">
        <v>172.4</v>
      </c>
      <c r="I8" s="150">
        <v>32</v>
      </c>
      <c r="J8" s="151">
        <v>2340</v>
      </c>
      <c r="K8" s="151">
        <v>308</v>
      </c>
      <c r="L8" s="150">
        <v>8.56</v>
      </c>
      <c r="M8" s="150">
        <v>3.1</v>
      </c>
      <c r="N8" s="151">
        <v>230</v>
      </c>
      <c r="O8" s="151">
        <v>46</v>
      </c>
      <c r="P8" s="151">
        <v>258</v>
      </c>
      <c r="Q8" s="151">
        <v>71</v>
      </c>
      <c r="R8" s="150">
        <v>0.877</v>
      </c>
      <c r="S8" s="150">
        <v>25.6</v>
      </c>
      <c r="T8" s="150">
        <v>2.9399999999999999E-2</v>
      </c>
      <c r="U8" s="150">
        <v>5.96</v>
      </c>
      <c r="V8" s="150">
        <f t="shared" si="0"/>
        <v>0.30708750000000001</v>
      </c>
      <c r="W8" s="206" t="s">
        <v>652</v>
      </c>
      <c r="X8" s="146">
        <f>VLOOKUP($W8,GRADE!$B$5:$E$36,IF($E8&lt;=20,2,IF($E8&lt;=40,3,4)),FALSE)</f>
        <v>350</v>
      </c>
      <c r="Y8" s="146">
        <f>VLOOKUP($W8,GRADE!$B$5:$F$36,5,FALSE)</f>
        <v>490</v>
      </c>
      <c r="Z8" s="219">
        <f t="shared" si="1"/>
        <v>2</v>
      </c>
      <c r="AA8" s="144">
        <f t="shared" si="2"/>
        <v>1018.1818181818181</v>
      </c>
      <c r="AB8" s="144">
        <f t="shared" si="3"/>
        <v>82.090909090909079</v>
      </c>
      <c r="AC8" s="144">
        <f t="shared" si="4"/>
        <v>17.563636363636359</v>
      </c>
      <c r="AD8" s="144">
        <f t="shared" si="5"/>
        <v>212.77141956833387</v>
      </c>
      <c r="AE8" s="207">
        <f t="shared" si="6"/>
        <v>381.71880452188856</v>
      </c>
    </row>
    <row r="9" spans="1:31" ht="15" x14ac:dyDescent="0.25">
      <c r="A9" s="149" t="s">
        <v>473</v>
      </c>
      <c r="B9" s="150">
        <v>25.2</v>
      </c>
      <c r="C9" s="150">
        <v>257.2</v>
      </c>
      <c r="D9" s="150">
        <v>101.9</v>
      </c>
      <c r="E9" s="150">
        <v>8.4</v>
      </c>
      <c r="F9" s="150">
        <v>6</v>
      </c>
      <c r="G9" s="150">
        <v>7.6</v>
      </c>
      <c r="H9" s="150">
        <v>225.2</v>
      </c>
      <c r="I9" s="150">
        <v>32</v>
      </c>
      <c r="J9" s="151">
        <v>3415</v>
      </c>
      <c r="K9" s="151">
        <v>149</v>
      </c>
      <c r="L9" s="150">
        <v>10.3</v>
      </c>
      <c r="M9" s="150">
        <v>2.15</v>
      </c>
      <c r="N9" s="151">
        <v>266</v>
      </c>
      <c r="O9" s="151">
        <v>29</v>
      </c>
      <c r="P9" s="151">
        <v>306</v>
      </c>
      <c r="Q9" s="151">
        <v>46</v>
      </c>
      <c r="R9" s="150">
        <v>0.86599999999999999</v>
      </c>
      <c r="S9" s="150">
        <v>31.5</v>
      </c>
      <c r="T9" s="150">
        <v>2.3E-2</v>
      </c>
      <c r="U9" s="150">
        <v>6.42</v>
      </c>
      <c r="V9" s="150">
        <f t="shared" si="0"/>
        <v>0.42224999999999996</v>
      </c>
      <c r="W9" s="206" t="s">
        <v>652</v>
      </c>
      <c r="X9" s="146">
        <f>VLOOKUP($W9,GRADE!$B$5:$E$36,IF($E9&lt;=20,2,IF($E9&lt;=40,3,4)),FALSE)</f>
        <v>350</v>
      </c>
      <c r="Y9" s="146">
        <f>VLOOKUP($W9,GRADE!$B$5:$F$36,5,FALSE)</f>
        <v>490</v>
      </c>
      <c r="Z9" s="219">
        <f t="shared" si="1"/>
        <v>1</v>
      </c>
      <c r="AA9" s="144">
        <f t="shared" si="2"/>
        <v>1018.1818181818181</v>
      </c>
      <c r="AB9" s="144">
        <f t="shared" si="3"/>
        <v>97.36363636363636</v>
      </c>
      <c r="AC9" s="144">
        <f t="shared" si="4"/>
        <v>11.072727272727272</v>
      </c>
      <c r="AD9" s="144">
        <f t="shared" si="5"/>
        <v>283.48947944972781</v>
      </c>
      <c r="AE9" s="207">
        <f t="shared" si="6"/>
        <v>314.4837413553513</v>
      </c>
    </row>
    <row r="10" spans="1:31" ht="15" x14ac:dyDescent="0.25">
      <c r="A10" s="149" t="s">
        <v>474</v>
      </c>
      <c r="B10" s="150">
        <v>28.2</v>
      </c>
      <c r="C10" s="150">
        <v>308.7</v>
      </c>
      <c r="D10" s="150">
        <v>101.8</v>
      </c>
      <c r="E10" s="150">
        <v>8.8000000000000007</v>
      </c>
      <c r="F10" s="150">
        <v>6</v>
      </c>
      <c r="G10" s="150">
        <v>7.6</v>
      </c>
      <c r="H10" s="150">
        <v>275.89999999999998</v>
      </c>
      <c r="I10" s="150">
        <v>35.9</v>
      </c>
      <c r="J10" s="151">
        <v>5366</v>
      </c>
      <c r="K10" s="151">
        <v>155</v>
      </c>
      <c r="L10" s="150">
        <v>12.2</v>
      </c>
      <c r="M10" s="150">
        <v>2.08</v>
      </c>
      <c r="N10" s="151">
        <v>348</v>
      </c>
      <c r="O10" s="151">
        <v>31</v>
      </c>
      <c r="P10" s="151">
        <v>403</v>
      </c>
      <c r="Q10" s="151">
        <v>48</v>
      </c>
      <c r="R10" s="150">
        <v>0.85899999999999999</v>
      </c>
      <c r="S10" s="150">
        <v>37.4</v>
      </c>
      <c r="T10" s="150">
        <v>3.49E-2</v>
      </c>
      <c r="U10" s="150">
        <v>7.4</v>
      </c>
      <c r="V10" s="150">
        <f t="shared" si="0"/>
        <v>0.46111420612813364</v>
      </c>
      <c r="W10" s="206" t="s">
        <v>652</v>
      </c>
      <c r="X10" s="146">
        <f>VLOOKUP($W10,GRADE!$B$5:$E$36,IF($E10&lt;=20,2,IF($E10&lt;=40,3,4)),FALSE)</f>
        <v>350</v>
      </c>
      <c r="Y10" s="146">
        <f>VLOOKUP($W10,GRADE!$B$5:$F$36,5,FALSE)</f>
        <v>490</v>
      </c>
      <c r="Z10" s="219">
        <f t="shared" si="1"/>
        <v>1</v>
      </c>
      <c r="AA10" s="144">
        <f t="shared" si="2"/>
        <v>1142.2727272727273</v>
      </c>
      <c r="AB10" s="144">
        <f t="shared" si="3"/>
        <v>128.22727272727272</v>
      </c>
      <c r="AC10" s="144">
        <f t="shared" si="4"/>
        <v>11.836363636363632</v>
      </c>
      <c r="AD10" s="144">
        <f t="shared" si="5"/>
        <v>340.25350818868964</v>
      </c>
      <c r="AE10" s="207">
        <f t="shared" si="6"/>
        <v>329.13584145962187</v>
      </c>
    </row>
    <row r="11" spans="1:31" ht="15" x14ac:dyDescent="0.25">
      <c r="A11" s="149" t="s">
        <v>475</v>
      </c>
      <c r="B11" s="150">
        <v>28.3</v>
      </c>
      <c r="C11" s="150">
        <v>260.39999999999998</v>
      </c>
      <c r="D11" s="150">
        <v>102.2</v>
      </c>
      <c r="E11" s="150">
        <v>10</v>
      </c>
      <c r="F11" s="150">
        <v>6.3</v>
      </c>
      <c r="G11" s="150">
        <v>7.6</v>
      </c>
      <c r="H11" s="150">
        <v>225.2</v>
      </c>
      <c r="I11" s="150">
        <v>36.1</v>
      </c>
      <c r="J11" s="151">
        <v>4005</v>
      </c>
      <c r="K11" s="151">
        <v>179</v>
      </c>
      <c r="L11" s="150">
        <v>10.5</v>
      </c>
      <c r="M11" s="150">
        <v>2.2200000000000002</v>
      </c>
      <c r="N11" s="151">
        <v>308</v>
      </c>
      <c r="O11" s="151">
        <v>35</v>
      </c>
      <c r="P11" s="151">
        <v>353</v>
      </c>
      <c r="Q11" s="151">
        <v>55</v>
      </c>
      <c r="R11" s="150">
        <v>0.874</v>
      </c>
      <c r="S11" s="150">
        <v>27.5</v>
      </c>
      <c r="T11" s="150">
        <v>2.8000000000000001E-2</v>
      </c>
      <c r="U11" s="150">
        <v>9.57</v>
      </c>
      <c r="V11" s="150">
        <f t="shared" si="0"/>
        <v>0.39300831024930749</v>
      </c>
      <c r="W11" s="206" t="s">
        <v>652</v>
      </c>
      <c r="X11" s="146">
        <f>VLOOKUP($W11,GRADE!$B$5:$E$36,IF($E11&lt;=20,2,IF($E11&lt;=40,3,4)),FALSE)</f>
        <v>350</v>
      </c>
      <c r="Y11" s="146">
        <f>VLOOKUP($W11,GRADE!$B$5:$F$36,5,FALSE)</f>
        <v>490</v>
      </c>
      <c r="Z11" s="219">
        <f t="shared" si="1"/>
        <v>1</v>
      </c>
      <c r="AA11" s="144">
        <f t="shared" si="2"/>
        <v>1148.6363636363635</v>
      </c>
      <c r="AB11" s="144">
        <f t="shared" si="3"/>
        <v>112.31818181818181</v>
      </c>
      <c r="AC11" s="144">
        <f t="shared" si="4"/>
        <v>13.363636363636363</v>
      </c>
      <c r="AD11" s="144">
        <f t="shared" si="5"/>
        <v>301.36739296712511</v>
      </c>
      <c r="AE11" s="207">
        <f t="shared" si="6"/>
        <v>375.48762052568935</v>
      </c>
    </row>
    <row r="12" spans="1:31" ht="15" x14ac:dyDescent="0.25">
      <c r="A12" s="149" t="s">
        <v>476</v>
      </c>
      <c r="B12" s="150">
        <v>30</v>
      </c>
      <c r="C12" s="150">
        <v>206.8</v>
      </c>
      <c r="D12" s="150">
        <v>133.9</v>
      </c>
      <c r="E12" s="150">
        <v>9.6</v>
      </c>
      <c r="F12" s="150">
        <v>6.4</v>
      </c>
      <c r="G12" s="150">
        <v>7.6</v>
      </c>
      <c r="H12" s="150">
        <v>172.4</v>
      </c>
      <c r="I12" s="150">
        <v>38.200000000000003</v>
      </c>
      <c r="J12" s="151">
        <v>2896</v>
      </c>
      <c r="K12" s="151">
        <v>385</v>
      </c>
      <c r="L12" s="150">
        <v>8.7100000000000009</v>
      </c>
      <c r="M12" s="150">
        <v>3.17</v>
      </c>
      <c r="N12" s="151">
        <v>280</v>
      </c>
      <c r="O12" s="151">
        <v>57</v>
      </c>
      <c r="P12" s="151">
        <v>314</v>
      </c>
      <c r="Q12" s="151">
        <v>88</v>
      </c>
      <c r="R12" s="150">
        <v>0.88100000000000001</v>
      </c>
      <c r="S12" s="150">
        <v>21.5</v>
      </c>
      <c r="T12" s="150">
        <v>3.7400000000000003E-2</v>
      </c>
      <c r="U12" s="150">
        <v>10.3</v>
      </c>
      <c r="V12" s="150">
        <f t="shared" si="0"/>
        <v>0.28883769633507855</v>
      </c>
      <c r="W12" s="206" t="s">
        <v>652</v>
      </c>
      <c r="X12" s="146">
        <f>VLOOKUP($W12,GRADE!$B$5:$E$36,IF($E12&lt;=20,2,IF($E12&lt;=40,3,4)),FALSE)</f>
        <v>350</v>
      </c>
      <c r="Y12" s="146">
        <f>VLOOKUP($W12,GRADE!$B$5:$F$36,5,FALSE)</f>
        <v>490</v>
      </c>
      <c r="Z12" s="219">
        <f t="shared" si="1"/>
        <v>1</v>
      </c>
      <c r="AA12" s="144">
        <f t="shared" si="2"/>
        <v>1215.4545454545457</v>
      </c>
      <c r="AB12" s="144">
        <f t="shared" si="3"/>
        <v>99.909090909090907</v>
      </c>
      <c r="AC12" s="144">
        <f t="shared" si="4"/>
        <v>21.763636363636358</v>
      </c>
      <c r="AD12" s="144">
        <f t="shared" si="5"/>
        <v>243.13374536113523</v>
      </c>
      <c r="AE12" s="207">
        <f t="shared" si="6"/>
        <v>472.27671910816252</v>
      </c>
    </row>
    <row r="13" spans="1:31" ht="15" x14ac:dyDescent="0.25">
      <c r="A13" s="149" t="s">
        <v>477</v>
      </c>
      <c r="B13" s="150">
        <v>31.1</v>
      </c>
      <c r="C13" s="150">
        <v>251.4</v>
      </c>
      <c r="D13" s="150">
        <v>146.1</v>
      </c>
      <c r="E13" s="150">
        <v>8.6</v>
      </c>
      <c r="F13" s="150">
        <v>6</v>
      </c>
      <c r="G13" s="150">
        <v>7.6</v>
      </c>
      <c r="H13" s="150">
        <v>219</v>
      </c>
      <c r="I13" s="150">
        <v>39.700000000000003</v>
      </c>
      <c r="J13" s="151">
        <v>4413</v>
      </c>
      <c r="K13" s="151">
        <v>448</v>
      </c>
      <c r="L13" s="150">
        <v>10.5</v>
      </c>
      <c r="M13" s="150">
        <v>3.36</v>
      </c>
      <c r="N13" s="151">
        <v>351</v>
      </c>
      <c r="O13" s="151">
        <v>61</v>
      </c>
      <c r="P13" s="151">
        <v>393</v>
      </c>
      <c r="Q13" s="151">
        <v>94</v>
      </c>
      <c r="R13" s="150">
        <v>0.88</v>
      </c>
      <c r="S13" s="150">
        <v>29.6</v>
      </c>
      <c r="T13" s="150">
        <v>6.6000000000000003E-2</v>
      </c>
      <c r="U13" s="150">
        <v>8.5500000000000007</v>
      </c>
      <c r="V13" s="150">
        <f t="shared" si="0"/>
        <v>0.33098236775818635</v>
      </c>
      <c r="W13" s="206" t="s">
        <v>652</v>
      </c>
      <c r="X13" s="146">
        <f>VLOOKUP($W13,GRADE!$B$5:$E$36,IF($E13&lt;=20,2,IF($E13&lt;=40,3,4)),FALSE)</f>
        <v>350</v>
      </c>
      <c r="Y13" s="146">
        <f>VLOOKUP($W13,GRADE!$B$5:$F$36,5,FALSE)</f>
        <v>490</v>
      </c>
      <c r="Z13" s="219">
        <f t="shared" si="1"/>
        <v>2</v>
      </c>
      <c r="AA13" s="144">
        <f t="shared" si="2"/>
        <v>1263.1818181818182</v>
      </c>
      <c r="AB13" s="144">
        <f t="shared" si="3"/>
        <v>125.04545454545453</v>
      </c>
      <c r="AC13" s="144">
        <f t="shared" si="4"/>
        <v>23.290909090909089</v>
      </c>
      <c r="AD13" s="144">
        <f t="shared" si="5"/>
        <v>277.09663737815549</v>
      </c>
      <c r="AE13" s="207">
        <f t="shared" si="6"/>
        <v>461.62933041654361</v>
      </c>
    </row>
    <row r="14" spans="1:31" ht="15" x14ac:dyDescent="0.25">
      <c r="A14" s="149" t="s">
        <v>478</v>
      </c>
      <c r="B14" s="150">
        <v>32.799999999999997</v>
      </c>
      <c r="C14" s="150">
        <v>312.7</v>
      </c>
      <c r="D14" s="150">
        <v>102.4</v>
      </c>
      <c r="E14" s="150">
        <v>10.8</v>
      </c>
      <c r="F14" s="150">
        <v>6.6</v>
      </c>
      <c r="G14" s="150">
        <v>7.6</v>
      </c>
      <c r="H14" s="150">
        <v>275.89999999999998</v>
      </c>
      <c r="I14" s="150">
        <v>41.8</v>
      </c>
      <c r="J14" s="151">
        <v>6501</v>
      </c>
      <c r="K14" s="151">
        <v>194</v>
      </c>
      <c r="L14" s="150">
        <v>12.5</v>
      </c>
      <c r="M14" s="150">
        <v>2.15</v>
      </c>
      <c r="N14" s="151">
        <v>416</v>
      </c>
      <c r="O14" s="151">
        <v>38</v>
      </c>
      <c r="P14" s="151">
        <v>481</v>
      </c>
      <c r="Q14" s="151">
        <v>60</v>
      </c>
      <c r="R14" s="150">
        <v>0.86599999999999999</v>
      </c>
      <c r="S14" s="150">
        <v>31.6</v>
      </c>
      <c r="T14" s="150">
        <v>4.4200000000000003E-2</v>
      </c>
      <c r="U14" s="150">
        <v>12.2</v>
      </c>
      <c r="V14" s="150">
        <f t="shared" si="0"/>
        <v>0.43563157894736837</v>
      </c>
      <c r="W14" s="206" t="s">
        <v>652</v>
      </c>
      <c r="X14" s="146">
        <f>VLOOKUP($W14,GRADE!$B$5:$E$36,IF($E14&lt;=20,2,IF($E14&lt;=40,3,4)),FALSE)</f>
        <v>350</v>
      </c>
      <c r="Y14" s="146">
        <f>VLOOKUP($W14,GRADE!$B$5:$F$36,5,FALSE)</f>
        <v>490</v>
      </c>
      <c r="Z14" s="219">
        <f t="shared" si="1"/>
        <v>1</v>
      </c>
      <c r="AA14" s="144">
        <f t="shared" si="2"/>
        <v>1330</v>
      </c>
      <c r="AB14" s="144">
        <f t="shared" si="3"/>
        <v>153.04545454545453</v>
      </c>
      <c r="AC14" s="144">
        <f t="shared" si="4"/>
        <v>14.509090909090908</v>
      </c>
      <c r="AD14" s="144">
        <f t="shared" si="5"/>
        <v>379.12860126875148</v>
      </c>
      <c r="AE14" s="207">
        <f t="shared" si="6"/>
        <v>406.32022435593967</v>
      </c>
    </row>
    <row r="15" spans="1:31" ht="15" x14ac:dyDescent="0.25">
      <c r="A15" s="149" t="s">
        <v>479</v>
      </c>
      <c r="B15" s="150">
        <v>33</v>
      </c>
      <c r="C15" s="150">
        <v>349</v>
      </c>
      <c r="D15" s="150">
        <v>127</v>
      </c>
      <c r="E15" s="150">
        <v>8.5</v>
      </c>
      <c r="F15" s="150">
        <v>5.8</v>
      </c>
      <c r="G15" s="150">
        <v>10.199999999999999</v>
      </c>
      <c r="H15" s="150">
        <v>312</v>
      </c>
      <c r="I15" s="150">
        <v>41.7</v>
      </c>
      <c r="J15" s="151">
        <v>8267</v>
      </c>
      <c r="K15" s="151">
        <v>291</v>
      </c>
      <c r="L15" s="150">
        <v>14.1</v>
      </c>
      <c r="M15" s="150">
        <v>2.64</v>
      </c>
      <c r="N15" s="151">
        <v>474</v>
      </c>
      <c r="O15" s="151">
        <v>45.8</v>
      </c>
      <c r="P15" s="151">
        <v>542</v>
      </c>
      <c r="Q15" s="151">
        <v>71.8</v>
      </c>
      <c r="R15" s="150">
        <v>0.86599999999999999</v>
      </c>
      <c r="S15" s="150">
        <v>42.5</v>
      </c>
      <c r="T15" s="150">
        <v>8.43E-2</v>
      </c>
      <c r="U15" s="150">
        <v>8.59</v>
      </c>
      <c r="V15" s="150">
        <f t="shared" si="0"/>
        <v>0.4339568345323741</v>
      </c>
      <c r="W15" s="206" t="s">
        <v>652</v>
      </c>
      <c r="X15" s="146">
        <f>VLOOKUP($W15,GRADE!$B$5:$E$36,IF($E15&lt;=20,2,IF($E15&lt;=40,3,4)),FALSE)</f>
        <v>350</v>
      </c>
      <c r="Y15" s="146">
        <f>VLOOKUP($W15,GRADE!$B$5:$F$36,5,FALSE)</f>
        <v>490</v>
      </c>
      <c r="Z15" s="219">
        <f t="shared" si="1"/>
        <v>1</v>
      </c>
      <c r="AA15" s="144">
        <f t="shared" si="2"/>
        <v>1326.8181818181818</v>
      </c>
      <c r="AB15" s="144">
        <f t="shared" si="3"/>
        <v>172.45454545454544</v>
      </c>
      <c r="AC15" s="144">
        <f t="shared" si="4"/>
        <v>17.487272727272725</v>
      </c>
      <c r="AD15" s="144">
        <f t="shared" si="5"/>
        <v>371.85031382979469</v>
      </c>
      <c r="AE15" s="207">
        <f t="shared" si="6"/>
        <v>396.6133917392188</v>
      </c>
    </row>
    <row r="16" spans="1:31" ht="15" x14ac:dyDescent="0.25">
      <c r="A16" s="149" t="s">
        <v>480</v>
      </c>
      <c r="B16" s="150">
        <v>37</v>
      </c>
      <c r="C16" s="150">
        <v>256</v>
      </c>
      <c r="D16" s="150">
        <v>146.4</v>
      </c>
      <c r="E16" s="150">
        <v>10.9</v>
      </c>
      <c r="F16" s="150">
        <v>6.3</v>
      </c>
      <c r="G16" s="150">
        <v>7.6</v>
      </c>
      <c r="H16" s="150">
        <v>219</v>
      </c>
      <c r="I16" s="150">
        <v>47.2</v>
      </c>
      <c r="J16" s="151">
        <v>5537</v>
      </c>
      <c r="K16" s="151">
        <v>571</v>
      </c>
      <c r="L16" s="150">
        <v>10.8</v>
      </c>
      <c r="M16" s="150">
        <v>3.48</v>
      </c>
      <c r="N16" s="151">
        <v>433</v>
      </c>
      <c r="O16" s="151">
        <v>78</v>
      </c>
      <c r="P16" s="151">
        <v>483</v>
      </c>
      <c r="Q16" s="151">
        <v>119</v>
      </c>
      <c r="R16" s="150">
        <v>0.89</v>
      </c>
      <c r="S16" s="150">
        <v>24.3</v>
      </c>
      <c r="T16" s="150">
        <v>8.5699999999999998E-2</v>
      </c>
      <c r="U16" s="150">
        <v>15.3</v>
      </c>
      <c r="V16" s="150">
        <f t="shared" si="0"/>
        <v>0.29230932203389831</v>
      </c>
      <c r="W16" s="206" t="s">
        <v>652</v>
      </c>
      <c r="X16" s="146">
        <f>VLOOKUP($W16,GRADE!$B$5:$E$36,IF($E16&lt;=20,2,IF($E16&lt;=40,3,4)),FALSE)</f>
        <v>350</v>
      </c>
      <c r="Y16" s="146">
        <f>VLOOKUP($W16,GRADE!$B$5:$F$36,5,FALSE)</f>
        <v>490</v>
      </c>
      <c r="Z16" s="219">
        <f t="shared" si="1"/>
        <v>1</v>
      </c>
      <c r="AA16" s="144">
        <f t="shared" si="2"/>
        <v>1501.8181818181818</v>
      </c>
      <c r="AB16" s="144">
        <f t="shared" si="3"/>
        <v>153.68181818181816</v>
      </c>
      <c r="AC16" s="144">
        <f t="shared" si="4"/>
        <v>29.781818181818181</v>
      </c>
      <c r="AD16" s="144">
        <f t="shared" si="5"/>
        <v>296.27516359287267</v>
      </c>
      <c r="AE16" s="207">
        <f t="shared" si="6"/>
        <v>586.28975081220563</v>
      </c>
    </row>
    <row r="17" spans="1:31" ht="15" x14ac:dyDescent="0.25">
      <c r="A17" s="149" t="s">
        <v>481</v>
      </c>
      <c r="B17" s="150">
        <v>37</v>
      </c>
      <c r="C17" s="150">
        <v>304.39999999999998</v>
      </c>
      <c r="D17" s="150">
        <v>123.4</v>
      </c>
      <c r="E17" s="150">
        <v>10.7</v>
      </c>
      <c r="F17" s="150">
        <v>7.1</v>
      </c>
      <c r="G17" s="150">
        <v>8.9</v>
      </c>
      <c r="H17" s="150">
        <v>265.2</v>
      </c>
      <c r="I17" s="150">
        <v>47.2</v>
      </c>
      <c r="J17" s="151">
        <v>7171</v>
      </c>
      <c r="K17" s="151">
        <v>336</v>
      </c>
      <c r="L17" s="150">
        <v>12.3</v>
      </c>
      <c r="M17" s="150">
        <v>2.67</v>
      </c>
      <c r="N17" s="151">
        <v>471</v>
      </c>
      <c r="O17" s="151">
        <v>54</v>
      </c>
      <c r="P17" s="151">
        <v>539</v>
      </c>
      <c r="Q17" s="151">
        <v>85</v>
      </c>
      <c r="R17" s="150">
        <v>0.872</v>
      </c>
      <c r="S17" s="150">
        <v>29.7</v>
      </c>
      <c r="T17" s="150">
        <v>7.2499999999999995E-2</v>
      </c>
      <c r="U17" s="150">
        <v>14.8</v>
      </c>
      <c r="V17" s="150">
        <f t="shared" si="0"/>
        <v>0.39892372881355931</v>
      </c>
      <c r="W17" s="206" t="s">
        <v>652</v>
      </c>
      <c r="X17" s="146">
        <f>VLOOKUP($W17,GRADE!$B$5:$E$36,IF($E17&lt;=20,2,IF($E17&lt;=40,3,4)),FALSE)</f>
        <v>350</v>
      </c>
      <c r="Y17" s="146">
        <f>VLOOKUP($W17,GRADE!$B$5:$F$36,5,FALSE)</f>
        <v>490</v>
      </c>
      <c r="Z17" s="219">
        <f t="shared" si="1"/>
        <v>1</v>
      </c>
      <c r="AA17" s="144">
        <f t="shared" si="2"/>
        <v>1501.8181818181818</v>
      </c>
      <c r="AB17" s="144">
        <f t="shared" si="3"/>
        <v>171.5</v>
      </c>
      <c r="AC17" s="144">
        <f t="shared" si="4"/>
        <v>20.618181818181817</v>
      </c>
      <c r="AD17" s="144">
        <f t="shared" si="5"/>
        <v>397.02488502198662</v>
      </c>
      <c r="AE17" s="207">
        <f t="shared" si="6"/>
        <v>485.11383991165326</v>
      </c>
    </row>
    <row r="18" spans="1:31" ht="15" x14ac:dyDescent="0.25">
      <c r="A18" s="149" t="s">
        <v>482</v>
      </c>
      <c r="B18" s="150">
        <v>39</v>
      </c>
      <c r="C18" s="150">
        <v>353</v>
      </c>
      <c r="D18" s="150">
        <v>128</v>
      </c>
      <c r="E18" s="150">
        <v>10.7</v>
      </c>
      <c r="F18" s="150">
        <v>6.5</v>
      </c>
      <c r="G18" s="150">
        <v>10.199999999999999</v>
      </c>
      <c r="H18" s="150">
        <v>312</v>
      </c>
      <c r="I18" s="150">
        <v>49.9</v>
      </c>
      <c r="J18" s="151">
        <v>10270</v>
      </c>
      <c r="K18" s="151">
        <v>375</v>
      </c>
      <c r="L18" s="150">
        <v>14.3</v>
      </c>
      <c r="M18" s="150">
        <v>2.74</v>
      </c>
      <c r="N18" s="151">
        <v>581</v>
      </c>
      <c r="O18" s="151">
        <v>58.6</v>
      </c>
      <c r="P18" s="151">
        <v>663</v>
      </c>
      <c r="Q18" s="151">
        <v>91.6</v>
      </c>
      <c r="R18" s="150">
        <v>0.873</v>
      </c>
      <c r="S18" s="150">
        <v>35.299999999999997</v>
      </c>
      <c r="T18" s="150">
        <v>0.11</v>
      </c>
      <c r="U18" s="150">
        <v>15.1</v>
      </c>
      <c r="V18" s="150">
        <f t="shared" si="0"/>
        <v>0.4064128256513026</v>
      </c>
      <c r="W18" s="206" t="s">
        <v>652</v>
      </c>
      <c r="X18" s="146">
        <f>VLOOKUP($W18,GRADE!$B$5:$E$36,IF($E18&lt;=20,2,IF($E18&lt;=40,3,4)),FALSE)</f>
        <v>350</v>
      </c>
      <c r="Y18" s="146">
        <f>VLOOKUP($W18,GRADE!$B$5:$F$36,5,FALSE)</f>
        <v>490</v>
      </c>
      <c r="Z18" s="219">
        <f t="shared" si="1"/>
        <v>1</v>
      </c>
      <c r="AA18" s="144">
        <f t="shared" si="2"/>
        <v>1587.7272727272727</v>
      </c>
      <c r="AB18" s="144">
        <f t="shared" si="3"/>
        <v>210.95454545454544</v>
      </c>
      <c r="AC18" s="144">
        <f t="shared" si="4"/>
        <v>22.374545454545455</v>
      </c>
      <c r="AD18" s="144">
        <f t="shared" si="5"/>
        <v>421.50506129950793</v>
      </c>
      <c r="AE18" s="207">
        <f t="shared" si="6"/>
        <v>503.19750007043444</v>
      </c>
    </row>
    <row r="19" spans="1:31" ht="15" x14ac:dyDescent="0.25">
      <c r="A19" s="149" t="s">
        <v>483</v>
      </c>
      <c r="B19" s="150">
        <v>39</v>
      </c>
      <c r="C19" s="150">
        <v>398</v>
      </c>
      <c r="D19" s="150">
        <v>141.80000000000001</v>
      </c>
      <c r="E19" s="150">
        <v>8.6</v>
      </c>
      <c r="F19" s="150">
        <v>6.4</v>
      </c>
      <c r="G19" s="150">
        <v>12.7</v>
      </c>
      <c r="H19" s="150">
        <v>355.4</v>
      </c>
      <c r="I19" s="150">
        <v>50.1</v>
      </c>
      <c r="J19" s="151">
        <v>12679</v>
      </c>
      <c r="K19" s="151">
        <v>410</v>
      </c>
      <c r="L19" s="150">
        <v>15.9</v>
      </c>
      <c r="M19" s="150">
        <v>2.86</v>
      </c>
      <c r="N19" s="151">
        <v>637</v>
      </c>
      <c r="O19" s="151">
        <v>58</v>
      </c>
      <c r="P19" s="151">
        <v>733</v>
      </c>
      <c r="Q19" s="151">
        <v>91</v>
      </c>
      <c r="R19" s="150">
        <v>0.85899999999999999</v>
      </c>
      <c r="S19" s="150">
        <v>45.9</v>
      </c>
      <c r="T19" s="150">
        <v>0.155</v>
      </c>
      <c r="U19" s="150">
        <v>11.6</v>
      </c>
      <c r="V19" s="150">
        <f t="shared" si="0"/>
        <v>0.45400399201596803</v>
      </c>
      <c r="W19" s="206" t="s">
        <v>652</v>
      </c>
      <c r="X19" s="146">
        <f>VLOOKUP($W19,GRADE!$B$5:$E$36,IF($E19&lt;=20,2,IF($E19&lt;=40,3,4)),FALSE)</f>
        <v>350</v>
      </c>
      <c r="Y19" s="146">
        <f>VLOOKUP($W19,GRADE!$B$5:$F$36,5,FALSE)</f>
        <v>490</v>
      </c>
      <c r="Z19" s="219">
        <f t="shared" si="1"/>
        <v>2</v>
      </c>
      <c r="AA19" s="144">
        <f t="shared" si="2"/>
        <v>1594.090909090909</v>
      </c>
      <c r="AB19" s="144">
        <f t="shared" si="3"/>
        <v>233.22727272727272</v>
      </c>
      <c r="AC19" s="144">
        <f t="shared" si="4"/>
        <v>22.145454545454545</v>
      </c>
      <c r="AD19" s="144">
        <f t="shared" si="5"/>
        <v>467.92664726175929</v>
      </c>
      <c r="AE19" s="207">
        <f t="shared" si="6"/>
        <v>448.04270399086852</v>
      </c>
    </row>
    <row r="20" spans="1:31" ht="15" x14ac:dyDescent="0.25">
      <c r="A20" s="149" t="s">
        <v>484</v>
      </c>
      <c r="B20" s="150">
        <v>40.299999999999997</v>
      </c>
      <c r="C20" s="150">
        <v>303.39999999999998</v>
      </c>
      <c r="D20" s="150">
        <v>165</v>
      </c>
      <c r="E20" s="150">
        <v>10.199999999999999</v>
      </c>
      <c r="F20" s="150">
        <v>6</v>
      </c>
      <c r="G20" s="150">
        <v>8.9</v>
      </c>
      <c r="H20" s="150">
        <v>265.2</v>
      </c>
      <c r="I20" s="150">
        <v>51.3</v>
      </c>
      <c r="J20" s="151">
        <v>8503</v>
      </c>
      <c r="K20" s="151">
        <v>764</v>
      </c>
      <c r="L20" s="150">
        <v>12.9</v>
      </c>
      <c r="M20" s="150">
        <v>3.86</v>
      </c>
      <c r="N20" s="151">
        <v>560</v>
      </c>
      <c r="O20" s="151">
        <v>93</v>
      </c>
      <c r="P20" s="151">
        <v>623</v>
      </c>
      <c r="Q20" s="151">
        <v>142</v>
      </c>
      <c r="R20" s="150">
        <v>0.88900000000000001</v>
      </c>
      <c r="S20" s="150">
        <v>31</v>
      </c>
      <c r="T20" s="150">
        <v>0.16400000000000001</v>
      </c>
      <c r="U20" s="150">
        <v>14.7</v>
      </c>
      <c r="V20" s="150">
        <f t="shared" si="0"/>
        <v>0.31017543859649122</v>
      </c>
      <c r="W20" s="206" t="s">
        <v>652</v>
      </c>
      <c r="X20" s="146">
        <f>VLOOKUP($W20,GRADE!$B$5:$E$36,IF($E20&lt;=20,2,IF($E20&lt;=40,3,4)),FALSE)</f>
        <v>350</v>
      </c>
      <c r="Y20" s="146">
        <f>VLOOKUP($W20,GRADE!$B$5:$F$36,5,FALSE)</f>
        <v>490</v>
      </c>
      <c r="Z20" s="219">
        <f t="shared" si="1"/>
        <v>2</v>
      </c>
      <c r="AA20" s="144">
        <f t="shared" si="2"/>
        <v>1632.272727272727</v>
      </c>
      <c r="AB20" s="144">
        <f t="shared" si="3"/>
        <v>198.22727272727272</v>
      </c>
      <c r="AC20" s="144">
        <f t="shared" si="4"/>
        <v>35.509090909090908</v>
      </c>
      <c r="AD20" s="144">
        <f t="shared" si="5"/>
        <v>334.41177319225284</v>
      </c>
      <c r="AE20" s="207">
        <f t="shared" si="6"/>
        <v>618.3421383020891</v>
      </c>
    </row>
    <row r="21" spans="1:31" ht="15" x14ac:dyDescent="0.25">
      <c r="A21" s="149" t="s">
        <v>485</v>
      </c>
      <c r="B21" s="150">
        <v>41.9</v>
      </c>
      <c r="C21" s="150">
        <v>307.2</v>
      </c>
      <c r="D21" s="150">
        <v>124.3</v>
      </c>
      <c r="E21" s="150">
        <v>12.1</v>
      </c>
      <c r="F21" s="150">
        <v>8</v>
      </c>
      <c r="G21" s="150">
        <v>8.9</v>
      </c>
      <c r="H21" s="150">
        <v>265.2</v>
      </c>
      <c r="I21" s="150">
        <v>53.4</v>
      </c>
      <c r="J21" s="151">
        <v>8196</v>
      </c>
      <c r="K21" s="151">
        <v>389</v>
      </c>
      <c r="L21" s="150">
        <v>12.4</v>
      </c>
      <c r="M21" s="150">
        <v>2.7</v>
      </c>
      <c r="N21" s="151">
        <v>534</v>
      </c>
      <c r="O21" s="151">
        <v>63</v>
      </c>
      <c r="P21" s="151">
        <v>614</v>
      </c>
      <c r="Q21" s="151">
        <v>98</v>
      </c>
      <c r="R21" s="150">
        <v>0.872</v>
      </c>
      <c r="S21" s="150">
        <v>26.5</v>
      </c>
      <c r="T21" s="150">
        <v>8.4599999999999995E-2</v>
      </c>
      <c r="U21" s="150">
        <v>21.1</v>
      </c>
      <c r="V21" s="150">
        <f t="shared" si="0"/>
        <v>0.39730337078651684</v>
      </c>
      <c r="W21" s="206" t="s">
        <v>652</v>
      </c>
      <c r="X21" s="146">
        <f>VLOOKUP($W21,GRADE!$B$5:$E$36,IF($E21&lt;=20,2,IF($E21&lt;=40,3,4)),FALSE)</f>
        <v>350</v>
      </c>
      <c r="Y21" s="146">
        <f>VLOOKUP($W21,GRADE!$B$5:$F$36,5,FALSE)</f>
        <v>490</v>
      </c>
      <c r="Z21" s="219">
        <f t="shared" si="1"/>
        <v>1</v>
      </c>
      <c r="AA21" s="144">
        <f t="shared" si="2"/>
        <v>1699.090909090909</v>
      </c>
      <c r="AB21" s="144">
        <f t="shared" si="3"/>
        <v>195.36363636363635</v>
      </c>
      <c r="AC21" s="144">
        <f t="shared" si="4"/>
        <v>24.054545454545455</v>
      </c>
      <c r="AD21" s="144">
        <f t="shared" si="5"/>
        <v>451.46691595104409</v>
      </c>
      <c r="AE21" s="207">
        <f t="shared" si="6"/>
        <v>552.58771614408272</v>
      </c>
    </row>
    <row r="22" spans="1:31" ht="15" x14ac:dyDescent="0.25">
      <c r="A22" s="149" t="s">
        <v>486</v>
      </c>
      <c r="B22" s="150">
        <v>43</v>
      </c>
      <c r="C22" s="150">
        <v>259.60000000000002</v>
      </c>
      <c r="D22" s="150">
        <v>147.30000000000001</v>
      </c>
      <c r="E22" s="150">
        <v>12.7</v>
      </c>
      <c r="F22" s="150">
        <v>7.2</v>
      </c>
      <c r="G22" s="150">
        <v>7.6</v>
      </c>
      <c r="H22" s="150">
        <v>219</v>
      </c>
      <c r="I22" s="150">
        <v>54.8</v>
      </c>
      <c r="J22" s="151">
        <v>6544</v>
      </c>
      <c r="K22" s="151">
        <v>677</v>
      </c>
      <c r="L22" s="150">
        <v>10.9</v>
      </c>
      <c r="M22" s="150">
        <v>3.52</v>
      </c>
      <c r="N22" s="151">
        <v>504</v>
      </c>
      <c r="O22" s="151">
        <v>92</v>
      </c>
      <c r="P22" s="151">
        <v>566</v>
      </c>
      <c r="Q22" s="151">
        <v>141</v>
      </c>
      <c r="R22" s="150">
        <v>0.89100000000000001</v>
      </c>
      <c r="S22" s="150">
        <v>21.2</v>
      </c>
      <c r="T22" s="150">
        <v>0.10299999999999999</v>
      </c>
      <c r="U22" s="150">
        <v>23.9</v>
      </c>
      <c r="V22" s="150">
        <f t="shared" si="0"/>
        <v>0.28773722627737225</v>
      </c>
      <c r="W22" s="206" t="s">
        <v>652</v>
      </c>
      <c r="X22" s="146">
        <f>VLOOKUP($W22,GRADE!$B$5:$E$36,IF($E22&lt;=20,2,IF($E22&lt;=40,3,4)),FALSE)</f>
        <v>350</v>
      </c>
      <c r="Y22" s="146">
        <f>VLOOKUP($W22,GRADE!$B$5:$F$36,5,FALSE)</f>
        <v>490</v>
      </c>
      <c r="Z22" s="219">
        <f t="shared" si="1"/>
        <v>1</v>
      </c>
      <c r="AA22" s="144">
        <f t="shared" si="2"/>
        <v>1743.6363636363635</v>
      </c>
      <c r="AB22" s="144">
        <f t="shared" si="3"/>
        <v>180.09090909090907</v>
      </c>
      <c r="AC22" s="144">
        <f t="shared" si="4"/>
        <v>35.127272727272718</v>
      </c>
      <c r="AD22" s="144">
        <f t="shared" si="5"/>
        <v>343.36175209245425</v>
      </c>
      <c r="AE22" s="207">
        <f t="shared" si="6"/>
        <v>687.30767768455212</v>
      </c>
    </row>
    <row r="23" spans="1:31" ht="15" x14ac:dyDescent="0.25">
      <c r="A23" s="149" t="s">
        <v>487</v>
      </c>
      <c r="B23" s="150">
        <v>45</v>
      </c>
      <c r="C23" s="150">
        <v>351.4</v>
      </c>
      <c r="D23" s="150">
        <v>171.1</v>
      </c>
      <c r="E23" s="150">
        <v>9.6999999999999993</v>
      </c>
      <c r="F23" s="150">
        <v>7</v>
      </c>
      <c r="G23" s="150">
        <v>12.7</v>
      </c>
      <c r="H23" s="150">
        <v>306.60000000000002</v>
      </c>
      <c r="I23" s="150">
        <v>57.8</v>
      </c>
      <c r="J23" s="151">
        <v>12195</v>
      </c>
      <c r="K23" s="151">
        <v>811</v>
      </c>
      <c r="L23" s="150">
        <v>14.5</v>
      </c>
      <c r="M23" s="150">
        <v>3.75</v>
      </c>
      <c r="N23" s="151">
        <v>694</v>
      </c>
      <c r="O23" s="151">
        <v>95</v>
      </c>
      <c r="P23" s="151">
        <v>783</v>
      </c>
      <c r="Q23" s="151">
        <v>147</v>
      </c>
      <c r="R23" s="150">
        <v>0.875</v>
      </c>
      <c r="S23" s="150">
        <v>35.799999999999997</v>
      </c>
      <c r="T23" s="150">
        <v>0.23699999999999999</v>
      </c>
      <c r="U23" s="150">
        <v>16.899999999999999</v>
      </c>
      <c r="V23" s="150">
        <f t="shared" si="0"/>
        <v>0.37131487889273362</v>
      </c>
      <c r="W23" s="206" t="s">
        <v>652</v>
      </c>
      <c r="X23" s="146">
        <f>VLOOKUP($W23,GRADE!$B$5:$E$36,IF($E23&lt;=20,2,IF($E23&lt;=40,3,4)),FALSE)</f>
        <v>350</v>
      </c>
      <c r="Y23" s="146">
        <f>VLOOKUP($W23,GRADE!$B$5:$F$36,5,FALSE)</f>
        <v>490</v>
      </c>
      <c r="Z23" s="219">
        <f t="shared" si="1"/>
        <v>2</v>
      </c>
      <c r="AA23" s="144">
        <f t="shared" si="2"/>
        <v>1839.090909090909</v>
      </c>
      <c r="AB23" s="144">
        <f t="shared" si="3"/>
        <v>249.13636363636363</v>
      </c>
      <c r="AC23" s="144">
        <f t="shared" si="4"/>
        <v>36.272727272727273</v>
      </c>
      <c r="AD23" s="144">
        <f t="shared" si="5"/>
        <v>451.87106113947675</v>
      </c>
      <c r="AE23" s="207">
        <f t="shared" si="6"/>
        <v>609.77058626014752</v>
      </c>
    </row>
    <row r="24" spans="1:31" ht="15" x14ac:dyDescent="0.25">
      <c r="A24" s="149" t="s">
        <v>488</v>
      </c>
      <c r="B24" s="150">
        <v>46</v>
      </c>
      <c r="C24" s="150">
        <v>403.2</v>
      </c>
      <c r="D24" s="150">
        <v>142.19999999999999</v>
      </c>
      <c r="E24" s="150">
        <v>11.2</v>
      </c>
      <c r="F24" s="150">
        <v>6.8</v>
      </c>
      <c r="G24" s="150">
        <v>12.7</v>
      </c>
      <c r="H24" s="150">
        <v>355.4</v>
      </c>
      <c r="I24" s="150">
        <v>59.1</v>
      </c>
      <c r="J24" s="151">
        <v>15856</v>
      </c>
      <c r="K24" s="151">
        <v>538</v>
      </c>
      <c r="L24" s="150">
        <v>16.399999999999999</v>
      </c>
      <c r="M24" s="150">
        <v>3.02</v>
      </c>
      <c r="N24" s="151">
        <v>787</v>
      </c>
      <c r="O24" s="151">
        <v>76</v>
      </c>
      <c r="P24" s="151">
        <v>897</v>
      </c>
      <c r="Q24" s="151">
        <v>118</v>
      </c>
      <c r="R24" s="150">
        <v>0.872</v>
      </c>
      <c r="S24" s="150">
        <v>38</v>
      </c>
      <c r="T24" s="150">
        <v>0.20699999999999999</v>
      </c>
      <c r="U24" s="150">
        <v>20.2</v>
      </c>
      <c r="V24" s="150">
        <f t="shared" si="0"/>
        <v>0.40892047377326562</v>
      </c>
      <c r="W24" s="206" t="s">
        <v>652</v>
      </c>
      <c r="X24" s="146">
        <f>VLOOKUP($W24,GRADE!$B$5:$E$36,IF($E24&lt;=20,2,IF($E24&lt;=40,3,4)),FALSE)</f>
        <v>350</v>
      </c>
      <c r="Y24" s="146">
        <f>VLOOKUP($W24,GRADE!$B$5:$F$36,5,FALSE)</f>
        <v>490</v>
      </c>
      <c r="Z24" s="219">
        <f t="shared" si="1"/>
        <v>1</v>
      </c>
      <c r="AA24" s="144">
        <f t="shared" si="2"/>
        <v>1880.4545454545455</v>
      </c>
      <c r="AB24" s="144">
        <f t="shared" si="3"/>
        <v>285.40909090909088</v>
      </c>
      <c r="AC24" s="144">
        <f t="shared" si="4"/>
        <v>29.018181818181816</v>
      </c>
      <c r="AD24" s="144">
        <f t="shared" si="5"/>
        <v>503.66777810788346</v>
      </c>
      <c r="AE24" s="207">
        <f t="shared" si="6"/>
        <v>585.14344809592353</v>
      </c>
    </row>
    <row r="25" spans="1:31" ht="15" x14ac:dyDescent="0.25">
      <c r="A25" s="149" t="s">
        <v>489</v>
      </c>
      <c r="B25" s="150">
        <v>46.1</v>
      </c>
      <c r="C25" s="150">
        <v>306.60000000000002</v>
      </c>
      <c r="D25" s="150">
        <v>165.7</v>
      </c>
      <c r="E25" s="150">
        <v>11.8</v>
      </c>
      <c r="F25" s="150">
        <v>6.7</v>
      </c>
      <c r="G25" s="150">
        <v>8.9</v>
      </c>
      <c r="H25" s="150">
        <v>265.2</v>
      </c>
      <c r="I25" s="150">
        <v>58.7</v>
      </c>
      <c r="J25" s="151">
        <v>9899</v>
      </c>
      <c r="K25" s="151">
        <v>896</v>
      </c>
      <c r="L25" s="150">
        <v>13</v>
      </c>
      <c r="M25" s="150">
        <v>3.9</v>
      </c>
      <c r="N25" s="151">
        <v>646</v>
      </c>
      <c r="O25" s="151">
        <v>108</v>
      </c>
      <c r="P25" s="151">
        <v>720</v>
      </c>
      <c r="Q25" s="151">
        <v>166</v>
      </c>
      <c r="R25" s="150">
        <v>0.89100000000000001</v>
      </c>
      <c r="S25" s="150">
        <v>27.1</v>
      </c>
      <c r="T25" s="150">
        <v>0.19500000000000001</v>
      </c>
      <c r="U25" s="150">
        <v>22.2</v>
      </c>
      <c r="V25" s="150">
        <f t="shared" si="0"/>
        <v>0.30269846678023848</v>
      </c>
      <c r="W25" s="206" t="s">
        <v>652</v>
      </c>
      <c r="X25" s="146">
        <f>VLOOKUP($W25,GRADE!$B$5:$E$36,IF($E25&lt;=20,2,IF($E25&lt;=40,3,4)),FALSE)</f>
        <v>350</v>
      </c>
      <c r="Y25" s="146">
        <f>VLOOKUP($W25,GRADE!$B$5:$F$36,5,FALSE)</f>
        <v>490</v>
      </c>
      <c r="Z25" s="219">
        <f t="shared" si="1"/>
        <v>1</v>
      </c>
      <c r="AA25" s="144">
        <f t="shared" si="2"/>
        <v>1867.7272727272725</v>
      </c>
      <c r="AB25" s="144">
        <f t="shared" si="3"/>
        <v>229.09090909090907</v>
      </c>
      <c r="AC25" s="144">
        <f t="shared" si="4"/>
        <v>41.236363636363635</v>
      </c>
      <c r="AD25" s="144">
        <f t="shared" si="5"/>
        <v>377.36505862831785</v>
      </c>
      <c r="AE25" s="207">
        <f t="shared" si="6"/>
        <v>718.37174648635937</v>
      </c>
    </row>
    <row r="26" spans="1:31" ht="15" x14ac:dyDescent="0.25">
      <c r="A26" s="149" t="s">
        <v>490</v>
      </c>
      <c r="B26" s="150">
        <v>48.1</v>
      </c>
      <c r="C26" s="150">
        <v>311</v>
      </c>
      <c r="D26" s="150">
        <v>125.3</v>
      </c>
      <c r="E26" s="150">
        <v>14</v>
      </c>
      <c r="F26" s="150">
        <v>9</v>
      </c>
      <c r="G26" s="150">
        <v>8.9</v>
      </c>
      <c r="H26" s="150">
        <v>265.2</v>
      </c>
      <c r="I26" s="150">
        <v>61.2</v>
      </c>
      <c r="J26" s="151">
        <v>9575</v>
      </c>
      <c r="K26" s="151">
        <v>461</v>
      </c>
      <c r="L26" s="150">
        <v>12.5</v>
      </c>
      <c r="M26" s="150">
        <v>2.74</v>
      </c>
      <c r="N26" s="151">
        <v>616</v>
      </c>
      <c r="O26" s="151">
        <v>74</v>
      </c>
      <c r="P26" s="151">
        <v>711</v>
      </c>
      <c r="Q26" s="151">
        <v>116</v>
      </c>
      <c r="R26" s="150">
        <v>0.873</v>
      </c>
      <c r="S26" s="150">
        <v>23.3</v>
      </c>
      <c r="T26" s="150">
        <v>0.10199999999999999</v>
      </c>
      <c r="U26" s="150">
        <v>31.8</v>
      </c>
      <c r="V26" s="150">
        <f t="shared" si="0"/>
        <v>0.38999999999999996</v>
      </c>
      <c r="W26" s="206" t="s">
        <v>652</v>
      </c>
      <c r="X26" s="146">
        <f>VLOOKUP($W26,GRADE!$B$5:$E$36,IF($E26&lt;=20,2,IF($E26&lt;=40,3,4)),FALSE)</f>
        <v>350</v>
      </c>
      <c r="Y26" s="146">
        <f>VLOOKUP($W26,GRADE!$B$5:$F$36,5,FALSE)</f>
        <v>490</v>
      </c>
      <c r="Z26" s="219">
        <f t="shared" si="1"/>
        <v>1</v>
      </c>
      <c r="AA26" s="144">
        <f t="shared" si="2"/>
        <v>1947.272727272727</v>
      </c>
      <c r="AB26" s="144">
        <f t="shared" si="3"/>
        <v>226.22727272727272</v>
      </c>
      <c r="AC26" s="144">
        <f t="shared" si="4"/>
        <v>28.254545454545454</v>
      </c>
      <c r="AD26" s="144">
        <f t="shared" si="5"/>
        <v>514.18290110146984</v>
      </c>
      <c r="AE26" s="207">
        <f t="shared" si="6"/>
        <v>644.50135413519001</v>
      </c>
    </row>
    <row r="27" spans="1:31" ht="15" x14ac:dyDescent="0.25">
      <c r="A27" s="149" t="s">
        <v>491</v>
      </c>
      <c r="B27" s="150">
        <v>51</v>
      </c>
      <c r="C27" s="150">
        <v>355</v>
      </c>
      <c r="D27" s="150">
        <v>171.5</v>
      </c>
      <c r="E27" s="150">
        <v>11.5</v>
      </c>
      <c r="F27" s="150">
        <v>7.4</v>
      </c>
      <c r="G27" s="150">
        <v>12.7</v>
      </c>
      <c r="H27" s="150">
        <v>306.60000000000002</v>
      </c>
      <c r="I27" s="150">
        <v>65.400000000000006</v>
      </c>
      <c r="J27" s="151">
        <v>14265</v>
      </c>
      <c r="K27" s="151">
        <v>969</v>
      </c>
      <c r="L27" s="150">
        <v>14.8</v>
      </c>
      <c r="M27" s="150">
        <v>3.85</v>
      </c>
      <c r="N27" s="151">
        <v>804</v>
      </c>
      <c r="O27" s="151">
        <v>113</v>
      </c>
      <c r="P27" s="151">
        <v>904</v>
      </c>
      <c r="Q27" s="151">
        <v>174</v>
      </c>
      <c r="R27" s="150">
        <v>0.88200000000000001</v>
      </c>
      <c r="S27" s="150">
        <v>31.4</v>
      </c>
      <c r="T27" s="150">
        <v>0.28599999999999998</v>
      </c>
      <c r="U27" s="150">
        <v>25.1</v>
      </c>
      <c r="V27" s="150">
        <f t="shared" si="0"/>
        <v>0.3469174311926605</v>
      </c>
      <c r="W27" s="206" t="s">
        <v>652</v>
      </c>
      <c r="X27" s="146">
        <f>VLOOKUP($W27,GRADE!$B$5:$E$36,IF($E27&lt;=20,2,IF($E27&lt;=40,3,4)),FALSE)</f>
        <v>350</v>
      </c>
      <c r="Y27" s="146">
        <f>VLOOKUP($W27,GRADE!$B$5:$F$36,5,FALSE)</f>
        <v>490</v>
      </c>
      <c r="Z27" s="219">
        <f t="shared" si="1"/>
        <v>1</v>
      </c>
      <c r="AA27" s="144">
        <f t="shared" si="2"/>
        <v>2080.909090909091</v>
      </c>
      <c r="AB27" s="144">
        <f t="shared" si="3"/>
        <v>287.63636363636363</v>
      </c>
      <c r="AC27" s="144">
        <f t="shared" si="4"/>
        <v>43.145454545454541</v>
      </c>
      <c r="AD27" s="144">
        <f t="shared" si="5"/>
        <v>482.5860954603649</v>
      </c>
      <c r="AE27" s="207">
        <f t="shared" si="6"/>
        <v>724.61395262406143</v>
      </c>
    </row>
    <row r="28" spans="1:31" ht="15" x14ac:dyDescent="0.25">
      <c r="A28" s="149" t="s">
        <v>492</v>
      </c>
      <c r="B28" s="150">
        <v>52.3</v>
      </c>
      <c r="C28" s="150">
        <v>449.8</v>
      </c>
      <c r="D28" s="150">
        <v>152.4</v>
      </c>
      <c r="E28" s="150">
        <v>10.9</v>
      </c>
      <c r="F28" s="150">
        <v>7.6</v>
      </c>
      <c r="G28" s="150">
        <v>12.7</v>
      </c>
      <c r="H28" s="150">
        <v>402.6</v>
      </c>
      <c r="I28" s="150">
        <v>67.099999999999994</v>
      </c>
      <c r="J28" s="151">
        <v>21586</v>
      </c>
      <c r="K28" s="151">
        <v>645</v>
      </c>
      <c r="L28" s="150">
        <v>17.899999999999999</v>
      </c>
      <c r="M28" s="150">
        <v>3.1</v>
      </c>
      <c r="N28" s="151">
        <v>960</v>
      </c>
      <c r="O28" s="151">
        <v>85</v>
      </c>
      <c r="P28" s="151">
        <v>1106</v>
      </c>
      <c r="Q28" s="151">
        <v>134</v>
      </c>
      <c r="R28" s="150">
        <v>0.86</v>
      </c>
      <c r="S28" s="150">
        <v>42.8</v>
      </c>
      <c r="T28" s="150">
        <v>0.311</v>
      </c>
      <c r="U28" s="150">
        <v>22.6</v>
      </c>
      <c r="V28" s="150">
        <f t="shared" si="0"/>
        <v>0.45600000000000007</v>
      </c>
      <c r="W28" s="206" t="s">
        <v>652</v>
      </c>
      <c r="X28" s="146">
        <f>VLOOKUP($W28,GRADE!$B$5:$E$36,IF($E28&lt;=20,2,IF($E28&lt;=40,3,4)),FALSE)</f>
        <v>350</v>
      </c>
      <c r="Y28" s="146">
        <f>VLOOKUP($W28,GRADE!$B$5:$F$36,5,FALSE)</f>
        <v>490</v>
      </c>
      <c r="Z28" s="219">
        <f t="shared" si="1"/>
        <v>1</v>
      </c>
      <c r="AA28" s="144">
        <f t="shared" si="2"/>
        <v>2134.9999999999995</v>
      </c>
      <c r="AB28" s="144">
        <f t="shared" si="3"/>
        <v>351.90909090909088</v>
      </c>
      <c r="AC28" s="144">
        <f t="shared" si="4"/>
        <v>32.454545454545453</v>
      </c>
      <c r="AD28" s="144">
        <f t="shared" si="5"/>
        <v>627.98283806979373</v>
      </c>
      <c r="AE28" s="207">
        <f t="shared" si="6"/>
        <v>610.31801928811558</v>
      </c>
    </row>
    <row r="29" spans="1:31" ht="15" x14ac:dyDescent="0.25">
      <c r="A29" s="149" t="s">
        <v>493</v>
      </c>
      <c r="B29" s="150">
        <v>53.3</v>
      </c>
      <c r="C29" s="150">
        <v>406.6</v>
      </c>
      <c r="D29" s="150">
        <v>143.30000000000001</v>
      </c>
      <c r="E29" s="150">
        <v>12.9</v>
      </c>
      <c r="F29" s="150">
        <v>7.9</v>
      </c>
      <c r="G29" s="150">
        <v>12.7</v>
      </c>
      <c r="H29" s="150">
        <v>355.4</v>
      </c>
      <c r="I29" s="150">
        <v>68.400000000000006</v>
      </c>
      <c r="J29" s="151">
        <v>18454</v>
      </c>
      <c r="K29" s="151">
        <v>635</v>
      </c>
      <c r="L29" s="150">
        <v>16.399999999999999</v>
      </c>
      <c r="M29" s="150">
        <v>3.05</v>
      </c>
      <c r="N29" s="151">
        <v>908</v>
      </c>
      <c r="O29" s="151">
        <v>89</v>
      </c>
      <c r="P29" s="151">
        <v>1040</v>
      </c>
      <c r="Q29" s="151">
        <v>139</v>
      </c>
      <c r="R29" s="150">
        <v>0.871</v>
      </c>
      <c r="S29" s="150">
        <v>33.4</v>
      </c>
      <c r="T29" s="150">
        <v>0.246</v>
      </c>
      <c r="U29" s="150">
        <v>30.4</v>
      </c>
      <c r="V29" s="150">
        <f t="shared" si="0"/>
        <v>0.41047660818713444</v>
      </c>
      <c r="W29" s="206" t="s">
        <v>652</v>
      </c>
      <c r="X29" s="146">
        <f>VLOOKUP($W29,GRADE!$B$5:$E$36,IF($E29&lt;=20,2,IF($E29&lt;=40,3,4)),FALSE)</f>
        <v>350</v>
      </c>
      <c r="Y29" s="146">
        <f>VLOOKUP($W29,GRADE!$B$5:$F$36,5,FALSE)</f>
        <v>490</v>
      </c>
      <c r="Z29" s="219">
        <f t="shared" si="1"/>
        <v>1</v>
      </c>
      <c r="AA29" s="144">
        <f t="shared" si="2"/>
        <v>2176.3636363636365</v>
      </c>
      <c r="AB29" s="144">
        <f t="shared" si="3"/>
        <v>330.90909090909088</v>
      </c>
      <c r="AC29" s="144">
        <f t="shared" si="4"/>
        <v>33.981818181818177</v>
      </c>
      <c r="AD29" s="144">
        <f t="shared" si="5"/>
        <v>590.0776934419705</v>
      </c>
      <c r="AE29" s="207">
        <f t="shared" si="6"/>
        <v>679.17333725555136</v>
      </c>
    </row>
    <row r="30" spans="1:31" ht="15" x14ac:dyDescent="0.25">
      <c r="A30" s="149" t="s">
        <v>386</v>
      </c>
      <c r="B30" s="150">
        <v>54</v>
      </c>
      <c r="C30" s="150">
        <v>310.39999999999998</v>
      </c>
      <c r="D30" s="150">
        <v>166.9</v>
      </c>
      <c r="E30" s="150">
        <v>13.7</v>
      </c>
      <c r="F30" s="150">
        <v>7.9</v>
      </c>
      <c r="G30" s="150">
        <v>8.9</v>
      </c>
      <c r="H30" s="150">
        <v>265.2</v>
      </c>
      <c r="I30" s="150">
        <v>68.8</v>
      </c>
      <c r="J30" s="151">
        <v>11696</v>
      </c>
      <c r="K30" s="151">
        <v>1063</v>
      </c>
      <c r="L30" s="150">
        <v>13</v>
      </c>
      <c r="M30" s="150">
        <v>3.93</v>
      </c>
      <c r="N30" s="151">
        <v>754</v>
      </c>
      <c r="O30" s="151">
        <v>127</v>
      </c>
      <c r="P30" s="151">
        <v>846</v>
      </c>
      <c r="Q30" s="151">
        <v>196</v>
      </c>
      <c r="R30" s="150">
        <v>0.88900000000000001</v>
      </c>
      <c r="S30" s="150">
        <v>23.6</v>
      </c>
      <c r="T30" s="150">
        <v>0.23400000000000001</v>
      </c>
      <c r="U30" s="150">
        <v>34.799999999999997</v>
      </c>
      <c r="V30" s="150">
        <f t="shared" si="0"/>
        <v>0.30451744186046509</v>
      </c>
      <c r="W30" s="206" t="s">
        <v>652</v>
      </c>
      <c r="X30" s="146">
        <f>VLOOKUP($W30,GRADE!$B$5:$E$36,IF($E30&lt;=20,2,IF($E30&lt;=40,3,4)),FALSE)</f>
        <v>350</v>
      </c>
      <c r="Y30" s="146">
        <f>VLOOKUP($W30,GRADE!$B$5:$F$36,5,FALSE)</f>
        <v>490</v>
      </c>
      <c r="Z30" s="219">
        <f t="shared" si="1"/>
        <v>1</v>
      </c>
      <c r="AA30" s="144">
        <f t="shared" si="2"/>
        <v>2189.0909090909086</v>
      </c>
      <c r="AB30" s="144">
        <f t="shared" si="3"/>
        <v>269.18181818181819</v>
      </c>
      <c r="AC30" s="144">
        <f t="shared" si="4"/>
        <v>48.490909090909085</v>
      </c>
      <c r="AD30" s="144">
        <f t="shared" si="5"/>
        <v>450.46757512146496</v>
      </c>
      <c r="AE30" s="207">
        <f t="shared" si="6"/>
        <v>840.08190700646207</v>
      </c>
    </row>
    <row r="31" spans="1:31" ht="15" x14ac:dyDescent="0.25">
      <c r="A31" s="149" t="s">
        <v>494</v>
      </c>
      <c r="B31" s="150">
        <v>54.1</v>
      </c>
      <c r="C31" s="150">
        <v>402.6</v>
      </c>
      <c r="D31" s="150">
        <v>177.7</v>
      </c>
      <c r="E31" s="150">
        <v>10.9</v>
      </c>
      <c r="F31" s="150">
        <v>7.7</v>
      </c>
      <c r="G31" s="150">
        <v>12.7</v>
      </c>
      <c r="H31" s="150">
        <v>355.4</v>
      </c>
      <c r="I31" s="150">
        <v>69.400000000000006</v>
      </c>
      <c r="J31" s="151">
        <v>18893</v>
      </c>
      <c r="K31" s="151">
        <v>1022</v>
      </c>
      <c r="L31" s="150">
        <v>16.5</v>
      </c>
      <c r="M31" s="150">
        <v>3.84</v>
      </c>
      <c r="N31" s="151">
        <v>939</v>
      </c>
      <c r="O31" s="151">
        <v>115</v>
      </c>
      <c r="P31" s="151">
        <v>1064</v>
      </c>
      <c r="Q31" s="151">
        <v>179</v>
      </c>
      <c r="R31" s="150">
        <v>0.872</v>
      </c>
      <c r="S31" s="150">
        <v>37.4</v>
      </c>
      <c r="T31" s="150">
        <v>0.39200000000000002</v>
      </c>
      <c r="U31" s="150">
        <v>24.3</v>
      </c>
      <c r="V31" s="150">
        <f t="shared" si="0"/>
        <v>0.3943198847262247</v>
      </c>
      <c r="W31" s="206" t="s">
        <v>652</v>
      </c>
      <c r="X31" s="146">
        <f>VLOOKUP($W31,GRADE!$B$5:$E$36,IF($E31&lt;=20,2,IF($E31&lt;=40,3,4)),FALSE)</f>
        <v>350</v>
      </c>
      <c r="Y31" s="146">
        <f>VLOOKUP($W31,GRADE!$B$5:$F$36,5,FALSE)</f>
        <v>490</v>
      </c>
      <c r="Z31" s="219">
        <f t="shared" si="1"/>
        <v>2</v>
      </c>
      <c r="AA31" s="144">
        <f t="shared" si="2"/>
        <v>2208.1818181818185</v>
      </c>
      <c r="AB31" s="144">
        <f t="shared" si="3"/>
        <v>338.5454545454545</v>
      </c>
      <c r="AC31" s="144">
        <f t="shared" si="4"/>
        <v>43.909090909090907</v>
      </c>
      <c r="AD31" s="144">
        <f t="shared" si="5"/>
        <v>569.48098502057132</v>
      </c>
      <c r="AE31" s="207">
        <f t="shared" si="6"/>
        <v>711.63721802820305</v>
      </c>
    </row>
    <row r="32" spans="1:31" ht="15" x14ac:dyDescent="0.25">
      <c r="A32" s="149" t="s">
        <v>495</v>
      </c>
      <c r="B32" s="150">
        <v>57</v>
      </c>
      <c r="C32" s="150">
        <v>358</v>
      </c>
      <c r="D32" s="150">
        <v>172.2</v>
      </c>
      <c r="E32" s="150">
        <v>13</v>
      </c>
      <c r="F32" s="150">
        <v>8.1</v>
      </c>
      <c r="G32" s="150">
        <v>12.7</v>
      </c>
      <c r="H32" s="150">
        <v>306.60000000000002</v>
      </c>
      <c r="I32" s="150">
        <v>73</v>
      </c>
      <c r="J32" s="151">
        <v>16168</v>
      </c>
      <c r="K32" s="151">
        <v>1109</v>
      </c>
      <c r="L32" s="150">
        <v>14.9</v>
      </c>
      <c r="M32" s="150">
        <v>3.9</v>
      </c>
      <c r="N32" s="151">
        <v>903</v>
      </c>
      <c r="O32" s="151">
        <v>129</v>
      </c>
      <c r="P32" s="151">
        <v>1018</v>
      </c>
      <c r="Q32" s="151">
        <v>199</v>
      </c>
      <c r="R32" s="150">
        <v>0.88300000000000001</v>
      </c>
      <c r="S32" s="150">
        <v>28.3</v>
      </c>
      <c r="T32" s="150">
        <v>0.33</v>
      </c>
      <c r="U32" s="150">
        <v>34.9</v>
      </c>
      <c r="V32" s="150">
        <f t="shared" si="0"/>
        <v>0.3402</v>
      </c>
      <c r="W32" s="206" t="s">
        <v>652</v>
      </c>
      <c r="X32" s="146">
        <f>VLOOKUP($W32,GRADE!$B$5:$E$36,IF($E32&lt;=20,2,IF($E32&lt;=40,3,4)),FALSE)</f>
        <v>350</v>
      </c>
      <c r="Y32" s="146">
        <f>VLOOKUP($W32,GRADE!$B$5:$F$36,5,FALSE)</f>
        <v>490</v>
      </c>
      <c r="Z32" s="219">
        <f t="shared" si="1"/>
        <v>1</v>
      </c>
      <c r="AA32" s="144">
        <f t="shared" si="2"/>
        <v>2322.7272727272725</v>
      </c>
      <c r="AB32" s="144">
        <f t="shared" si="3"/>
        <v>323.90909090909088</v>
      </c>
      <c r="AC32" s="144">
        <f t="shared" si="4"/>
        <v>49.254545454545443</v>
      </c>
      <c r="AD32" s="144">
        <f t="shared" si="5"/>
        <v>532.70009882602437</v>
      </c>
      <c r="AE32" s="207">
        <f t="shared" si="6"/>
        <v>822.47219893229749</v>
      </c>
    </row>
    <row r="33" spans="1:31" ht="15" x14ac:dyDescent="0.25">
      <c r="A33" s="149" t="s">
        <v>496</v>
      </c>
      <c r="B33" s="150">
        <v>59.8</v>
      </c>
      <c r="C33" s="150">
        <v>454.6</v>
      </c>
      <c r="D33" s="150">
        <v>152.9</v>
      </c>
      <c r="E33" s="150">
        <v>13.3</v>
      </c>
      <c r="F33" s="150">
        <v>8.1</v>
      </c>
      <c r="G33" s="150">
        <v>12.7</v>
      </c>
      <c r="H33" s="150">
        <v>402.6</v>
      </c>
      <c r="I33" s="150">
        <v>76.7</v>
      </c>
      <c r="J33" s="151">
        <v>25717</v>
      </c>
      <c r="K33" s="151">
        <v>795</v>
      </c>
      <c r="L33" s="150">
        <v>18.3</v>
      </c>
      <c r="M33" s="150">
        <v>3.22</v>
      </c>
      <c r="N33" s="151">
        <v>1131</v>
      </c>
      <c r="O33" s="151">
        <v>104</v>
      </c>
      <c r="P33" s="151">
        <v>1298</v>
      </c>
      <c r="Q33" s="151">
        <v>163</v>
      </c>
      <c r="R33" s="150">
        <v>0.86899999999999999</v>
      </c>
      <c r="S33" s="150">
        <v>36.799999999999997</v>
      </c>
      <c r="T33" s="150">
        <v>0.38700000000000001</v>
      </c>
      <c r="U33" s="150">
        <v>35.4</v>
      </c>
      <c r="V33" s="150">
        <f t="shared" si="0"/>
        <v>0.42517079530638852</v>
      </c>
      <c r="W33" s="206" t="s">
        <v>652</v>
      </c>
      <c r="X33" s="146">
        <f>VLOOKUP($W33,GRADE!$B$5:$E$36,IF($E33&lt;=20,2,IF($E33&lt;=40,3,4)),FALSE)</f>
        <v>350</v>
      </c>
      <c r="Y33" s="146">
        <f>VLOOKUP($W33,GRADE!$B$5:$F$36,5,FALSE)</f>
        <v>490</v>
      </c>
      <c r="Z33" s="219">
        <f t="shared" si="1"/>
        <v>1</v>
      </c>
      <c r="AA33" s="144">
        <f t="shared" si="2"/>
        <v>2440.4545454545455</v>
      </c>
      <c r="AB33" s="144">
        <f t="shared" si="3"/>
        <v>412.99999999999994</v>
      </c>
      <c r="AC33" s="144">
        <f t="shared" si="4"/>
        <v>39.709090909090904</v>
      </c>
      <c r="AD33" s="144">
        <f t="shared" si="5"/>
        <v>676.43984616287901</v>
      </c>
      <c r="AE33" s="207">
        <f t="shared" si="6"/>
        <v>747.14320985560278</v>
      </c>
    </row>
    <row r="34" spans="1:31" ht="15" x14ac:dyDescent="0.25">
      <c r="A34" s="149" t="s">
        <v>497</v>
      </c>
      <c r="B34" s="150">
        <v>60.1</v>
      </c>
      <c r="C34" s="150">
        <v>406.4</v>
      </c>
      <c r="D34" s="150">
        <v>177.9</v>
      </c>
      <c r="E34" s="150">
        <v>12.8</v>
      </c>
      <c r="F34" s="150">
        <v>7.9</v>
      </c>
      <c r="G34" s="150">
        <v>12.7</v>
      </c>
      <c r="H34" s="150">
        <v>355.4</v>
      </c>
      <c r="I34" s="150">
        <v>77</v>
      </c>
      <c r="J34" s="151">
        <v>21767</v>
      </c>
      <c r="K34" s="151">
        <v>1203</v>
      </c>
      <c r="L34" s="150">
        <v>16.8</v>
      </c>
      <c r="M34" s="150">
        <v>3.95</v>
      </c>
      <c r="N34" s="151">
        <v>1071</v>
      </c>
      <c r="O34" s="151">
        <v>135</v>
      </c>
      <c r="P34" s="151">
        <v>1209</v>
      </c>
      <c r="Q34" s="151">
        <v>209</v>
      </c>
      <c r="R34" s="150">
        <v>0.88</v>
      </c>
      <c r="S34" s="150">
        <v>33.1</v>
      </c>
      <c r="T34" s="150">
        <v>0.46600000000000003</v>
      </c>
      <c r="U34" s="150">
        <v>34.799999999999997</v>
      </c>
      <c r="V34" s="150">
        <f t="shared" si="0"/>
        <v>0.36463116883116881</v>
      </c>
      <c r="W34" s="206" t="s">
        <v>652</v>
      </c>
      <c r="X34" s="146">
        <f>VLOOKUP($W34,GRADE!$B$5:$E$36,IF($E34&lt;=20,2,IF($E34&lt;=40,3,4)),FALSE)</f>
        <v>350</v>
      </c>
      <c r="Y34" s="146">
        <f>VLOOKUP($W34,GRADE!$B$5:$F$36,5,FALSE)</f>
        <v>490</v>
      </c>
      <c r="Z34" s="219">
        <f t="shared" si="1"/>
        <v>1</v>
      </c>
      <c r="AA34" s="144">
        <f t="shared" si="2"/>
        <v>2450</v>
      </c>
      <c r="AB34" s="144">
        <f t="shared" si="3"/>
        <v>384.68181818181813</v>
      </c>
      <c r="AC34" s="144">
        <f t="shared" si="4"/>
        <v>51.54545454545454</v>
      </c>
      <c r="AD34" s="144">
        <f t="shared" si="5"/>
        <v>589.78744371573248</v>
      </c>
      <c r="AE34" s="207">
        <f t="shared" si="6"/>
        <v>836.6246286217787</v>
      </c>
    </row>
    <row r="35" spans="1:31" ht="15" x14ac:dyDescent="0.25">
      <c r="A35" s="149" t="s">
        <v>498</v>
      </c>
      <c r="B35" s="150">
        <v>65.7</v>
      </c>
      <c r="C35" s="150">
        <v>524.70000000000005</v>
      </c>
      <c r="D35" s="150">
        <v>165.1</v>
      </c>
      <c r="E35" s="150">
        <v>11.4</v>
      </c>
      <c r="F35" s="150">
        <v>8.9</v>
      </c>
      <c r="G35" s="150">
        <v>12.7</v>
      </c>
      <c r="H35" s="150">
        <v>476.5</v>
      </c>
      <c r="I35" s="150">
        <v>83.7</v>
      </c>
      <c r="J35" s="151">
        <v>35028</v>
      </c>
      <c r="K35" s="151">
        <v>859</v>
      </c>
      <c r="L35" s="150">
        <v>20.5</v>
      </c>
      <c r="M35" s="150">
        <v>3.2</v>
      </c>
      <c r="N35" s="151">
        <v>1335</v>
      </c>
      <c r="O35" s="151">
        <v>104</v>
      </c>
      <c r="P35" s="151">
        <v>1561</v>
      </c>
      <c r="Q35" s="151">
        <v>166</v>
      </c>
      <c r="R35" s="150">
        <v>0.84699999999999998</v>
      </c>
      <c r="S35" s="150">
        <v>47</v>
      </c>
      <c r="T35" s="150">
        <v>0.56599999999999995</v>
      </c>
      <c r="U35" s="150">
        <v>32</v>
      </c>
      <c r="V35" s="150">
        <f t="shared" si="0"/>
        <v>0.50667264038231785</v>
      </c>
      <c r="W35" s="206" t="s">
        <v>652</v>
      </c>
      <c r="X35" s="146">
        <f>VLOOKUP($W35,GRADE!$B$5:$E$36,IF($E35&lt;=20,2,IF($E35&lt;=40,3,4)),FALSE)</f>
        <v>350</v>
      </c>
      <c r="Y35" s="146">
        <f>VLOOKUP($W35,GRADE!$B$5:$F$36,5,FALSE)</f>
        <v>490</v>
      </c>
      <c r="Z35" s="219">
        <f t="shared" si="1"/>
        <v>1</v>
      </c>
      <c r="AA35" s="144">
        <f t="shared" si="2"/>
        <v>2663.181818181818</v>
      </c>
      <c r="AB35" s="144">
        <f t="shared" si="3"/>
        <v>496.68181818181813</v>
      </c>
      <c r="AC35" s="144">
        <f t="shared" si="4"/>
        <v>39.709090909090904</v>
      </c>
      <c r="AD35" s="144">
        <f t="shared" si="5"/>
        <v>857.85878422675148</v>
      </c>
      <c r="AE35" s="207">
        <f t="shared" si="6"/>
        <v>691.50711359708498</v>
      </c>
    </row>
    <row r="36" spans="1:31" ht="15" x14ac:dyDescent="0.25">
      <c r="A36" s="149" t="s">
        <v>499</v>
      </c>
      <c r="B36" s="150">
        <v>67.099999999999994</v>
      </c>
      <c r="C36" s="150">
        <v>363.4</v>
      </c>
      <c r="D36" s="150">
        <v>173.2</v>
      </c>
      <c r="E36" s="150">
        <v>15.7</v>
      </c>
      <c r="F36" s="150">
        <v>9.1</v>
      </c>
      <c r="G36" s="150">
        <v>12.7</v>
      </c>
      <c r="H36" s="150">
        <v>306.60000000000002</v>
      </c>
      <c r="I36" s="150">
        <v>86</v>
      </c>
      <c r="J36" s="151">
        <v>19592</v>
      </c>
      <c r="K36" s="151">
        <v>1362</v>
      </c>
      <c r="L36" s="150">
        <v>15.1</v>
      </c>
      <c r="M36" s="150">
        <v>3.98</v>
      </c>
      <c r="N36" s="151">
        <v>1078</v>
      </c>
      <c r="O36" s="151">
        <v>157</v>
      </c>
      <c r="P36" s="151">
        <v>1219</v>
      </c>
      <c r="Q36" s="151">
        <v>243</v>
      </c>
      <c r="R36" s="150">
        <v>0.88700000000000001</v>
      </c>
      <c r="S36" s="150">
        <v>24</v>
      </c>
      <c r="T36" s="150">
        <v>0.41199999999999998</v>
      </c>
      <c r="U36" s="150">
        <v>57.7</v>
      </c>
      <c r="V36" s="150">
        <f t="shared" si="0"/>
        <v>0.32442558139534883</v>
      </c>
      <c r="W36" s="206" t="s">
        <v>652</v>
      </c>
      <c r="X36" s="146">
        <f>VLOOKUP($W36,GRADE!$B$5:$E$36,IF($E36&lt;=20,2,IF($E36&lt;=40,3,4)),FALSE)</f>
        <v>350</v>
      </c>
      <c r="Y36" s="146">
        <f>VLOOKUP($W36,GRADE!$B$5:$F$36,5,FALSE)</f>
        <v>490</v>
      </c>
      <c r="Z36" s="219">
        <f t="shared" si="1"/>
        <v>1</v>
      </c>
      <c r="AA36" s="144">
        <f t="shared" si="2"/>
        <v>2736.363636363636</v>
      </c>
      <c r="AB36" s="144">
        <f t="shared" si="3"/>
        <v>387.86363636363632</v>
      </c>
      <c r="AC36" s="144">
        <f t="shared" si="4"/>
        <v>59.945454545454538</v>
      </c>
      <c r="AD36" s="144">
        <f t="shared" si="5"/>
        <v>607.49267701625377</v>
      </c>
      <c r="AE36" s="207">
        <f t="shared" si="6"/>
        <v>999.06160199439853</v>
      </c>
    </row>
    <row r="37" spans="1:31" ht="15" x14ac:dyDescent="0.25">
      <c r="A37" s="149" t="s">
        <v>500</v>
      </c>
      <c r="B37" s="150">
        <v>67.099999999999994</v>
      </c>
      <c r="C37" s="150">
        <v>409.4</v>
      </c>
      <c r="D37" s="150">
        <v>178.8</v>
      </c>
      <c r="E37" s="150">
        <v>14.3</v>
      </c>
      <c r="F37" s="150">
        <v>8.8000000000000007</v>
      </c>
      <c r="G37" s="150">
        <v>12.7</v>
      </c>
      <c r="H37" s="150">
        <v>355.4</v>
      </c>
      <c r="I37" s="150">
        <v>86</v>
      </c>
      <c r="J37" s="151">
        <v>24502</v>
      </c>
      <c r="K37" s="151">
        <v>1365</v>
      </c>
      <c r="L37" s="150">
        <v>16.899999999999999</v>
      </c>
      <c r="M37" s="150">
        <v>3.98</v>
      </c>
      <c r="N37" s="151">
        <v>1197</v>
      </c>
      <c r="O37" s="151">
        <v>153</v>
      </c>
      <c r="P37" s="151">
        <v>1355</v>
      </c>
      <c r="Q37" s="151">
        <v>237</v>
      </c>
      <c r="R37" s="150">
        <v>0.88</v>
      </c>
      <c r="S37" s="150">
        <v>30</v>
      </c>
      <c r="T37" s="150">
        <v>0.53300000000000003</v>
      </c>
      <c r="U37" s="150">
        <v>47.9</v>
      </c>
      <c r="V37" s="150">
        <f t="shared" si="0"/>
        <v>0.36366511627906978</v>
      </c>
      <c r="W37" s="206" t="s">
        <v>652</v>
      </c>
      <c r="X37" s="146">
        <f>VLOOKUP($W37,GRADE!$B$5:$E$36,IF($E37&lt;=20,2,IF($E37&lt;=40,3,4)),FALSE)</f>
        <v>350</v>
      </c>
      <c r="Y37" s="146">
        <f>VLOOKUP($W37,GRADE!$B$5:$F$36,5,FALSE)</f>
        <v>490</v>
      </c>
      <c r="Z37" s="219">
        <f t="shared" si="1"/>
        <v>1</v>
      </c>
      <c r="AA37" s="144">
        <f t="shared" si="2"/>
        <v>2736.363636363636</v>
      </c>
      <c r="AB37" s="144">
        <f t="shared" si="3"/>
        <v>431.13636363636363</v>
      </c>
      <c r="AC37" s="144">
        <f t="shared" si="4"/>
        <v>58.418181818181814</v>
      </c>
      <c r="AD37" s="144">
        <f t="shared" si="5"/>
        <v>661.82816057745185</v>
      </c>
      <c r="AE37" s="207">
        <f t="shared" si="6"/>
        <v>939.39507599305625</v>
      </c>
    </row>
    <row r="38" spans="1:31" ht="15" x14ac:dyDescent="0.25">
      <c r="A38" s="149" t="s">
        <v>501</v>
      </c>
      <c r="B38" s="150">
        <v>67.099999999999994</v>
      </c>
      <c r="C38" s="150">
        <v>453.4</v>
      </c>
      <c r="D38" s="150">
        <v>189.9</v>
      </c>
      <c r="E38" s="150">
        <v>12.7</v>
      </c>
      <c r="F38" s="150">
        <v>8.5</v>
      </c>
      <c r="G38" s="150">
        <v>12.7</v>
      </c>
      <c r="H38" s="150">
        <v>402.6</v>
      </c>
      <c r="I38" s="150">
        <v>86</v>
      </c>
      <c r="J38" s="151">
        <v>29597</v>
      </c>
      <c r="K38" s="151">
        <v>1452</v>
      </c>
      <c r="L38" s="150">
        <v>18.600000000000001</v>
      </c>
      <c r="M38" s="150">
        <v>4.1100000000000003</v>
      </c>
      <c r="N38" s="151">
        <v>1306</v>
      </c>
      <c r="O38" s="151">
        <v>153</v>
      </c>
      <c r="P38" s="151">
        <v>1481</v>
      </c>
      <c r="Q38" s="151">
        <v>238</v>
      </c>
      <c r="R38" s="150">
        <v>0.873</v>
      </c>
      <c r="S38" s="150">
        <v>37.200000000000003</v>
      </c>
      <c r="T38" s="150">
        <v>0.70499999999999996</v>
      </c>
      <c r="U38" s="150">
        <v>38.700000000000003</v>
      </c>
      <c r="V38" s="150">
        <f t="shared" si="0"/>
        <v>0.39791860465116285</v>
      </c>
      <c r="W38" s="206" t="s">
        <v>652</v>
      </c>
      <c r="X38" s="146">
        <f>VLOOKUP($W38,GRADE!$B$5:$E$36,IF($E38&lt;=20,2,IF($E38&lt;=40,3,4)),FALSE)</f>
        <v>350</v>
      </c>
      <c r="Y38" s="146">
        <f>VLOOKUP($W38,GRADE!$B$5:$F$36,5,FALSE)</f>
        <v>490</v>
      </c>
      <c r="Z38" s="219">
        <f t="shared" si="1"/>
        <v>1</v>
      </c>
      <c r="AA38" s="144">
        <f t="shared" si="2"/>
        <v>2736.363636363636</v>
      </c>
      <c r="AB38" s="144">
        <f t="shared" si="3"/>
        <v>471.22727272727269</v>
      </c>
      <c r="AC38" s="144">
        <f t="shared" si="4"/>
        <v>58.418181818181814</v>
      </c>
      <c r="AD38" s="144">
        <f t="shared" si="5"/>
        <v>707.97051895496759</v>
      </c>
      <c r="AE38" s="207">
        <f t="shared" si="6"/>
        <v>886.08097754444293</v>
      </c>
    </row>
    <row r="39" spans="1:31" ht="15" x14ac:dyDescent="0.25">
      <c r="A39" s="149" t="s">
        <v>502</v>
      </c>
      <c r="B39" s="150">
        <v>67.2</v>
      </c>
      <c r="C39" s="150">
        <v>458</v>
      </c>
      <c r="D39" s="150">
        <v>153.80000000000001</v>
      </c>
      <c r="E39" s="150">
        <v>15</v>
      </c>
      <c r="F39" s="150">
        <v>9</v>
      </c>
      <c r="G39" s="150">
        <v>12.7</v>
      </c>
      <c r="H39" s="150">
        <v>402.6</v>
      </c>
      <c r="I39" s="150">
        <v>86</v>
      </c>
      <c r="J39" s="151">
        <v>29144</v>
      </c>
      <c r="K39" s="151">
        <v>913</v>
      </c>
      <c r="L39" s="150">
        <v>18.399999999999999</v>
      </c>
      <c r="M39" s="150">
        <v>3.26</v>
      </c>
      <c r="N39" s="151">
        <v>1273</v>
      </c>
      <c r="O39" s="151">
        <v>119</v>
      </c>
      <c r="P39" s="151">
        <v>1463</v>
      </c>
      <c r="Q39" s="151">
        <v>187</v>
      </c>
      <c r="R39" s="150">
        <v>0.86899999999999999</v>
      </c>
      <c r="S39" s="150">
        <v>33</v>
      </c>
      <c r="T39" s="150">
        <v>0.44800000000000001</v>
      </c>
      <c r="U39" s="150">
        <v>49.6</v>
      </c>
      <c r="V39" s="150">
        <f t="shared" si="0"/>
        <v>0.42132558139534887</v>
      </c>
      <c r="W39" s="206" t="s">
        <v>652</v>
      </c>
      <c r="X39" s="146">
        <f>VLOOKUP($W39,GRADE!$B$5:$E$36,IF($E39&lt;=20,2,IF($E39&lt;=40,3,4)),FALSE)</f>
        <v>350</v>
      </c>
      <c r="Y39" s="146">
        <f>VLOOKUP($W39,GRADE!$B$5:$F$36,5,FALSE)</f>
        <v>490</v>
      </c>
      <c r="Z39" s="219">
        <f t="shared" si="1"/>
        <v>1</v>
      </c>
      <c r="AA39" s="144">
        <f t="shared" si="2"/>
        <v>2736.363636363636</v>
      </c>
      <c r="AB39" s="144">
        <f t="shared" si="3"/>
        <v>465.49999999999994</v>
      </c>
      <c r="AC39" s="144">
        <f t="shared" si="4"/>
        <v>45.436363636363623</v>
      </c>
      <c r="AD39" s="144">
        <f t="shared" si="5"/>
        <v>757.22112123624834</v>
      </c>
      <c r="AE39" s="207">
        <f t="shared" si="6"/>
        <v>847.60268155847871</v>
      </c>
    </row>
    <row r="40" spans="1:31" ht="15" x14ac:dyDescent="0.25">
      <c r="A40" s="149" t="s">
        <v>503</v>
      </c>
      <c r="B40" s="150">
        <v>74.2</v>
      </c>
      <c r="C40" s="150">
        <v>412.8</v>
      </c>
      <c r="D40" s="150">
        <v>179.5</v>
      </c>
      <c r="E40" s="150">
        <v>16</v>
      </c>
      <c r="F40" s="150">
        <v>9.5</v>
      </c>
      <c r="G40" s="150">
        <v>12.7</v>
      </c>
      <c r="H40" s="150">
        <v>355.4</v>
      </c>
      <c r="I40" s="150">
        <v>95</v>
      </c>
      <c r="J40" s="151">
        <v>27481</v>
      </c>
      <c r="K40" s="151">
        <v>1546</v>
      </c>
      <c r="L40" s="150">
        <v>17</v>
      </c>
      <c r="M40" s="150">
        <v>4.03</v>
      </c>
      <c r="N40" s="151">
        <v>1331</v>
      </c>
      <c r="O40" s="151">
        <v>172</v>
      </c>
      <c r="P40" s="151">
        <v>1510</v>
      </c>
      <c r="Q40" s="151">
        <v>267</v>
      </c>
      <c r="R40" s="150">
        <v>0.88200000000000001</v>
      </c>
      <c r="S40" s="150">
        <v>27.2</v>
      </c>
      <c r="T40" s="150">
        <v>0.60799999999999998</v>
      </c>
      <c r="U40" s="150">
        <v>64.900000000000006</v>
      </c>
      <c r="V40" s="150">
        <f t="shared" si="0"/>
        <v>0.35539999999999999</v>
      </c>
      <c r="W40" s="206" t="s">
        <v>652</v>
      </c>
      <c r="X40" s="146">
        <f>VLOOKUP($W40,GRADE!$B$5:$E$36,IF($E40&lt;=20,2,IF($E40&lt;=40,3,4)),FALSE)</f>
        <v>350</v>
      </c>
      <c r="Y40" s="146">
        <f>VLOOKUP($W40,GRADE!$B$5:$F$36,5,FALSE)</f>
        <v>490</v>
      </c>
      <c r="Z40" s="219">
        <f t="shared" si="1"/>
        <v>1</v>
      </c>
      <c r="AA40" s="144">
        <f t="shared" si="2"/>
        <v>3022.7272727272725</v>
      </c>
      <c r="AB40" s="144">
        <f t="shared" si="3"/>
        <v>480.45454545454544</v>
      </c>
      <c r="AC40" s="144">
        <f t="shared" si="4"/>
        <v>65.672727272727272</v>
      </c>
      <c r="AD40" s="144">
        <f t="shared" si="5"/>
        <v>720.40716861719341</v>
      </c>
      <c r="AE40" s="207">
        <f t="shared" si="6"/>
        <v>1055.1863465262031</v>
      </c>
    </row>
    <row r="41" spans="1:31" ht="15" x14ac:dyDescent="0.25">
      <c r="A41" s="149" t="s">
        <v>504</v>
      </c>
      <c r="B41" s="150">
        <v>74.2</v>
      </c>
      <c r="C41" s="150">
        <v>462</v>
      </c>
      <c r="D41" s="150">
        <v>154.4</v>
      </c>
      <c r="E41" s="150">
        <v>17</v>
      </c>
      <c r="F41" s="150">
        <v>9.6</v>
      </c>
      <c r="G41" s="150">
        <v>12.7</v>
      </c>
      <c r="H41" s="150">
        <v>402.6</v>
      </c>
      <c r="I41" s="150">
        <v>95</v>
      </c>
      <c r="J41" s="151">
        <v>32891</v>
      </c>
      <c r="K41" s="151">
        <v>1047</v>
      </c>
      <c r="L41" s="150">
        <v>18.600000000000001</v>
      </c>
      <c r="M41" s="150">
        <v>3.32</v>
      </c>
      <c r="N41" s="151">
        <v>1424</v>
      </c>
      <c r="O41" s="151">
        <v>136</v>
      </c>
      <c r="P41" s="151">
        <v>1637</v>
      </c>
      <c r="Q41" s="151">
        <v>213</v>
      </c>
      <c r="R41" s="150">
        <v>0.873</v>
      </c>
      <c r="S41" s="150">
        <v>29.7</v>
      </c>
      <c r="T41" s="150">
        <v>0.51800000000000002</v>
      </c>
      <c r="U41" s="150">
        <v>68.2</v>
      </c>
      <c r="V41" s="150">
        <f t="shared" si="0"/>
        <v>0.40683789473684212</v>
      </c>
      <c r="W41" s="206" t="s">
        <v>652</v>
      </c>
      <c r="X41" s="146">
        <f>VLOOKUP($W41,GRADE!$B$5:$E$36,IF($E41&lt;=20,2,IF($E41&lt;=40,3,4)),FALSE)</f>
        <v>350</v>
      </c>
      <c r="Y41" s="146">
        <f>VLOOKUP($W41,GRADE!$B$5:$F$36,5,FALSE)</f>
        <v>490</v>
      </c>
      <c r="Z41" s="219">
        <f t="shared" si="1"/>
        <v>1</v>
      </c>
      <c r="AA41" s="144">
        <f t="shared" si="2"/>
        <v>3022.7272727272725</v>
      </c>
      <c r="AB41" s="144">
        <f t="shared" si="3"/>
        <v>520.86363636363626</v>
      </c>
      <c r="AC41" s="144">
        <f t="shared" si="4"/>
        <v>51.927272727272729</v>
      </c>
      <c r="AD41" s="144">
        <f t="shared" si="5"/>
        <v>814.75669988039988</v>
      </c>
      <c r="AE41" s="207">
        <f t="shared" si="6"/>
        <v>964.36390054386447</v>
      </c>
    </row>
    <row r="42" spans="1:31" ht="15" x14ac:dyDescent="0.25">
      <c r="A42" s="149" t="s">
        <v>505</v>
      </c>
      <c r="B42" s="150">
        <v>74.3</v>
      </c>
      <c r="C42" s="150">
        <v>457</v>
      </c>
      <c r="D42" s="150">
        <v>190.4</v>
      </c>
      <c r="E42" s="150">
        <v>14.5</v>
      </c>
      <c r="F42" s="150">
        <v>9</v>
      </c>
      <c r="G42" s="150">
        <v>12.7</v>
      </c>
      <c r="H42" s="150">
        <v>402.6</v>
      </c>
      <c r="I42" s="150">
        <v>95.1</v>
      </c>
      <c r="J42" s="151">
        <v>33536</v>
      </c>
      <c r="K42" s="151">
        <v>1672</v>
      </c>
      <c r="L42" s="150">
        <v>18.8</v>
      </c>
      <c r="M42" s="150">
        <v>4.1900000000000004</v>
      </c>
      <c r="N42" s="151">
        <v>1468</v>
      </c>
      <c r="O42" s="151">
        <v>176</v>
      </c>
      <c r="P42" s="151">
        <v>1663</v>
      </c>
      <c r="Q42" s="151">
        <v>272</v>
      </c>
      <c r="R42" s="150">
        <v>0.878</v>
      </c>
      <c r="S42" s="150">
        <v>33.4</v>
      </c>
      <c r="T42" s="150">
        <v>0.81799999999999995</v>
      </c>
      <c r="U42" s="150">
        <v>53.6</v>
      </c>
      <c r="V42" s="150">
        <f t="shared" si="0"/>
        <v>0.38100946372239747</v>
      </c>
      <c r="W42" s="206" t="s">
        <v>652</v>
      </c>
      <c r="X42" s="146">
        <f>VLOOKUP($W42,GRADE!$B$5:$E$36,IF($E42&lt;=20,2,IF($E42&lt;=40,3,4)),FALSE)</f>
        <v>350</v>
      </c>
      <c r="Y42" s="146">
        <f>VLOOKUP($W42,GRADE!$B$5:$F$36,5,FALSE)</f>
        <v>490</v>
      </c>
      <c r="Z42" s="219">
        <f t="shared" si="1"/>
        <v>1</v>
      </c>
      <c r="AA42" s="144">
        <f t="shared" si="2"/>
        <v>3025.909090909091</v>
      </c>
      <c r="AB42" s="144">
        <f t="shared" si="3"/>
        <v>529.13636363636351</v>
      </c>
      <c r="AC42" s="144">
        <f t="shared" si="4"/>
        <v>67.2</v>
      </c>
      <c r="AD42" s="144">
        <f t="shared" si="5"/>
        <v>755.56780001084155</v>
      </c>
      <c r="AE42" s="207">
        <f t="shared" si="6"/>
        <v>1014.3309420228212</v>
      </c>
    </row>
    <row r="43" spans="1:31" ht="15" x14ac:dyDescent="0.25">
      <c r="A43" s="149" t="s">
        <v>506</v>
      </c>
      <c r="B43" s="150">
        <v>74.7</v>
      </c>
      <c r="C43" s="150">
        <v>529.1</v>
      </c>
      <c r="D43" s="150">
        <v>165.9</v>
      </c>
      <c r="E43" s="150">
        <v>13.6</v>
      </c>
      <c r="F43" s="150">
        <v>9.6999999999999993</v>
      </c>
      <c r="G43" s="150">
        <v>12.7</v>
      </c>
      <c r="H43" s="150">
        <v>476.5</v>
      </c>
      <c r="I43" s="150">
        <v>95.2</v>
      </c>
      <c r="J43" s="151">
        <v>41058</v>
      </c>
      <c r="K43" s="151">
        <v>1040</v>
      </c>
      <c r="L43" s="150">
        <v>20.8</v>
      </c>
      <c r="M43" s="150">
        <v>3.3</v>
      </c>
      <c r="N43" s="151">
        <v>1552</v>
      </c>
      <c r="O43" s="151">
        <v>125</v>
      </c>
      <c r="P43" s="151">
        <v>1808</v>
      </c>
      <c r="Q43" s="151">
        <v>200</v>
      </c>
      <c r="R43" s="150">
        <v>0.85299999999999998</v>
      </c>
      <c r="S43" s="150">
        <v>41.1</v>
      </c>
      <c r="T43" s="150">
        <v>0.69099999999999995</v>
      </c>
      <c r="U43" s="150">
        <v>47.9</v>
      </c>
      <c r="V43" s="150">
        <f t="shared" si="0"/>
        <v>0.4855094537815125</v>
      </c>
      <c r="W43" s="206" t="s">
        <v>652</v>
      </c>
      <c r="X43" s="146">
        <f>VLOOKUP($W43,GRADE!$B$5:$E$36,IF($E43&lt;=20,2,IF($E43&lt;=40,3,4)),FALSE)</f>
        <v>350</v>
      </c>
      <c r="Y43" s="146">
        <f>VLOOKUP($W43,GRADE!$B$5:$F$36,5,FALSE)</f>
        <v>490</v>
      </c>
      <c r="Z43" s="219">
        <f t="shared" si="1"/>
        <v>1</v>
      </c>
      <c r="AA43" s="144">
        <f t="shared" si="2"/>
        <v>3029.0909090909086</v>
      </c>
      <c r="AB43" s="144">
        <f t="shared" si="3"/>
        <v>575.27272727272725</v>
      </c>
      <c r="AC43" s="144">
        <f t="shared" si="4"/>
        <v>47.727272727272727</v>
      </c>
      <c r="AD43" s="144">
        <f t="shared" si="5"/>
        <v>942.8101028353127</v>
      </c>
      <c r="AE43" s="207">
        <f t="shared" si="6"/>
        <v>828.9532181358918</v>
      </c>
    </row>
    <row r="44" spans="1:31" ht="15" x14ac:dyDescent="0.25">
      <c r="A44" s="149" t="s">
        <v>507</v>
      </c>
      <c r="B44" s="150">
        <v>81.8</v>
      </c>
      <c r="C44" s="150">
        <v>598.6</v>
      </c>
      <c r="D44" s="150">
        <v>177.9</v>
      </c>
      <c r="E44" s="150">
        <v>12.8</v>
      </c>
      <c r="F44" s="150">
        <v>10</v>
      </c>
      <c r="G44" s="150">
        <v>20</v>
      </c>
      <c r="H44" s="150">
        <v>533</v>
      </c>
      <c r="I44" s="150">
        <v>106</v>
      </c>
      <c r="J44" s="151">
        <v>57487</v>
      </c>
      <c r="K44" s="151">
        <v>1209</v>
      </c>
      <c r="L44" s="150">
        <v>23.3</v>
      </c>
      <c r="M44" s="150">
        <v>3.37</v>
      </c>
      <c r="N44" s="151">
        <v>1921</v>
      </c>
      <c r="O44" s="151">
        <v>136</v>
      </c>
      <c r="P44" s="151">
        <v>2252</v>
      </c>
      <c r="Q44" s="151">
        <v>220</v>
      </c>
      <c r="R44" s="150">
        <v>0.84599999999999997</v>
      </c>
      <c r="S44" s="150">
        <v>45.3</v>
      </c>
      <c r="T44" s="150">
        <v>1.04</v>
      </c>
      <c r="U44" s="150">
        <v>57</v>
      </c>
      <c r="V44" s="150">
        <f t="shared" si="0"/>
        <v>0.50283018867924534</v>
      </c>
      <c r="W44" s="206" t="s">
        <v>652</v>
      </c>
      <c r="X44" s="146">
        <f>VLOOKUP($W44,GRADE!$B$5:$E$36,IF($E44&lt;=20,2,IF($E44&lt;=40,3,4)),FALSE)</f>
        <v>350</v>
      </c>
      <c r="Y44" s="146">
        <f>VLOOKUP($W44,GRADE!$B$5:$F$36,5,FALSE)</f>
        <v>490</v>
      </c>
      <c r="Z44" s="219">
        <f t="shared" si="1"/>
        <v>1</v>
      </c>
      <c r="AA44" s="144">
        <f t="shared" si="2"/>
        <v>3372.7272727272725</v>
      </c>
      <c r="AB44" s="144">
        <f t="shared" si="3"/>
        <v>716.5454545454545</v>
      </c>
      <c r="AC44" s="144">
        <f t="shared" si="4"/>
        <v>51.927272727272729</v>
      </c>
      <c r="AD44" s="144">
        <f t="shared" si="5"/>
        <v>1099.6423172538045</v>
      </c>
      <c r="AE44" s="207">
        <f t="shared" si="6"/>
        <v>836.6246286217787</v>
      </c>
    </row>
    <row r="45" spans="1:31" ht="15" x14ac:dyDescent="0.25">
      <c r="A45" s="149" t="s">
        <v>508</v>
      </c>
      <c r="B45" s="150">
        <v>82</v>
      </c>
      <c r="C45" s="150">
        <v>460</v>
      </c>
      <c r="D45" s="150">
        <v>191.3</v>
      </c>
      <c r="E45" s="150">
        <v>16</v>
      </c>
      <c r="F45" s="150">
        <v>9.9</v>
      </c>
      <c r="G45" s="150">
        <v>12.7</v>
      </c>
      <c r="H45" s="150">
        <v>402.6</v>
      </c>
      <c r="I45" s="150">
        <v>105</v>
      </c>
      <c r="J45" s="151">
        <v>37268</v>
      </c>
      <c r="K45" s="151">
        <v>1871</v>
      </c>
      <c r="L45" s="150">
        <v>18.8</v>
      </c>
      <c r="M45" s="150">
        <v>4.22</v>
      </c>
      <c r="N45" s="151">
        <v>1620</v>
      </c>
      <c r="O45" s="151">
        <v>196</v>
      </c>
      <c r="P45" s="151">
        <v>1842</v>
      </c>
      <c r="Q45" s="151">
        <v>304</v>
      </c>
      <c r="R45" s="150">
        <v>0.878</v>
      </c>
      <c r="S45" s="150">
        <v>30.5</v>
      </c>
      <c r="T45" s="150">
        <v>0.92200000000000004</v>
      </c>
      <c r="U45" s="150">
        <v>71.400000000000006</v>
      </c>
      <c r="V45" s="150">
        <f t="shared" si="0"/>
        <v>0.37959428571428572</v>
      </c>
      <c r="W45" s="206" t="s">
        <v>652</v>
      </c>
      <c r="X45" s="146">
        <f>VLOOKUP($W45,GRADE!$B$5:$E$36,IF($E45&lt;=20,2,IF($E45&lt;=40,3,4)),FALSE)</f>
        <v>350</v>
      </c>
      <c r="Y45" s="146">
        <f>VLOOKUP($W45,GRADE!$B$5:$F$36,5,FALSE)</f>
        <v>490</v>
      </c>
      <c r="Z45" s="219">
        <f t="shared" si="1"/>
        <v>1</v>
      </c>
      <c r="AA45" s="144">
        <f t="shared" si="2"/>
        <v>3340.909090909091</v>
      </c>
      <c r="AB45" s="144">
        <f t="shared" si="3"/>
        <v>586.09090909090901</v>
      </c>
      <c r="AC45" s="144">
        <f t="shared" si="4"/>
        <v>74.836363636363629</v>
      </c>
      <c r="AD45" s="144">
        <f t="shared" si="5"/>
        <v>836.58054005576776</v>
      </c>
      <c r="AE45" s="207">
        <f t="shared" si="6"/>
        <v>1124.5523570499313</v>
      </c>
    </row>
    <row r="46" spans="1:31" ht="15" x14ac:dyDescent="0.25">
      <c r="A46" s="149" t="s">
        <v>509</v>
      </c>
      <c r="B46" s="150">
        <v>82.1</v>
      </c>
      <c r="C46" s="150">
        <v>465.8</v>
      </c>
      <c r="D46" s="150">
        <v>155.30000000000001</v>
      </c>
      <c r="E46" s="150">
        <v>18.899999999999999</v>
      </c>
      <c r="F46" s="150">
        <v>10.5</v>
      </c>
      <c r="G46" s="150">
        <v>12.7</v>
      </c>
      <c r="H46" s="150">
        <v>402.6</v>
      </c>
      <c r="I46" s="150">
        <v>105</v>
      </c>
      <c r="J46" s="151">
        <v>36806</v>
      </c>
      <c r="K46" s="151">
        <v>1185</v>
      </c>
      <c r="L46" s="150">
        <v>18.7</v>
      </c>
      <c r="M46" s="150">
        <v>3.36</v>
      </c>
      <c r="N46" s="151">
        <v>1580</v>
      </c>
      <c r="O46" s="151">
        <v>153</v>
      </c>
      <c r="P46" s="151">
        <v>1822</v>
      </c>
      <c r="Q46" s="151">
        <v>241</v>
      </c>
      <c r="R46" s="150">
        <v>0.874</v>
      </c>
      <c r="S46" s="150">
        <v>27</v>
      </c>
      <c r="T46" s="150">
        <v>0.59199999999999997</v>
      </c>
      <c r="U46" s="150">
        <v>92</v>
      </c>
      <c r="V46" s="150">
        <f t="shared" si="0"/>
        <v>0.40260000000000001</v>
      </c>
      <c r="W46" s="206" t="s">
        <v>652</v>
      </c>
      <c r="X46" s="146">
        <f>VLOOKUP($W46,GRADE!$B$5:$E$36,IF($E46&lt;=20,2,IF($E46&lt;=40,3,4)),FALSE)</f>
        <v>350</v>
      </c>
      <c r="Y46" s="146">
        <f>VLOOKUP($W46,GRADE!$B$5:$F$36,5,FALSE)</f>
        <v>490</v>
      </c>
      <c r="Z46" s="219">
        <f t="shared" si="1"/>
        <v>1</v>
      </c>
      <c r="AA46" s="144">
        <f t="shared" si="2"/>
        <v>3340.909090909091</v>
      </c>
      <c r="AB46" s="144">
        <f t="shared" si="3"/>
        <v>579.72727272727263</v>
      </c>
      <c r="AC46" s="144">
        <f t="shared" si="4"/>
        <v>58.418181818181814</v>
      </c>
      <c r="AD46" s="144">
        <f t="shared" si="5"/>
        <v>898.46986459349023</v>
      </c>
      <c r="AE46" s="207">
        <f t="shared" si="6"/>
        <v>1078.3953024837451</v>
      </c>
    </row>
    <row r="47" spans="1:31" ht="15" x14ac:dyDescent="0.25">
      <c r="A47" s="149" t="s">
        <v>510</v>
      </c>
      <c r="B47" s="150">
        <v>82.2</v>
      </c>
      <c r="C47" s="150">
        <v>528.29999999999995</v>
      </c>
      <c r="D47" s="150">
        <v>208.8</v>
      </c>
      <c r="E47" s="150">
        <v>13.2</v>
      </c>
      <c r="F47" s="150">
        <v>9.6</v>
      </c>
      <c r="G47" s="150">
        <v>12.7</v>
      </c>
      <c r="H47" s="150">
        <v>476.5</v>
      </c>
      <c r="I47" s="150">
        <v>105</v>
      </c>
      <c r="J47" s="151">
        <v>47539</v>
      </c>
      <c r="K47" s="151">
        <v>2007</v>
      </c>
      <c r="L47" s="150">
        <v>21.3</v>
      </c>
      <c r="M47" s="150">
        <v>4.38</v>
      </c>
      <c r="N47" s="151">
        <v>1800</v>
      </c>
      <c r="O47" s="151">
        <v>192</v>
      </c>
      <c r="P47" s="151">
        <v>2059</v>
      </c>
      <c r="Q47" s="151">
        <v>300</v>
      </c>
      <c r="R47" s="150">
        <v>0.86399999999999999</v>
      </c>
      <c r="S47" s="150">
        <v>41.6</v>
      </c>
      <c r="T47" s="150">
        <v>1.33</v>
      </c>
      <c r="U47" s="150">
        <v>51.5</v>
      </c>
      <c r="V47" s="150">
        <f t="shared" si="0"/>
        <v>0.4356571428571428</v>
      </c>
      <c r="W47" s="206" t="s">
        <v>652</v>
      </c>
      <c r="X47" s="146">
        <f>VLOOKUP($W47,GRADE!$B$5:$E$36,IF($E47&lt;=20,2,IF($E47&lt;=40,3,4)),FALSE)</f>
        <v>350</v>
      </c>
      <c r="Y47" s="146">
        <f>VLOOKUP($W47,GRADE!$B$5:$F$36,5,FALSE)</f>
        <v>490</v>
      </c>
      <c r="Z47" s="219">
        <f t="shared" si="1"/>
        <v>1</v>
      </c>
      <c r="AA47" s="144">
        <f t="shared" si="2"/>
        <v>3340.909090909091</v>
      </c>
      <c r="AB47" s="144">
        <f t="shared" si="3"/>
        <v>655.13636363636363</v>
      </c>
      <c r="AC47" s="144">
        <f t="shared" si="4"/>
        <v>73.309090909090898</v>
      </c>
      <c r="AD47" s="144">
        <f t="shared" si="5"/>
        <v>931.67957694115842</v>
      </c>
      <c r="AE47" s="207">
        <f t="shared" si="6"/>
        <v>1012.6261841370683</v>
      </c>
    </row>
    <row r="48" spans="1:31" ht="15" x14ac:dyDescent="0.25">
      <c r="A48" s="149" t="s">
        <v>511</v>
      </c>
      <c r="B48" s="150">
        <v>84.8</v>
      </c>
      <c r="C48" s="150">
        <v>534.9</v>
      </c>
      <c r="D48" s="150">
        <v>166.5</v>
      </c>
      <c r="E48" s="150">
        <v>16.5</v>
      </c>
      <c r="F48" s="150">
        <v>10.3</v>
      </c>
      <c r="G48" s="150">
        <v>12.7</v>
      </c>
      <c r="H48" s="150">
        <v>476.5</v>
      </c>
      <c r="I48" s="150">
        <v>108</v>
      </c>
      <c r="J48" s="151">
        <v>48631</v>
      </c>
      <c r="K48" s="151">
        <v>1275</v>
      </c>
      <c r="L48" s="150">
        <v>21.2</v>
      </c>
      <c r="M48" s="150">
        <v>3.44</v>
      </c>
      <c r="N48" s="151">
        <v>1818</v>
      </c>
      <c r="O48" s="151">
        <v>153</v>
      </c>
      <c r="P48" s="151">
        <v>2107</v>
      </c>
      <c r="Q48" s="151">
        <v>243</v>
      </c>
      <c r="R48" s="150">
        <v>0.86199999999999999</v>
      </c>
      <c r="S48" s="150">
        <v>35.5</v>
      </c>
      <c r="T48" s="150">
        <v>0.85699999999999998</v>
      </c>
      <c r="U48" s="150">
        <v>73.8</v>
      </c>
      <c r="V48" s="150">
        <f t="shared" si="0"/>
        <v>0.45443981481481488</v>
      </c>
      <c r="W48" s="206" t="s">
        <v>652</v>
      </c>
      <c r="X48" s="146">
        <f>VLOOKUP($W48,GRADE!$B$5:$E$36,IF($E48&lt;=20,2,IF($E48&lt;=40,3,4)),FALSE)</f>
        <v>350</v>
      </c>
      <c r="Y48" s="146">
        <f>VLOOKUP($W48,GRADE!$B$5:$F$36,5,FALSE)</f>
        <v>490</v>
      </c>
      <c r="Z48" s="219">
        <f t="shared" si="1"/>
        <v>1</v>
      </c>
      <c r="AA48" s="144">
        <f t="shared" si="2"/>
        <v>3436.363636363636</v>
      </c>
      <c r="AB48" s="144">
        <f t="shared" si="3"/>
        <v>670.40909090909088</v>
      </c>
      <c r="AC48" s="144">
        <f t="shared" si="4"/>
        <v>58.418181818181814</v>
      </c>
      <c r="AD48" s="144">
        <f t="shared" si="5"/>
        <v>1012.1026324156896</v>
      </c>
      <c r="AE48" s="207">
        <f t="shared" si="6"/>
        <v>1009.3526081107633</v>
      </c>
    </row>
    <row r="49" spans="1:33" ht="15" x14ac:dyDescent="0.25">
      <c r="A49" s="149" t="s">
        <v>512</v>
      </c>
      <c r="B49" s="150">
        <v>85.3</v>
      </c>
      <c r="C49" s="150">
        <v>417.2</v>
      </c>
      <c r="D49" s="150">
        <v>181.9</v>
      </c>
      <c r="E49" s="150">
        <v>18.2</v>
      </c>
      <c r="F49" s="150">
        <v>10.9</v>
      </c>
      <c r="G49" s="150">
        <v>12.7</v>
      </c>
      <c r="H49" s="150">
        <v>355.4</v>
      </c>
      <c r="I49" s="150">
        <v>109</v>
      </c>
      <c r="J49" s="151">
        <v>31874</v>
      </c>
      <c r="K49" s="151">
        <v>1831</v>
      </c>
      <c r="L49" s="150">
        <v>17.100000000000001</v>
      </c>
      <c r="M49" s="150">
        <v>4.0999999999999996</v>
      </c>
      <c r="N49" s="151">
        <v>1528</v>
      </c>
      <c r="O49" s="151">
        <v>201</v>
      </c>
      <c r="P49" s="151">
        <v>1742</v>
      </c>
      <c r="Q49" s="151">
        <v>313</v>
      </c>
      <c r="R49" s="150">
        <v>0.88200000000000001</v>
      </c>
      <c r="S49" s="150">
        <v>24.1</v>
      </c>
      <c r="T49" s="150">
        <v>0.72899999999999998</v>
      </c>
      <c r="U49" s="150">
        <v>95.7</v>
      </c>
      <c r="V49" s="150">
        <f t="shared" si="0"/>
        <v>0.35539999999999999</v>
      </c>
      <c r="W49" s="206" t="s">
        <v>652</v>
      </c>
      <c r="X49" s="146">
        <f>VLOOKUP($W49,GRADE!$B$5:$E$36,IF($E49&lt;=20,2,IF($E49&lt;=40,3,4)),FALSE)</f>
        <v>350</v>
      </c>
      <c r="Y49" s="146">
        <f>VLOOKUP($W49,GRADE!$B$5:$F$36,5,FALSE)</f>
        <v>490</v>
      </c>
      <c r="Z49" s="219">
        <f t="shared" si="1"/>
        <v>1</v>
      </c>
      <c r="AA49" s="144">
        <f t="shared" si="2"/>
        <v>3468.181818181818</v>
      </c>
      <c r="AB49" s="144">
        <f t="shared" si="3"/>
        <v>554.27272727272725</v>
      </c>
      <c r="AC49" s="144">
        <f t="shared" si="4"/>
        <v>76.745454545454535</v>
      </c>
      <c r="AD49" s="144">
        <f t="shared" si="5"/>
        <v>835.3828006791399</v>
      </c>
      <c r="AE49" s="207">
        <f t="shared" si="6"/>
        <v>1216.3227072015034</v>
      </c>
    </row>
    <row r="50" spans="1:33" ht="15" x14ac:dyDescent="0.25">
      <c r="A50" s="149" t="s">
        <v>513</v>
      </c>
      <c r="B50" s="150">
        <v>89.3</v>
      </c>
      <c r="C50" s="150">
        <v>463.4</v>
      </c>
      <c r="D50" s="150">
        <v>191.9</v>
      </c>
      <c r="E50" s="150">
        <v>17.7</v>
      </c>
      <c r="F50" s="150">
        <v>10.5</v>
      </c>
      <c r="G50" s="150">
        <v>12.7</v>
      </c>
      <c r="H50" s="150">
        <v>402.6</v>
      </c>
      <c r="I50" s="150">
        <v>114</v>
      </c>
      <c r="J50" s="151">
        <v>41232</v>
      </c>
      <c r="K50" s="151">
        <v>2090</v>
      </c>
      <c r="L50" s="150">
        <v>19</v>
      </c>
      <c r="M50" s="150">
        <v>4.28</v>
      </c>
      <c r="N50" s="151">
        <v>1780</v>
      </c>
      <c r="O50" s="151">
        <v>218</v>
      </c>
      <c r="P50" s="151">
        <v>2024</v>
      </c>
      <c r="Q50" s="151">
        <v>339</v>
      </c>
      <c r="R50" s="150">
        <v>0.88</v>
      </c>
      <c r="S50" s="150">
        <v>27.9</v>
      </c>
      <c r="T50" s="150">
        <v>1.04</v>
      </c>
      <c r="U50" s="150">
        <v>93.3</v>
      </c>
      <c r="V50" s="150">
        <f t="shared" si="0"/>
        <v>0.37081578947368421</v>
      </c>
      <c r="W50" s="206" t="s">
        <v>652</v>
      </c>
      <c r="X50" s="146">
        <f>VLOOKUP($W50,GRADE!$B$5:$E$36,IF($E50&lt;=20,2,IF($E50&lt;=40,3,4)),FALSE)</f>
        <v>350</v>
      </c>
      <c r="Y50" s="146">
        <f>VLOOKUP($W50,GRADE!$B$5:$F$36,5,FALSE)</f>
        <v>490</v>
      </c>
      <c r="Z50" s="219">
        <f t="shared" si="1"/>
        <v>1</v>
      </c>
      <c r="AA50" s="144">
        <f t="shared" si="2"/>
        <v>3627.272727272727</v>
      </c>
      <c r="AB50" s="144">
        <f t="shared" si="3"/>
        <v>644</v>
      </c>
      <c r="AC50" s="144">
        <f t="shared" si="4"/>
        <v>83.236363636363606</v>
      </c>
      <c r="AD50" s="144">
        <f t="shared" si="5"/>
        <v>893.8405651623516</v>
      </c>
      <c r="AE50" s="207">
        <f t="shared" si="6"/>
        <v>1247.9378830784465</v>
      </c>
    </row>
    <row r="51" spans="1:33" ht="15" x14ac:dyDescent="0.25">
      <c r="A51" s="149" t="s">
        <v>514</v>
      </c>
      <c r="B51" s="150">
        <v>92.1</v>
      </c>
      <c r="C51" s="150">
        <v>533.1</v>
      </c>
      <c r="D51" s="150">
        <v>209.3</v>
      </c>
      <c r="E51" s="150">
        <v>15.6</v>
      </c>
      <c r="F51" s="150">
        <v>10.1</v>
      </c>
      <c r="G51" s="150">
        <v>12.7</v>
      </c>
      <c r="H51" s="150">
        <v>476.5</v>
      </c>
      <c r="I51" s="150">
        <v>117</v>
      </c>
      <c r="J51" s="151">
        <v>55227</v>
      </c>
      <c r="K51" s="151">
        <v>2389</v>
      </c>
      <c r="L51" s="150">
        <v>21.7</v>
      </c>
      <c r="M51" s="150">
        <v>4.51</v>
      </c>
      <c r="N51" s="151">
        <v>2072</v>
      </c>
      <c r="O51" s="151">
        <v>228</v>
      </c>
      <c r="P51" s="151">
        <v>2360</v>
      </c>
      <c r="Q51" s="151">
        <v>355</v>
      </c>
      <c r="R51" s="150">
        <v>0.872</v>
      </c>
      <c r="S51" s="150">
        <v>36.5</v>
      </c>
      <c r="T51" s="150">
        <v>1.6</v>
      </c>
      <c r="U51" s="150">
        <v>75.7</v>
      </c>
      <c r="V51" s="150">
        <f t="shared" si="0"/>
        <v>0.41133760683760678</v>
      </c>
      <c r="W51" s="206" t="s">
        <v>652</v>
      </c>
      <c r="X51" s="146">
        <f>VLOOKUP($W51,GRADE!$B$5:$E$36,IF($E51&lt;=20,2,IF($E51&lt;=40,3,4)),FALSE)</f>
        <v>350</v>
      </c>
      <c r="Y51" s="146">
        <f>VLOOKUP($W51,GRADE!$B$5:$F$36,5,FALSE)</f>
        <v>490</v>
      </c>
      <c r="Z51" s="219">
        <f t="shared" si="1"/>
        <v>1</v>
      </c>
      <c r="AA51" s="144">
        <f t="shared" si="2"/>
        <v>3722.7272727272725</v>
      </c>
      <c r="AB51" s="144">
        <f t="shared" si="3"/>
        <v>750.90909090909088</v>
      </c>
      <c r="AC51" s="144">
        <f t="shared" si="4"/>
        <v>87.054545454545433</v>
      </c>
      <c r="AD51" s="144">
        <f t="shared" si="5"/>
        <v>989.11044524103454</v>
      </c>
      <c r="AE51" s="207">
        <f t="shared" si="6"/>
        <v>1199.6057925890584</v>
      </c>
    </row>
    <row r="52" spans="1:33" ht="15" x14ac:dyDescent="0.25">
      <c r="A52" s="149" t="s">
        <v>515</v>
      </c>
      <c r="B52" s="150">
        <v>92.2</v>
      </c>
      <c r="C52" s="150">
        <v>603</v>
      </c>
      <c r="D52" s="150">
        <v>178.8</v>
      </c>
      <c r="E52" s="150">
        <v>15</v>
      </c>
      <c r="F52" s="150">
        <v>10.9</v>
      </c>
      <c r="G52" s="150">
        <v>20</v>
      </c>
      <c r="H52" s="150">
        <v>533</v>
      </c>
      <c r="I52" s="150">
        <v>120</v>
      </c>
      <c r="J52" s="151">
        <v>66195</v>
      </c>
      <c r="K52" s="151">
        <v>1439</v>
      </c>
      <c r="L52" s="150">
        <v>23.5</v>
      </c>
      <c r="M52" s="150">
        <v>3.47</v>
      </c>
      <c r="N52" s="151">
        <v>2196</v>
      </c>
      <c r="O52" s="151">
        <v>161</v>
      </c>
      <c r="P52" s="151">
        <v>2569</v>
      </c>
      <c r="Q52" s="151">
        <v>260</v>
      </c>
      <c r="R52" s="150">
        <v>0.85</v>
      </c>
      <c r="S52" s="150">
        <v>40.4</v>
      </c>
      <c r="T52" s="150">
        <v>1.24</v>
      </c>
      <c r="U52" s="150">
        <v>81</v>
      </c>
      <c r="V52" s="150">
        <f t="shared" si="0"/>
        <v>0.48414166666666664</v>
      </c>
      <c r="W52" s="206" t="s">
        <v>652</v>
      </c>
      <c r="X52" s="146">
        <f>VLOOKUP($W52,GRADE!$B$5:$E$36,IF($E52&lt;=20,2,IF($E52&lt;=40,3,4)),FALSE)</f>
        <v>350</v>
      </c>
      <c r="Y52" s="146">
        <f>VLOOKUP($W52,GRADE!$B$5:$F$36,5,FALSE)</f>
        <v>490</v>
      </c>
      <c r="Z52" s="219">
        <f t="shared" si="1"/>
        <v>1</v>
      </c>
      <c r="AA52" s="144">
        <f t="shared" si="2"/>
        <v>3818.181818181818</v>
      </c>
      <c r="AB52" s="144">
        <f t="shared" si="3"/>
        <v>817.40909090909088</v>
      </c>
      <c r="AC52" s="144">
        <f t="shared" si="4"/>
        <v>61.472727272727269</v>
      </c>
      <c r="AD52" s="144">
        <f t="shared" si="5"/>
        <v>1207.4204909144805</v>
      </c>
      <c r="AE52" s="207">
        <f t="shared" si="6"/>
        <v>985.37945034236668</v>
      </c>
    </row>
    <row r="53" spans="1:33" ht="15" x14ac:dyDescent="0.25">
      <c r="A53" s="149" t="s">
        <v>516</v>
      </c>
      <c r="B53" s="150">
        <v>98.3</v>
      </c>
      <c r="C53" s="150">
        <v>467.2</v>
      </c>
      <c r="D53" s="150">
        <v>192.8</v>
      </c>
      <c r="E53" s="150">
        <v>19.600000000000001</v>
      </c>
      <c r="F53" s="150">
        <v>11.4</v>
      </c>
      <c r="G53" s="150">
        <v>12.7</v>
      </c>
      <c r="H53" s="150">
        <v>402.6</v>
      </c>
      <c r="I53" s="150">
        <v>126</v>
      </c>
      <c r="J53" s="151">
        <v>45944</v>
      </c>
      <c r="K53" s="151">
        <v>2348</v>
      </c>
      <c r="L53" s="150">
        <v>19.100000000000001</v>
      </c>
      <c r="M53" s="150">
        <v>4.32</v>
      </c>
      <c r="N53" s="151">
        <v>1967</v>
      </c>
      <c r="O53" s="151">
        <v>244</v>
      </c>
      <c r="P53" s="151">
        <v>2243</v>
      </c>
      <c r="Q53" s="151">
        <v>379</v>
      </c>
      <c r="R53" s="150">
        <v>0.88100000000000001</v>
      </c>
      <c r="S53" s="150">
        <v>25.5</v>
      </c>
      <c r="T53" s="150">
        <v>1.18</v>
      </c>
      <c r="U53" s="150">
        <v>124</v>
      </c>
      <c r="V53" s="150">
        <f t="shared" si="0"/>
        <v>0.36425714285714289</v>
      </c>
      <c r="W53" s="206" t="s">
        <v>652</v>
      </c>
      <c r="X53" s="146">
        <f>VLOOKUP($W53,GRADE!$B$5:$E$36,IF($E53&lt;=20,2,IF($E53&lt;=40,3,4)),FALSE)</f>
        <v>350</v>
      </c>
      <c r="Y53" s="146">
        <f>VLOOKUP($W53,GRADE!$B$5:$F$36,5,FALSE)</f>
        <v>490</v>
      </c>
      <c r="Z53" s="219">
        <f t="shared" si="1"/>
        <v>1</v>
      </c>
      <c r="AA53" s="144">
        <f t="shared" si="2"/>
        <v>4009.0909090909086</v>
      </c>
      <c r="AB53" s="144">
        <f t="shared" si="3"/>
        <v>713.68181818181813</v>
      </c>
      <c r="AC53" s="144">
        <f t="shared" si="4"/>
        <v>93.163636363636357</v>
      </c>
      <c r="AD53" s="144">
        <f t="shared" si="5"/>
        <v>978.41345691265326</v>
      </c>
      <c r="AE53" s="207">
        <f t="shared" si="6"/>
        <v>1388.3783360588229</v>
      </c>
    </row>
    <row r="54" spans="1:33" ht="15" x14ac:dyDescent="0.25">
      <c r="A54" s="149" t="s">
        <v>517</v>
      </c>
      <c r="B54" s="150">
        <v>100.3</v>
      </c>
      <c r="C54" s="150">
        <v>607.4</v>
      </c>
      <c r="D54" s="150">
        <v>179.2</v>
      </c>
      <c r="E54" s="150">
        <v>17.2</v>
      </c>
      <c r="F54" s="150">
        <v>11.3</v>
      </c>
      <c r="G54" s="150">
        <v>20</v>
      </c>
      <c r="H54" s="150">
        <v>533</v>
      </c>
      <c r="I54" s="150">
        <v>130</v>
      </c>
      <c r="J54" s="151">
        <v>74145</v>
      </c>
      <c r="K54" s="151">
        <v>1661</v>
      </c>
      <c r="L54" s="150">
        <v>23.9</v>
      </c>
      <c r="M54" s="150">
        <v>3.58</v>
      </c>
      <c r="N54" s="151">
        <v>2441</v>
      </c>
      <c r="O54" s="151">
        <v>185</v>
      </c>
      <c r="P54" s="151">
        <v>2844</v>
      </c>
      <c r="Q54" s="151">
        <v>298</v>
      </c>
      <c r="R54" s="150">
        <v>0.85699999999999998</v>
      </c>
      <c r="S54" s="150">
        <v>36.799999999999997</v>
      </c>
      <c r="T54" s="150">
        <v>1.45</v>
      </c>
      <c r="U54" s="150">
        <v>107</v>
      </c>
      <c r="V54" s="150">
        <f t="shared" si="0"/>
        <v>0.46330000000000005</v>
      </c>
      <c r="W54" s="206" t="s">
        <v>652</v>
      </c>
      <c r="X54" s="146">
        <f>VLOOKUP($W54,GRADE!$B$5:$E$36,IF($E54&lt;=20,2,IF($E54&lt;=40,3,4)),FALSE)</f>
        <v>350</v>
      </c>
      <c r="Y54" s="146">
        <f>VLOOKUP($W54,GRADE!$B$5:$F$36,5,FALSE)</f>
        <v>490</v>
      </c>
      <c r="Z54" s="219">
        <f t="shared" si="1"/>
        <v>1</v>
      </c>
      <c r="AA54" s="144">
        <f t="shared" si="2"/>
        <v>4136.363636363636</v>
      </c>
      <c r="AB54" s="144">
        <f t="shared" si="3"/>
        <v>904.90909090909088</v>
      </c>
      <c r="AC54" s="144">
        <f t="shared" si="4"/>
        <v>70.636363636363626</v>
      </c>
      <c r="AD54" s="144">
        <f t="shared" si="5"/>
        <v>1260.8631810139589</v>
      </c>
      <c r="AE54" s="207">
        <f t="shared" si="6"/>
        <v>1132.4295141772022</v>
      </c>
    </row>
    <row r="55" spans="1:33" ht="15" x14ac:dyDescent="0.25">
      <c r="A55" s="149" t="s">
        <v>518</v>
      </c>
      <c r="B55" s="150">
        <v>101</v>
      </c>
      <c r="C55" s="150">
        <v>536.70000000000005</v>
      </c>
      <c r="D55" s="150">
        <v>210</v>
      </c>
      <c r="E55" s="150">
        <v>17.399999999999999</v>
      </c>
      <c r="F55" s="150">
        <v>10.8</v>
      </c>
      <c r="G55" s="150">
        <v>12.7</v>
      </c>
      <c r="H55" s="150">
        <v>476.5</v>
      </c>
      <c r="I55" s="150">
        <v>129</v>
      </c>
      <c r="J55" s="151">
        <v>61519</v>
      </c>
      <c r="K55" s="151">
        <v>2692</v>
      </c>
      <c r="L55" s="150">
        <v>21.9</v>
      </c>
      <c r="M55" s="150">
        <v>4.57</v>
      </c>
      <c r="N55" s="151">
        <v>2292</v>
      </c>
      <c r="O55" s="151">
        <v>256</v>
      </c>
      <c r="P55" s="151">
        <v>2612</v>
      </c>
      <c r="Q55" s="151">
        <v>399</v>
      </c>
      <c r="R55" s="150">
        <v>0.874</v>
      </c>
      <c r="S55" s="150">
        <v>33.200000000000003</v>
      </c>
      <c r="T55" s="150">
        <v>1.81</v>
      </c>
      <c r="U55" s="150">
        <v>101</v>
      </c>
      <c r="V55" s="150">
        <f t="shared" si="0"/>
        <v>0.39893023255813959</v>
      </c>
      <c r="W55" s="206" t="s">
        <v>652</v>
      </c>
      <c r="X55" s="146">
        <f>VLOOKUP($W55,GRADE!$B$5:$E$36,IF($E55&lt;=20,2,IF($E55&lt;=40,3,4)),FALSE)</f>
        <v>350</v>
      </c>
      <c r="Y55" s="146">
        <f>VLOOKUP($W55,GRADE!$B$5:$F$36,5,FALSE)</f>
        <v>490</v>
      </c>
      <c r="Z55" s="219">
        <f t="shared" si="1"/>
        <v>1</v>
      </c>
      <c r="AA55" s="144">
        <f t="shared" si="2"/>
        <v>4104.545454545454</v>
      </c>
      <c r="AB55" s="144">
        <f t="shared" si="3"/>
        <v>831.09090909090901</v>
      </c>
      <c r="AC55" s="144">
        <f t="shared" si="4"/>
        <v>97.745454545454535</v>
      </c>
      <c r="AD55" s="144">
        <f t="shared" si="5"/>
        <v>1064.8050020109026</v>
      </c>
      <c r="AE55" s="207">
        <f t="shared" si="6"/>
        <v>1342.4968350302042</v>
      </c>
    </row>
    <row r="56" spans="1:33" ht="15" x14ac:dyDescent="0.25">
      <c r="A56" s="149" t="s">
        <v>519</v>
      </c>
      <c r="B56" s="150">
        <v>101.2</v>
      </c>
      <c r="C56" s="150">
        <v>602.6</v>
      </c>
      <c r="D56" s="150">
        <v>227.6</v>
      </c>
      <c r="E56" s="150">
        <v>14.8</v>
      </c>
      <c r="F56" s="150">
        <v>10.5</v>
      </c>
      <c r="G56" s="150">
        <v>20</v>
      </c>
      <c r="H56" s="150">
        <v>533</v>
      </c>
      <c r="I56" s="150">
        <v>131</v>
      </c>
      <c r="J56" s="151">
        <v>77398</v>
      </c>
      <c r="K56" s="151">
        <v>2917</v>
      </c>
      <c r="L56" s="150">
        <v>24.3</v>
      </c>
      <c r="M56" s="150">
        <v>4.72</v>
      </c>
      <c r="N56" s="151">
        <v>2569</v>
      </c>
      <c r="O56" s="151">
        <v>256</v>
      </c>
      <c r="P56" s="151">
        <v>2939</v>
      </c>
      <c r="Q56" s="151">
        <v>402</v>
      </c>
      <c r="R56" s="150">
        <v>0.86499999999999999</v>
      </c>
      <c r="S56" s="150">
        <v>40.9</v>
      </c>
      <c r="T56" s="150">
        <v>2.52</v>
      </c>
      <c r="U56" s="150">
        <v>86.7</v>
      </c>
      <c r="V56" s="150">
        <f t="shared" si="0"/>
        <v>0.42721374045801525</v>
      </c>
      <c r="W56" s="206" t="s">
        <v>652</v>
      </c>
      <c r="X56" s="146">
        <f>VLOOKUP($W56,GRADE!$B$5:$E$36,IF($E56&lt;=20,2,IF($E56&lt;=40,3,4)),FALSE)</f>
        <v>350</v>
      </c>
      <c r="Y56" s="146">
        <f>VLOOKUP($W56,GRADE!$B$5:$F$36,5,FALSE)</f>
        <v>490</v>
      </c>
      <c r="Z56" s="219">
        <f t="shared" si="1"/>
        <v>1</v>
      </c>
      <c r="AA56" s="144">
        <f t="shared" si="2"/>
        <v>4168.181818181818</v>
      </c>
      <c r="AB56" s="144">
        <f t="shared" si="3"/>
        <v>935.13636363636351</v>
      </c>
      <c r="AC56" s="144">
        <f t="shared" si="4"/>
        <v>97.745454545454535</v>
      </c>
      <c r="AD56" s="144">
        <f t="shared" si="5"/>
        <v>1162.3399321683924</v>
      </c>
      <c r="AE56" s="207">
        <f t="shared" si="6"/>
        <v>1237.5954403017358</v>
      </c>
    </row>
    <row r="57" spans="1:33" ht="15" x14ac:dyDescent="0.25">
      <c r="A57" s="149" t="s">
        <v>520</v>
      </c>
      <c r="B57" s="150">
        <v>105.8</v>
      </c>
      <c r="C57" s="150">
        <v>469.2</v>
      </c>
      <c r="D57" s="150">
        <v>194</v>
      </c>
      <c r="E57" s="150">
        <v>20.6</v>
      </c>
      <c r="F57" s="150">
        <v>12.6</v>
      </c>
      <c r="G57" s="150">
        <v>12.7</v>
      </c>
      <c r="H57" s="150">
        <v>402.6</v>
      </c>
      <c r="I57" s="150">
        <v>135</v>
      </c>
      <c r="J57" s="151">
        <v>49090</v>
      </c>
      <c r="K57" s="151">
        <v>2515</v>
      </c>
      <c r="L57" s="150">
        <v>19.100000000000001</v>
      </c>
      <c r="M57" s="150">
        <v>4.3099999999999996</v>
      </c>
      <c r="N57" s="151">
        <v>2093</v>
      </c>
      <c r="O57" s="151">
        <v>259</v>
      </c>
      <c r="P57" s="151">
        <v>2399</v>
      </c>
      <c r="Q57" s="151">
        <v>406</v>
      </c>
      <c r="R57" s="150">
        <v>0.878</v>
      </c>
      <c r="S57" s="150">
        <v>24.2</v>
      </c>
      <c r="T57" s="150">
        <v>1.27</v>
      </c>
      <c r="U57" s="150">
        <v>149</v>
      </c>
      <c r="V57" s="150">
        <f t="shared" si="0"/>
        <v>0.37576000000000004</v>
      </c>
      <c r="W57" s="206" t="s">
        <v>652</v>
      </c>
      <c r="X57" s="146">
        <f>VLOOKUP($W57,GRADE!$B$5:$E$36,IF($E57&lt;=20,2,IF($E57&lt;=40,3,4)),FALSE)</f>
        <v>330</v>
      </c>
      <c r="Y57" s="146">
        <f>VLOOKUP($W57,GRADE!$B$5:$F$36,5,FALSE)</f>
        <v>490</v>
      </c>
      <c r="Z57" s="219">
        <f t="shared" si="1"/>
        <v>1</v>
      </c>
      <c r="AA57" s="144">
        <f t="shared" si="2"/>
        <v>4049.9999999999995</v>
      </c>
      <c r="AB57" s="144">
        <f t="shared" si="3"/>
        <v>719.7</v>
      </c>
      <c r="AC57" s="144">
        <f t="shared" si="4"/>
        <v>93.239999999999981</v>
      </c>
      <c r="AD57" s="144">
        <f t="shared" si="5"/>
        <v>1023.9745810282598</v>
      </c>
      <c r="AE57" s="207">
        <f t="shared" si="6"/>
        <v>1384.3935694736522</v>
      </c>
    </row>
    <row r="58" spans="1:33" s="218" customFormat="1" ht="15" x14ac:dyDescent="0.25">
      <c r="A58" s="212" t="s">
        <v>521</v>
      </c>
      <c r="B58" s="213">
        <v>109</v>
      </c>
      <c r="C58" s="213">
        <v>539.5</v>
      </c>
      <c r="D58" s="213">
        <v>210.8</v>
      </c>
      <c r="E58" s="213">
        <v>18.8</v>
      </c>
      <c r="F58" s="213">
        <v>11.6</v>
      </c>
      <c r="G58" s="213">
        <v>12.7</v>
      </c>
      <c r="H58" s="213">
        <v>476.5</v>
      </c>
      <c r="I58" s="213">
        <v>139</v>
      </c>
      <c r="J58" s="214">
        <v>66822</v>
      </c>
      <c r="K58" s="214">
        <v>2943</v>
      </c>
      <c r="L58" s="213">
        <v>21.9</v>
      </c>
      <c r="M58" s="213">
        <v>4.5999999999999996</v>
      </c>
      <c r="N58" s="214">
        <v>2477</v>
      </c>
      <c r="O58" s="214">
        <v>279</v>
      </c>
      <c r="P58" s="214">
        <v>2829</v>
      </c>
      <c r="Q58" s="214">
        <v>436</v>
      </c>
      <c r="R58" s="213">
        <v>0.875</v>
      </c>
      <c r="S58" s="213">
        <v>30.9</v>
      </c>
      <c r="T58" s="213">
        <v>1.99</v>
      </c>
      <c r="U58" s="213">
        <v>126</v>
      </c>
      <c r="V58" s="213">
        <f t="shared" si="0"/>
        <v>0.39765467625899276</v>
      </c>
      <c r="W58" s="215" t="s">
        <v>652</v>
      </c>
      <c r="X58" s="216">
        <f>VLOOKUP($W58,GRADE!$B$5:$E$36,IF($E58&lt;=20,2,IF($E58&lt;=40,3,4)),FALSE)</f>
        <v>350</v>
      </c>
      <c r="Y58" s="216">
        <f>VLOOKUP($W58,GRADE!$B$5:$F$36,5,FALSE)</f>
        <v>490</v>
      </c>
      <c r="Z58" s="216">
        <f t="shared" si="1"/>
        <v>1</v>
      </c>
      <c r="AA58" s="217">
        <f t="shared" si="2"/>
        <v>4422.7272727272721</v>
      </c>
      <c r="AB58" s="217">
        <f t="shared" si="3"/>
        <v>900.13636363636351</v>
      </c>
      <c r="AC58" s="144">
        <f t="shared" si="4"/>
        <v>106.52727272727272</v>
      </c>
      <c r="AD58" s="144">
        <f t="shared" si="5"/>
        <v>1149.646099204437</v>
      </c>
      <c r="AE58" s="207">
        <f t="shared" si="6"/>
        <v>1456.0395886967985</v>
      </c>
    </row>
    <row r="59" spans="1:33" ht="15" x14ac:dyDescent="0.25">
      <c r="A59" s="149" t="s">
        <v>522</v>
      </c>
      <c r="B59" s="150">
        <v>113</v>
      </c>
      <c r="C59" s="150">
        <v>607.6</v>
      </c>
      <c r="D59" s="150">
        <v>228.2</v>
      </c>
      <c r="E59" s="150">
        <v>17.3</v>
      </c>
      <c r="F59" s="150">
        <v>11.1</v>
      </c>
      <c r="G59" s="150">
        <v>20</v>
      </c>
      <c r="H59" s="150">
        <v>533</v>
      </c>
      <c r="I59" s="150">
        <v>146</v>
      </c>
      <c r="J59" s="151">
        <v>88936</v>
      </c>
      <c r="K59" s="151">
        <v>3437</v>
      </c>
      <c r="L59" s="150">
        <v>24.7</v>
      </c>
      <c r="M59" s="150">
        <v>4.8499999999999996</v>
      </c>
      <c r="N59" s="151">
        <v>2927</v>
      </c>
      <c r="O59" s="151">
        <v>301</v>
      </c>
      <c r="P59" s="151">
        <v>3339</v>
      </c>
      <c r="Q59" s="151">
        <v>471</v>
      </c>
      <c r="R59" s="150">
        <v>0.872</v>
      </c>
      <c r="S59" s="150">
        <v>36.4</v>
      </c>
      <c r="T59" s="150">
        <v>2.99</v>
      </c>
      <c r="U59" s="150">
        <v>123</v>
      </c>
      <c r="V59" s="150">
        <f t="shared" si="0"/>
        <v>0.40522602739726027</v>
      </c>
      <c r="W59" s="206" t="s">
        <v>652</v>
      </c>
      <c r="X59" s="146">
        <f>VLOOKUP($W59,GRADE!$B$5:$E$36,IF($E59&lt;=20,2,IF($E59&lt;=40,3,4)),FALSE)</f>
        <v>350</v>
      </c>
      <c r="Y59" s="146">
        <f>VLOOKUP($W59,GRADE!$B$5:$F$36,5,FALSE)</f>
        <v>490</v>
      </c>
      <c r="Z59" s="219">
        <f t="shared" si="1"/>
        <v>1</v>
      </c>
      <c r="AA59" s="144">
        <f t="shared" si="2"/>
        <v>4645.454545454545</v>
      </c>
      <c r="AB59" s="144">
        <f t="shared" si="3"/>
        <v>1062.4090909090908</v>
      </c>
      <c r="AC59" s="144">
        <f t="shared" si="4"/>
        <v>114.92727272727272</v>
      </c>
      <c r="AD59" s="144">
        <f t="shared" si="5"/>
        <v>1238.9548377537369</v>
      </c>
      <c r="AE59" s="207">
        <f t="shared" si="6"/>
        <v>1450.4623850964265</v>
      </c>
    </row>
    <row r="60" spans="1:33" ht="15" x14ac:dyDescent="0.25">
      <c r="A60" s="149" t="s">
        <v>523</v>
      </c>
      <c r="B60" s="150">
        <v>122</v>
      </c>
      <c r="C60" s="150">
        <v>544.5</v>
      </c>
      <c r="D60" s="150">
        <v>211.9</v>
      </c>
      <c r="E60" s="150">
        <v>21.3</v>
      </c>
      <c r="F60" s="150">
        <v>12.7</v>
      </c>
      <c r="G60" s="150">
        <v>12.7</v>
      </c>
      <c r="H60" s="150">
        <v>476.5</v>
      </c>
      <c r="I60" s="150">
        <v>155</v>
      </c>
      <c r="J60" s="151">
        <v>76043</v>
      </c>
      <c r="K60" s="151">
        <v>3388</v>
      </c>
      <c r="L60" s="150">
        <v>22.1</v>
      </c>
      <c r="M60" s="150">
        <v>4.67</v>
      </c>
      <c r="N60" s="151">
        <v>2793</v>
      </c>
      <c r="O60" s="151">
        <v>320</v>
      </c>
      <c r="P60" s="151">
        <v>3196</v>
      </c>
      <c r="Q60" s="151">
        <v>500</v>
      </c>
      <c r="R60" s="150">
        <v>0.877</v>
      </c>
      <c r="S60" s="150">
        <v>27.6</v>
      </c>
      <c r="T60" s="150">
        <v>2.3199999999999998</v>
      </c>
      <c r="U60" s="150">
        <v>178</v>
      </c>
      <c r="V60" s="150">
        <f t="shared" si="0"/>
        <v>0.39042258064516122</v>
      </c>
      <c r="W60" s="206" t="s">
        <v>652</v>
      </c>
      <c r="X60" s="146">
        <f>VLOOKUP($W60,GRADE!$B$5:$E$36,IF($E60&lt;=20,2,IF($E60&lt;=40,3,4)),FALSE)</f>
        <v>330</v>
      </c>
      <c r="Y60" s="146">
        <f>VLOOKUP($W60,GRADE!$B$5:$F$36,5,FALSE)</f>
        <v>490</v>
      </c>
      <c r="Z60" s="219">
        <f t="shared" si="1"/>
        <v>1</v>
      </c>
      <c r="AA60" s="144">
        <f t="shared" si="2"/>
        <v>4650</v>
      </c>
      <c r="AB60" s="144">
        <f t="shared" si="3"/>
        <v>958.79999999999984</v>
      </c>
      <c r="AC60" s="144">
        <f t="shared" si="4"/>
        <v>115.19999999999999</v>
      </c>
      <c r="AD60" s="144">
        <f t="shared" si="5"/>
        <v>1197.7391141959922</v>
      </c>
      <c r="AE60" s="207">
        <f t="shared" si="6"/>
        <v>1563.5118716875802</v>
      </c>
      <c r="AG60" s="153"/>
    </row>
    <row r="61" spans="1:33" ht="15" x14ac:dyDescent="0.25">
      <c r="A61" s="149" t="s">
        <v>524</v>
      </c>
      <c r="B61" s="150">
        <v>125.1</v>
      </c>
      <c r="C61" s="150">
        <v>612.20000000000005</v>
      </c>
      <c r="D61" s="150">
        <v>229</v>
      </c>
      <c r="E61" s="150">
        <v>19.600000000000001</v>
      </c>
      <c r="F61" s="150">
        <v>11.9</v>
      </c>
      <c r="G61" s="150">
        <v>20</v>
      </c>
      <c r="H61" s="150">
        <v>533</v>
      </c>
      <c r="I61" s="150">
        <v>161</v>
      </c>
      <c r="J61" s="151">
        <v>100228</v>
      </c>
      <c r="K61" s="151">
        <v>3935</v>
      </c>
      <c r="L61" s="150">
        <v>24.9</v>
      </c>
      <c r="M61" s="150">
        <v>4.9400000000000004</v>
      </c>
      <c r="N61" s="151">
        <v>3274</v>
      </c>
      <c r="O61" s="151">
        <v>344</v>
      </c>
      <c r="P61" s="151">
        <v>3734</v>
      </c>
      <c r="Q61" s="151">
        <v>537</v>
      </c>
      <c r="R61" s="150">
        <v>0.875</v>
      </c>
      <c r="S61" s="150">
        <v>32.9</v>
      </c>
      <c r="T61" s="150">
        <v>3.45</v>
      </c>
      <c r="U61" s="150">
        <v>168</v>
      </c>
      <c r="V61" s="150">
        <f t="shared" si="0"/>
        <v>0.39395652173913043</v>
      </c>
      <c r="W61" s="206" t="s">
        <v>652</v>
      </c>
      <c r="X61" s="146">
        <f>VLOOKUP($W61,GRADE!$B$5:$E$36,IF($E61&lt;=20,2,IF($E61&lt;=40,3,4)),FALSE)</f>
        <v>350</v>
      </c>
      <c r="Y61" s="146">
        <f>VLOOKUP($W61,GRADE!$B$5:$F$36,5,FALSE)</f>
        <v>490</v>
      </c>
      <c r="Z61" s="219">
        <f t="shared" si="1"/>
        <v>1</v>
      </c>
      <c r="AA61" s="144">
        <f t="shared" si="2"/>
        <v>5122.7272727272721</v>
      </c>
      <c r="AB61" s="144">
        <f t="shared" si="3"/>
        <v>1188.090909090909</v>
      </c>
      <c r="AC61" s="144">
        <f t="shared" si="4"/>
        <v>131.34545454545454</v>
      </c>
      <c r="AD61" s="144">
        <f t="shared" si="5"/>
        <v>1338.3047472120068</v>
      </c>
      <c r="AE61" s="207">
        <f t="shared" si="6"/>
        <v>1649.0593306922742</v>
      </c>
    </row>
    <row r="62" spans="1:33" ht="15" x14ac:dyDescent="0.25">
      <c r="A62" s="149" t="s">
        <v>525</v>
      </c>
      <c r="B62" s="150">
        <v>125.2</v>
      </c>
      <c r="C62" s="150">
        <v>677.9</v>
      </c>
      <c r="D62" s="150">
        <v>253</v>
      </c>
      <c r="E62" s="150">
        <v>16.2</v>
      </c>
      <c r="F62" s="150">
        <v>11.7</v>
      </c>
      <c r="G62" s="150">
        <v>20</v>
      </c>
      <c r="H62" s="150">
        <v>605.5</v>
      </c>
      <c r="I62" s="150">
        <v>161</v>
      </c>
      <c r="J62" s="151">
        <v>119448</v>
      </c>
      <c r="K62" s="151">
        <v>4385</v>
      </c>
      <c r="L62" s="150">
        <v>27.2</v>
      </c>
      <c r="M62" s="150">
        <v>5.22</v>
      </c>
      <c r="N62" s="151">
        <v>3524</v>
      </c>
      <c r="O62" s="151">
        <v>347</v>
      </c>
      <c r="P62" s="151">
        <v>4040</v>
      </c>
      <c r="Q62" s="151">
        <v>544</v>
      </c>
      <c r="R62" s="150">
        <v>0.86299999999999999</v>
      </c>
      <c r="S62" s="150">
        <v>42.6</v>
      </c>
      <c r="T62" s="150">
        <v>4.8</v>
      </c>
      <c r="U62" s="150">
        <v>124</v>
      </c>
      <c r="V62" s="150">
        <f t="shared" si="0"/>
        <v>0.44002173913043474</v>
      </c>
      <c r="W62" s="206" t="s">
        <v>652</v>
      </c>
      <c r="X62" s="146">
        <f>VLOOKUP($W62,GRADE!$B$5:$E$36,IF($E62&lt;=20,2,IF($E62&lt;=40,3,4)),FALSE)</f>
        <v>350</v>
      </c>
      <c r="Y62" s="146">
        <f>VLOOKUP($W62,GRADE!$B$5:$F$36,5,FALSE)</f>
        <v>490</v>
      </c>
      <c r="Z62" s="219">
        <f t="shared" si="1"/>
        <v>1</v>
      </c>
      <c r="AA62" s="144">
        <f t="shared" si="2"/>
        <v>5122.7272727272721</v>
      </c>
      <c r="AB62" s="144">
        <f t="shared" si="3"/>
        <v>1285.4545454545453</v>
      </c>
      <c r="AC62" s="144">
        <f t="shared" si="4"/>
        <v>132.49090909090907</v>
      </c>
      <c r="AD62" s="144">
        <f t="shared" si="5"/>
        <v>1457.0223963141234</v>
      </c>
      <c r="AE62" s="207">
        <f t="shared" si="6"/>
        <v>1505.8449721003815</v>
      </c>
    </row>
    <row r="63" spans="1:33" ht="15" x14ac:dyDescent="0.25">
      <c r="A63" s="149" t="s">
        <v>526</v>
      </c>
      <c r="B63" s="150">
        <v>133.30000000000001</v>
      </c>
      <c r="C63" s="150">
        <v>480.6</v>
      </c>
      <c r="D63" s="150">
        <v>196.7</v>
      </c>
      <c r="E63" s="150">
        <v>26.3</v>
      </c>
      <c r="F63" s="150">
        <v>15.3</v>
      </c>
      <c r="G63" s="150">
        <v>12.7</v>
      </c>
      <c r="H63" s="150">
        <v>402.6</v>
      </c>
      <c r="I63" s="150">
        <v>170</v>
      </c>
      <c r="J63" s="151">
        <v>64058</v>
      </c>
      <c r="K63" s="151">
        <v>3350</v>
      </c>
      <c r="L63" s="150">
        <v>19.399999999999999</v>
      </c>
      <c r="M63" s="150">
        <v>4.43</v>
      </c>
      <c r="N63" s="151">
        <v>2666</v>
      </c>
      <c r="O63" s="151">
        <v>341</v>
      </c>
      <c r="P63" s="151">
        <v>3080</v>
      </c>
      <c r="Q63" s="151">
        <v>535</v>
      </c>
      <c r="R63" s="150">
        <v>0.88</v>
      </c>
      <c r="S63" s="150">
        <v>19.399999999999999</v>
      </c>
      <c r="T63" s="150">
        <v>1.73</v>
      </c>
      <c r="U63" s="150">
        <v>298</v>
      </c>
      <c r="V63" s="150">
        <f t="shared" si="0"/>
        <v>0.36234000000000005</v>
      </c>
      <c r="W63" s="206" t="s">
        <v>652</v>
      </c>
      <c r="X63" s="146">
        <f>VLOOKUP($W63,GRADE!$B$5:$E$36,IF($E63&lt;=20,2,IF($E63&lt;=40,3,4)),FALSE)</f>
        <v>330</v>
      </c>
      <c r="Y63" s="146">
        <f>VLOOKUP($W63,GRADE!$B$5:$F$36,5,FALSE)</f>
        <v>490</v>
      </c>
      <c r="Z63" s="219">
        <f t="shared" si="1"/>
        <v>1</v>
      </c>
      <c r="AA63" s="144">
        <f t="shared" si="2"/>
        <v>5100</v>
      </c>
      <c r="AB63" s="144">
        <f t="shared" si="3"/>
        <v>923.99999999999989</v>
      </c>
      <c r="AC63" s="144">
        <f t="shared" si="4"/>
        <v>122.75999999999999</v>
      </c>
      <c r="AD63" s="144">
        <f t="shared" si="5"/>
        <v>1273.6081357199316</v>
      </c>
      <c r="AE63" s="207">
        <f t="shared" si="6"/>
        <v>1792.0525116446784</v>
      </c>
    </row>
    <row r="64" spans="1:33" ht="15" x14ac:dyDescent="0.25">
      <c r="A64" s="149" t="s">
        <v>527</v>
      </c>
      <c r="B64" s="150">
        <v>133.9</v>
      </c>
      <c r="C64" s="150">
        <v>750</v>
      </c>
      <c r="D64" s="150">
        <v>264.39999999999998</v>
      </c>
      <c r="E64" s="150">
        <v>15.5</v>
      </c>
      <c r="F64" s="150">
        <v>12</v>
      </c>
      <c r="G64" s="150">
        <v>20</v>
      </c>
      <c r="H64" s="150">
        <v>679</v>
      </c>
      <c r="I64" s="150">
        <v>172</v>
      </c>
      <c r="J64" s="151">
        <v>152061</v>
      </c>
      <c r="K64" s="151">
        <v>4790</v>
      </c>
      <c r="L64" s="150">
        <v>29.8</v>
      </c>
      <c r="M64" s="150">
        <v>5.28</v>
      </c>
      <c r="N64" s="151">
        <v>4055</v>
      </c>
      <c r="O64" s="151">
        <v>362</v>
      </c>
      <c r="P64" s="151">
        <v>4683</v>
      </c>
      <c r="Q64" s="151">
        <v>571</v>
      </c>
      <c r="R64" s="150">
        <v>0.85499999999999998</v>
      </c>
      <c r="S64" s="150">
        <v>48.7</v>
      </c>
      <c r="T64" s="150">
        <v>6.46</v>
      </c>
      <c r="U64" s="150">
        <v>125</v>
      </c>
      <c r="V64" s="150">
        <f t="shared" si="0"/>
        <v>0.47372093023255812</v>
      </c>
      <c r="W64" s="206" t="s">
        <v>652</v>
      </c>
      <c r="X64" s="146">
        <f>VLOOKUP($W64,GRADE!$B$5:$E$36,IF($E64&lt;=20,2,IF($E64&lt;=40,3,4)),FALSE)</f>
        <v>350</v>
      </c>
      <c r="Y64" s="146">
        <f>VLOOKUP($W64,GRADE!$B$5:$F$36,5,FALSE)</f>
        <v>490</v>
      </c>
      <c r="Z64" s="219">
        <f t="shared" si="1"/>
        <v>2</v>
      </c>
      <c r="AA64" s="144">
        <f t="shared" si="2"/>
        <v>5472.7272727272721</v>
      </c>
      <c r="AB64" s="144">
        <f t="shared" si="3"/>
        <v>1490.0454545454545</v>
      </c>
      <c r="AC64" s="144">
        <f t="shared" si="4"/>
        <v>138.21818181818182</v>
      </c>
      <c r="AD64" s="144">
        <f t="shared" si="5"/>
        <v>1653.3212254066557</v>
      </c>
      <c r="AE64" s="207">
        <f t="shared" si="6"/>
        <v>1505.6980102136793</v>
      </c>
    </row>
    <row r="65" spans="1:31" ht="15" x14ac:dyDescent="0.25">
      <c r="A65" s="149" t="s">
        <v>528</v>
      </c>
      <c r="B65" s="150">
        <v>138.30000000000001</v>
      </c>
      <c r="C65" s="150">
        <v>549.1</v>
      </c>
      <c r="D65" s="150">
        <v>213.9</v>
      </c>
      <c r="E65" s="150">
        <v>23.6</v>
      </c>
      <c r="F65" s="150">
        <v>14.7</v>
      </c>
      <c r="G65" s="150">
        <v>12.7</v>
      </c>
      <c r="H65" s="150">
        <v>476.5</v>
      </c>
      <c r="I65" s="150">
        <v>176</v>
      </c>
      <c r="J65" s="151">
        <v>86088</v>
      </c>
      <c r="K65" s="151">
        <v>3864</v>
      </c>
      <c r="L65" s="150">
        <v>22.1</v>
      </c>
      <c r="M65" s="150">
        <v>4.68</v>
      </c>
      <c r="N65" s="151">
        <v>3136</v>
      </c>
      <c r="O65" s="151">
        <v>361</v>
      </c>
      <c r="P65" s="151">
        <v>3613</v>
      </c>
      <c r="Q65" s="151">
        <v>568</v>
      </c>
      <c r="R65" s="150">
        <v>0.873</v>
      </c>
      <c r="S65" s="150">
        <v>25</v>
      </c>
      <c r="T65" s="150">
        <v>2.67</v>
      </c>
      <c r="U65" s="150">
        <v>250</v>
      </c>
      <c r="V65" s="150">
        <f t="shared" si="0"/>
        <v>0.39798579545454543</v>
      </c>
      <c r="W65" s="206" t="s">
        <v>652</v>
      </c>
      <c r="X65" s="146">
        <f>VLOOKUP($W65,GRADE!$B$5:$E$36,IF($E65&lt;=20,2,IF($E65&lt;=40,3,4)),FALSE)</f>
        <v>330</v>
      </c>
      <c r="Y65" s="146">
        <f>VLOOKUP($W65,GRADE!$B$5:$F$36,5,FALSE)</f>
        <v>490</v>
      </c>
      <c r="Z65" s="219">
        <f t="shared" si="1"/>
        <v>1</v>
      </c>
      <c r="AA65" s="144">
        <f t="shared" si="2"/>
        <v>5280</v>
      </c>
      <c r="AB65" s="144">
        <f t="shared" si="3"/>
        <v>1083.9000000000001</v>
      </c>
      <c r="AC65" s="144">
        <f t="shared" si="4"/>
        <v>129.95999999999998</v>
      </c>
      <c r="AD65" s="144">
        <f t="shared" si="5"/>
        <v>1398.0715747010236</v>
      </c>
      <c r="AE65" s="207">
        <f t="shared" si="6"/>
        <v>1748.6923517279993</v>
      </c>
    </row>
    <row r="66" spans="1:31" ht="15" x14ac:dyDescent="0.25">
      <c r="A66" s="149" t="s">
        <v>529</v>
      </c>
      <c r="B66" s="150">
        <v>139.9</v>
      </c>
      <c r="C66" s="150">
        <v>617.20000000000005</v>
      </c>
      <c r="D66" s="150">
        <v>230.2</v>
      </c>
      <c r="E66" s="150">
        <v>22.1</v>
      </c>
      <c r="F66" s="150">
        <v>13.1</v>
      </c>
      <c r="G66" s="150">
        <v>20</v>
      </c>
      <c r="H66" s="150">
        <v>533</v>
      </c>
      <c r="I66" s="150">
        <v>180</v>
      </c>
      <c r="J66" s="151">
        <v>113395</v>
      </c>
      <c r="K66" s="151">
        <v>4509</v>
      </c>
      <c r="L66" s="150">
        <v>25.1</v>
      </c>
      <c r="M66" s="150">
        <v>5</v>
      </c>
      <c r="N66" s="151">
        <v>3674</v>
      </c>
      <c r="O66" s="151">
        <v>392</v>
      </c>
      <c r="P66" s="151">
        <v>4200</v>
      </c>
      <c r="Q66" s="151">
        <v>614</v>
      </c>
      <c r="R66" s="150">
        <v>0.876</v>
      </c>
      <c r="S66" s="150">
        <v>29.6</v>
      </c>
      <c r="T66" s="150">
        <v>3.99</v>
      </c>
      <c r="U66" s="150">
        <v>233</v>
      </c>
      <c r="V66" s="150">
        <f t="shared" si="0"/>
        <v>0.38790555555555556</v>
      </c>
      <c r="W66" s="206" t="s">
        <v>652</v>
      </c>
      <c r="X66" s="146">
        <f>VLOOKUP($W66,GRADE!$B$5:$E$36,IF($E66&lt;=20,2,IF($E66&lt;=40,3,4)),FALSE)</f>
        <v>330</v>
      </c>
      <c r="Y66" s="146">
        <f>VLOOKUP($W66,GRADE!$B$5:$F$36,5,FALSE)</f>
        <v>490</v>
      </c>
      <c r="Z66" s="219">
        <f t="shared" si="1"/>
        <v>1</v>
      </c>
      <c r="AA66" s="144">
        <f t="shared" si="2"/>
        <v>5400</v>
      </c>
      <c r="AB66" s="144">
        <f t="shared" si="3"/>
        <v>1260</v>
      </c>
      <c r="AC66" s="144">
        <f t="shared" si="4"/>
        <v>141.12</v>
      </c>
      <c r="AD66" s="144">
        <f t="shared" si="5"/>
        <v>1400.4185035452795</v>
      </c>
      <c r="AE66" s="207">
        <f t="shared" si="6"/>
        <v>1762.3339838884117</v>
      </c>
    </row>
    <row r="67" spans="1:31" ht="15" x14ac:dyDescent="0.25">
      <c r="A67" s="149" t="s">
        <v>530</v>
      </c>
      <c r="B67" s="150">
        <v>140.1</v>
      </c>
      <c r="C67" s="150">
        <v>683.5</v>
      </c>
      <c r="D67" s="150">
        <v>253.7</v>
      </c>
      <c r="E67" s="150">
        <v>19</v>
      </c>
      <c r="F67" s="150">
        <v>12.4</v>
      </c>
      <c r="G67" s="150">
        <v>20</v>
      </c>
      <c r="H67" s="150">
        <v>605.5</v>
      </c>
      <c r="I67" s="150">
        <v>180</v>
      </c>
      <c r="J67" s="151">
        <v>137723</v>
      </c>
      <c r="K67" s="151">
        <v>5186</v>
      </c>
      <c r="L67" s="150">
        <v>27.7</v>
      </c>
      <c r="M67" s="150">
        <v>5.37</v>
      </c>
      <c r="N67" s="151">
        <v>4030</v>
      </c>
      <c r="O67" s="151">
        <v>409</v>
      </c>
      <c r="P67" s="151">
        <v>4604</v>
      </c>
      <c r="Q67" s="151">
        <v>640</v>
      </c>
      <c r="R67" s="150">
        <v>0.86899999999999999</v>
      </c>
      <c r="S67" s="150">
        <v>37.700000000000003</v>
      </c>
      <c r="T67" s="150">
        <v>5.72</v>
      </c>
      <c r="U67" s="150">
        <v>179</v>
      </c>
      <c r="V67" s="150">
        <f t="shared" ref="V67:V130" si="7">(H67*F67)/(I67*10^2)</f>
        <v>0.41712222222222223</v>
      </c>
      <c r="W67" s="206" t="s">
        <v>652</v>
      </c>
      <c r="X67" s="146">
        <f>VLOOKUP($W67,GRADE!$B$5:$E$36,IF($E67&lt;=20,2,IF($E67&lt;=40,3,4)),FALSE)</f>
        <v>350</v>
      </c>
      <c r="Y67" s="146">
        <f>VLOOKUP($W67,GRADE!$B$5:$F$36,5,FALSE)</f>
        <v>490</v>
      </c>
      <c r="Z67" s="219">
        <f t="shared" ref="Z67:Z130" si="8">MAX(IF((D67/2/E67)&lt;=(9.4*SQRT(250/X67)),1,IF((D67/2/E67)&lt;=(10.5*SQRT(250/X67)),2,IF((D67/2/E67)&lt;=(15.7*SQRT(250/X67)),3,4))),IF((H67/F67)&lt;=(84*SQRT(250/X67)),1,IF((H67/F67)&lt;=(105*SQRT(250/X67)),2,IF((H67/F67)&lt;=(126*SQRT(250/X67)),3,4))))</f>
        <v>1</v>
      </c>
      <c r="AA67" s="144">
        <f t="shared" ref="AA67:AA130" si="9">MIN((I67*10^2*X67/1.1),(0.9*I67*10^2*1*Y67/1.25))/10^3</f>
        <v>5727.272727272727</v>
      </c>
      <c r="AB67" s="144">
        <f t="shared" ref="AB67:AB130" si="10">MIN(IF(Z67&lt;=2,1,IF(Z67=3,N67/P67,0))*P67*10^3,1.2*N67*10^3)*X67/1.1/10^6</f>
        <v>1464.9090909090908</v>
      </c>
      <c r="AC67" s="144">
        <f t="shared" ref="AC67:AC130" si="11">MIN(IF(Z67&lt;=2,1,IF(Z67=3,O67/Q67,0))*Q67*10^3,1.2*O67*10^3)*X67/1.1/10^6</f>
        <v>156.16363636363633</v>
      </c>
      <c r="AD67" s="144">
        <f t="shared" ref="AD67:AD130" si="12">IF((H67/F67)&gt;(67*SQRT(250/X67)),0,(C67*F67)*X67/(SQRT(3)*1.1)/10^3)</f>
        <v>1556.9509682012854</v>
      </c>
      <c r="AE67" s="207">
        <f t="shared" ref="AE67:AE130" si="13">IF((D67/2/E67)&gt;(67*SQRT(250/X67)),0,(2*D67*E67)*X67/(SQRT(3)*1.1)/10^3)</f>
        <v>1771.0009561839336</v>
      </c>
    </row>
    <row r="68" spans="1:31" ht="15" x14ac:dyDescent="0.25">
      <c r="A68" s="149" t="s">
        <v>531</v>
      </c>
      <c r="B68" s="150">
        <v>146.9</v>
      </c>
      <c r="C68" s="150">
        <v>754</v>
      </c>
      <c r="D68" s="150">
        <v>265.2</v>
      </c>
      <c r="E68" s="150">
        <v>17.5</v>
      </c>
      <c r="F68" s="150">
        <v>12.8</v>
      </c>
      <c r="G68" s="150">
        <v>20</v>
      </c>
      <c r="H68" s="150">
        <v>679</v>
      </c>
      <c r="I68" s="150">
        <v>188</v>
      </c>
      <c r="J68" s="151">
        <v>169871</v>
      </c>
      <c r="K68" s="151">
        <v>5457</v>
      </c>
      <c r="L68" s="150">
        <v>30</v>
      </c>
      <c r="M68" s="150">
        <v>5.38</v>
      </c>
      <c r="N68" s="151">
        <v>4506</v>
      </c>
      <c r="O68" s="151">
        <v>412</v>
      </c>
      <c r="P68" s="151">
        <v>5195</v>
      </c>
      <c r="Q68" s="151">
        <v>648</v>
      </c>
      <c r="R68" s="150">
        <v>0.85899999999999999</v>
      </c>
      <c r="S68" s="150">
        <v>44.4</v>
      </c>
      <c r="T68" s="150">
        <v>7.4</v>
      </c>
      <c r="U68" s="150">
        <v>166</v>
      </c>
      <c r="V68" s="150">
        <f t="shared" si="7"/>
        <v>0.46229787234042558</v>
      </c>
      <c r="W68" s="206" t="s">
        <v>652</v>
      </c>
      <c r="X68" s="146">
        <f>VLOOKUP($W68,GRADE!$B$5:$E$36,IF($E68&lt;=20,2,IF($E68&lt;=40,3,4)),FALSE)</f>
        <v>350</v>
      </c>
      <c r="Y68" s="146">
        <f>VLOOKUP($W68,GRADE!$B$5:$F$36,5,FALSE)</f>
        <v>490</v>
      </c>
      <c r="Z68" s="219">
        <f t="shared" si="8"/>
        <v>1</v>
      </c>
      <c r="AA68" s="144">
        <f t="shared" si="9"/>
        <v>5981.818181818182</v>
      </c>
      <c r="AB68" s="144">
        <f t="shared" si="10"/>
        <v>1652.9545454545453</v>
      </c>
      <c r="AC68" s="144">
        <f t="shared" si="11"/>
        <v>157.30909090909091</v>
      </c>
      <c r="AD68" s="144">
        <f t="shared" si="12"/>
        <v>1772.9482011827463</v>
      </c>
      <c r="AE68" s="207">
        <f t="shared" si="13"/>
        <v>1705.1252904693972</v>
      </c>
    </row>
    <row r="69" spans="1:31" ht="15" x14ac:dyDescent="0.25">
      <c r="A69" s="149" t="s">
        <v>532</v>
      </c>
      <c r="B69" s="150">
        <v>149.19999999999999</v>
      </c>
      <c r="C69" s="150">
        <v>612.4</v>
      </c>
      <c r="D69" s="150">
        <v>304.8</v>
      </c>
      <c r="E69" s="150">
        <v>19.7</v>
      </c>
      <c r="F69" s="150">
        <v>11.8</v>
      </c>
      <c r="G69" s="150">
        <v>20</v>
      </c>
      <c r="H69" s="150">
        <v>533</v>
      </c>
      <c r="I69" s="150">
        <v>191</v>
      </c>
      <c r="J69" s="151">
        <v>126738</v>
      </c>
      <c r="K69" s="151">
        <v>9309</v>
      </c>
      <c r="L69" s="150">
        <v>25.8</v>
      </c>
      <c r="M69" s="150">
        <v>6.98</v>
      </c>
      <c r="N69" s="151">
        <v>4139</v>
      </c>
      <c r="O69" s="151">
        <v>611</v>
      </c>
      <c r="P69" s="151">
        <v>4625</v>
      </c>
      <c r="Q69" s="151">
        <v>938</v>
      </c>
      <c r="R69" s="150">
        <v>0.88700000000000001</v>
      </c>
      <c r="S69" s="150">
        <v>32.200000000000003</v>
      </c>
      <c r="T69" s="150">
        <v>8.18</v>
      </c>
      <c r="U69" s="150">
        <v>208</v>
      </c>
      <c r="V69" s="150">
        <f t="shared" si="7"/>
        <v>0.3292879581151833</v>
      </c>
      <c r="W69" s="206" t="s">
        <v>652</v>
      </c>
      <c r="X69" s="146">
        <f>VLOOKUP($W69,GRADE!$B$5:$E$36,IF($E69&lt;=20,2,IF($E69&lt;=40,3,4)),FALSE)</f>
        <v>350</v>
      </c>
      <c r="Y69" s="146">
        <f>VLOOKUP($W69,GRADE!$B$5:$F$36,5,FALSE)</f>
        <v>490</v>
      </c>
      <c r="Z69" s="219">
        <f t="shared" si="8"/>
        <v>1</v>
      </c>
      <c r="AA69" s="144">
        <f t="shared" si="9"/>
        <v>6077.272727272727</v>
      </c>
      <c r="AB69" s="144">
        <f t="shared" si="10"/>
        <v>1471.590909090909</v>
      </c>
      <c r="AC69" s="144">
        <f t="shared" si="11"/>
        <v>233.29090909090903</v>
      </c>
      <c r="AD69" s="144">
        <f t="shared" si="12"/>
        <v>1327.4920263978472</v>
      </c>
      <c r="AE69" s="207">
        <f t="shared" si="13"/>
        <v>2206.1036660506193</v>
      </c>
    </row>
    <row r="70" spans="1:31" ht="15" x14ac:dyDescent="0.25">
      <c r="A70" s="149" t="s">
        <v>533</v>
      </c>
      <c r="B70" s="150">
        <v>150.6</v>
      </c>
      <c r="C70" s="150">
        <v>542.5</v>
      </c>
      <c r="D70" s="150">
        <v>312</v>
      </c>
      <c r="E70" s="150">
        <v>20.3</v>
      </c>
      <c r="F70" s="150">
        <v>12.7</v>
      </c>
      <c r="G70" s="150">
        <v>12.7</v>
      </c>
      <c r="H70" s="150">
        <v>476.5</v>
      </c>
      <c r="I70" s="150">
        <v>192</v>
      </c>
      <c r="J70" s="151">
        <v>100633</v>
      </c>
      <c r="K70" s="151">
        <v>10285</v>
      </c>
      <c r="L70" s="150">
        <v>22.9</v>
      </c>
      <c r="M70" s="150">
        <v>7.32</v>
      </c>
      <c r="N70" s="151">
        <v>3710</v>
      </c>
      <c r="O70" s="151">
        <v>659</v>
      </c>
      <c r="P70" s="151">
        <v>4142</v>
      </c>
      <c r="Q70" s="151">
        <v>1009</v>
      </c>
      <c r="R70" s="150">
        <v>0.88500000000000001</v>
      </c>
      <c r="S70" s="150">
        <v>27.8</v>
      </c>
      <c r="T70" s="150">
        <v>7.01</v>
      </c>
      <c r="U70" s="150">
        <v>216</v>
      </c>
      <c r="V70" s="150">
        <f t="shared" si="7"/>
        <v>0.31518489583333331</v>
      </c>
      <c r="W70" s="206" t="s">
        <v>652</v>
      </c>
      <c r="X70" s="146">
        <f>VLOOKUP($W70,GRADE!$B$5:$E$36,IF($E70&lt;=20,2,IF($E70&lt;=40,3,4)),FALSE)</f>
        <v>330</v>
      </c>
      <c r="Y70" s="146">
        <f>VLOOKUP($W70,GRADE!$B$5:$F$36,5,FALSE)</f>
        <v>490</v>
      </c>
      <c r="Z70" s="219">
        <f t="shared" si="8"/>
        <v>1</v>
      </c>
      <c r="AA70" s="144">
        <f t="shared" si="9"/>
        <v>5760</v>
      </c>
      <c r="AB70" s="144">
        <f t="shared" si="10"/>
        <v>1242.5999999999999</v>
      </c>
      <c r="AC70" s="144">
        <f t="shared" si="11"/>
        <v>237.23999999999998</v>
      </c>
      <c r="AD70" s="144">
        <f t="shared" si="12"/>
        <v>1193.3397051447671</v>
      </c>
      <c r="AE70" s="207">
        <f t="shared" si="13"/>
        <v>2194.0233989636486</v>
      </c>
    </row>
    <row r="71" spans="1:31" ht="15" x14ac:dyDescent="0.25">
      <c r="A71" s="149" t="s">
        <v>534</v>
      </c>
      <c r="B71" s="150">
        <v>152.4</v>
      </c>
      <c r="C71" s="150">
        <v>687.5</v>
      </c>
      <c r="D71" s="150">
        <v>254.5</v>
      </c>
      <c r="E71" s="150">
        <v>21</v>
      </c>
      <c r="F71" s="150">
        <v>13.2</v>
      </c>
      <c r="G71" s="150">
        <v>20</v>
      </c>
      <c r="H71" s="150">
        <v>605.5</v>
      </c>
      <c r="I71" s="150">
        <v>196</v>
      </c>
      <c r="J71" s="151">
        <v>151811</v>
      </c>
      <c r="K71" s="151">
        <v>5786</v>
      </c>
      <c r="L71" s="150">
        <v>27.9</v>
      </c>
      <c r="M71" s="150">
        <v>5.44</v>
      </c>
      <c r="N71" s="151">
        <v>4416</v>
      </c>
      <c r="O71" s="151">
        <v>455</v>
      </c>
      <c r="P71" s="151">
        <v>5047</v>
      </c>
      <c r="Q71" s="151">
        <v>712</v>
      </c>
      <c r="R71" s="150">
        <v>0.872</v>
      </c>
      <c r="S71" s="150">
        <v>34.700000000000003</v>
      </c>
      <c r="T71" s="150">
        <v>6.43</v>
      </c>
      <c r="U71" s="150">
        <v>231</v>
      </c>
      <c r="V71" s="150">
        <f t="shared" si="7"/>
        <v>0.40778571428571425</v>
      </c>
      <c r="W71" s="206" t="s">
        <v>652</v>
      </c>
      <c r="X71" s="146">
        <f>VLOOKUP($W71,GRADE!$B$5:$E$36,IF($E71&lt;=20,2,IF($E71&lt;=40,3,4)),FALSE)</f>
        <v>330</v>
      </c>
      <c r="Y71" s="146">
        <f>VLOOKUP($W71,GRADE!$B$5:$F$36,5,FALSE)</f>
        <v>490</v>
      </c>
      <c r="Z71" s="219">
        <f t="shared" si="8"/>
        <v>1</v>
      </c>
      <c r="AA71" s="144">
        <f t="shared" si="9"/>
        <v>5879.9999999999991</v>
      </c>
      <c r="AB71" s="144">
        <f t="shared" si="10"/>
        <v>1514.0999999999997</v>
      </c>
      <c r="AC71" s="144">
        <f t="shared" si="11"/>
        <v>163.80000000000001</v>
      </c>
      <c r="AD71" s="144">
        <f t="shared" si="12"/>
        <v>1571.8361078687562</v>
      </c>
      <c r="AE71" s="207">
        <f t="shared" si="13"/>
        <v>1851.389108210373</v>
      </c>
    </row>
    <row r="72" spans="1:31" ht="15" x14ac:dyDescent="0.25">
      <c r="A72" s="149" t="s">
        <v>535</v>
      </c>
      <c r="B72" s="150">
        <v>161.4</v>
      </c>
      <c r="C72" s="150">
        <v>492</v>
      </c>
      <c r="D72" s="150">
        <v>199.4</v>
      </c>
      <c r="E72" s="150">
        <v>32</v>
      </c>
      <c r="F72" s="150">
        <v>18</v>
      </c>
      <c r="G72" s="150">
        <v>12.7</v>
      </c>
      <c r="H72" s="150">
        <v>402.6</v>
      </c>
      <c r="I72" s="150">
        <v>206</v>
      </c>
      <c r="J72" s="151">
        <v>79996</v>
      </c>
      <c r="K72" s="151">
        <v>4251</v>
      </c>
      <c r="L72" s="150">
        <v>19.7</v>
      </c>
      <c r="M72" s="150">
        <v>4.54</v>
      </c>
      <c r="N72" s="151">
        <v>3252</v>
      </c>
      <c r="O72" s="151">
        <v>426</v>
      </c>
      <c r="P72" s="151">
        <v>3789</v>
      </c>
      <c r="Q72" s="151">
        <v>672</v>
      </c>
      <c r="R72" s="150">
        <v>0.88200000000000001</v>
      </c>
      <c r="S72" s="150">
        <v>16.3</v>
      </c>
      <c r="T72" s="150">
        <v>2.25</v>
      </c>
      <c r="U72" s="150">
        <v>524</v>
      </c>
      <c r="V72" s="150">
        <f t="shared" si="7"/>
        <v>0.35178640776699033</v>
      </c>
      <c r="W72" s="206" t="s">
        <v>652</v>
      </c>
      <c r="X72" s="146">
        <f>VLOOKUP($W72,GRADE!$B$5:$E$36,IF($E72&lt;=20,2,IF($E72&lt;=40,3,4)),FALSE)</f>
        <v>330</v>
      </c>
      <c r="Y72" s="146">
        <f>VLOOKUP($W72,GRADE!$B$5:$F$36,5,FALSE)</f>
        <v>490</v>
      </c>
      <c r="Z72" s="219">
        <f t="shared" si="8"/>
        <v>1</v>
      </c>
      <c r="AA72" s="144">
        <f t="shared" si="9"/>
        <v>6179.9999999999991</v>
      </c>
      <c r="AB72" s="144">
        <f t="shared" si="10"/>
        <v>1136.7</v>
      </c>
      <c r="AC72" s="144">
        <f t="shared" si="11"/>
        <v>153.36000000000001</v>
      </c>
      <c r="AD72" s="144">
        <f t="shared" si="12"/>
        <v>1533.9041951829977</v>
      </c>
      <c r="AE72" s="207">
        <f t="shared" si="13"/>
        <v>2210.3739585870985</v>
      </c>
    </row>
    <row r="73" spans="1:31" ht="15" x14ac:dyDescent="0.25">
      <c r="A73" s="149" t="s">
        <v>536</v>
      </c>
      <c r="B73" s="150">
        <v>170.2</v>
      </c>
      <c r="C73" s="150">
        <v>692.9</v>
      </c>
      <c r="D73" s="150">
        <v>255.8</v>
      </c>
      <c r="E73" s="150">
        <v>23.7</v>
      </c>
      <c r="F73" s="150">
        <v>14.5</v>
      </c>
      <c r="G73" s="150">
        <v>20</v>
      </c>
      <c r="H73" s="150">
        <v>605.5</v>
      </c>
      <c r="I73" s="150">
        <v>218</v>
      </c>
      <c r="J73" s="151">
        <v>171782</v>
      </c>
      <c r="K73" s="151">
        <v>6633</v>
      </c>
      <c r="L73" s="150">
        <v>28.1</v>
      </c>
      <c r="M73" s="150">
        <v>5.51</v>
      </c>
      <c r="N73" s="151">
        <v>4958</v>
      </c>
      <c r="O73" s="151">
        <v>519</v>
      </c>
      <c r="P73" s="151">
        <v>5677</v>
      </c>
      <c r="Q73" s="151">
        <v>813</v>
      </c>
      <c r="R73" s="150">
        <v>0.873</v>
      </c>
      <c r="S73" s="150">
        <v>31.2</v>
      </c>
      <c r="T73" s="150">
        <v>7.43</v>
      </c>
      <c r="U73" s="150">
        <v>322</v>
      </c>
      <c r="V73" s="150">
        <f t="shared" si="7"/>
        <v>0.4027408256880734</v>
      </c>
      <c r="W73" s="206" t="s">
        <v>652</v>
      </c>
      <c r="X73" s="146">
        <f>VLOOKUP($W73,GRADE!$B$5:$E$36,IF($E73&lt;=20,2,IF($E73&lt;=40,3,4)),FALSE)</f>
        <v>330</v>
      </c>
      <c r="Y73" s="146">
        <f>VLOOKUP($W73,GRADE!$B$5:$F$36,5,FALSE)</f>
        <v>490</v>
      </c>
      <c r="Z73" s="219">
        <f t="shared" si="8"/>
        <v>1</v>
      </c>
      <c r="AA73" s="144">
        <f t="shared" si="9"/>
        <v>6539.9999999999991</v>
      </c>
      <c r="AB73" s="144">
        <f t="shared" si="10"/>
        <v>1703.0999999999997</v>
      </c>
      <c r="AC73" s="144">
        <f t="shared" si="11"/>
        <v>186.83999999999997</v>
      </c>
      <c r="AD73" s="144">
        <f t="shared" si="12"/>
        <v>1740.2001066184885</v>
      </c>
      <c r="AE73" s="207">
        <f t="shared" si="13"/>
        <v>2100.0977477708029</v>
      </c>
    </row>
    <row r="74" spans="1:31" ht="15" x14ac:dyDescent="0.25">
      <c r="A74" s="149" t="s">
        <v>537</v>
      </c>
      <c r="B74" s="150">
        <v>173</v>
      </c>
      <c r="C74" s="150">
        <v>762.2</v>
      </c>
      <c r="D74" s="150">
        <v>266.7</v>
      </c>
      <c r="E74" s="150">
        <v>21.6</v>
      </c>
      <c r="F74" s="150">
        <v>14.3</v>
      </c>
      <c r="G74" s="150">
        <v>20</v>
      </c>
      <c r="H74" s="150">
        <v>679</v>
      </c>
      <c r="I74" s="150">
        <v>221</v>
      </c>
      <c r="J74" s="151">
        <v>206651</v>
      </c>
      <c r="K74" s="151">
        <v>6852</v>
      </c>
      <c r="L74" s="150">
        <v>30.5</v>
      </c>
      <c r="M74" s="150">
        <v>5.56</v>
      </c>
      <c r="N74" s="151">
        <v>5422</v>
      </c>
      <c r="O74" s="151">
        <v>514</v>
      </c>
      <c r="P74" s="151">
        <v>6237</v>
      </c>
      <c r="Q74" s="151">
        <v>809</v>
      </c>
      <c r="R74" s="150">
        <v>0.86499999999999999</v>
      </c>
      <c r="S74" s="150">
        <v>37.5</v>
      </c>
      <c r="T74" s="150">
        <v>9.4</v>
      </c>
      <c r="U74" s="150">
        <v>277</v>
      </c>
      <c r="V74" s="150">
        <f t="shared" si="7"/>
        <v>0.43935294117647061</v>
      </c>
      <c r="W74" s="206" t="s">
        <v>652</v>
      </c>
      <c r="X74" s="146">
        <f>VLOOKUP($W74,GRADE!$B$5:$E$36,IF($E74&lt;=20,2,IF($E74&lt;=40,3,4)),FALSE)</f>
        <v>330</v>
      </c>
      <c r="Y74" s="146">
        <f>VLOOKUP($W74,GRADE!$B$5:$F$36,5,FALSE)</f>
        <v>490</v>
      </c>
      <c r="Z74" s="219">
        <f t="shared" si="8"/>
        <v>1</v>
      </c>
      <c r="AA74" s="144">
        <f t="shared" si="9"/>
        <v>6629.9999999999991</v>
      </c>
      <c r="AB74" s="144">
        <f t="shared" si="10"/>
        <v>1871.0999999999997</v>
      </c>
      <c r="AC74" s="144">
        <f t="shared" si="11"/>
        <v>185.03999999999996</v>
      </c>
      <c r="AD74" s="144">
        <f t="shared" si="12"/>
        <v>1887.8418495064675</v>
      </c>
      <c r="AE74" s="207">
        <f t="shared" si="13"/>
        <v>1995.5719456356367</v>
      </c>
    </row>
    <row r="75" spans="1:31" ht="15" x14ac:dyDescent="0.25">
      <c r="A75" s="149" t="s">
        <v>538</v>
      </c>
      <c r="B75" s="150">
        <v>175.9</v>
      </c>
      <c r="C75" s="150">
        <v>834.9</v>
      </c>
      <c r="D75" s="150">
        <v>291.7</v>
      </c>
      <c r="E75" s="150">
        <v>18.8</v>
      </c>
      <c r="F75" s="150">
        <v>14</v>
      </c>
      <c r="G75" s="150">
        <v>20</v>
      </c>
      <c r="H75" s="150">
        <v>757.3</v>
      </c>
      <c r="I75" s="150">
        <v>225</v>
      </c>
      <c r="J75" s="151">
        <v>247120</v>
      </c>
      <c r="K75" s="151">
        <v>7800</v>
      </c>
      <c r="L75" s="150">
        <v>33.200000000000003</v>
      </c>
      <c r="M75" s="150">
        <v>5.89</v>
      </c>
      <c r="N75" s="151">
        <v>5920</v>
      </c>
      <c r="O75" s="151">
        <v>535</v>
      </c>
      <c r="P75" s="151">
        <v>6836</v>
      </c>
      <c r="Q75" s="151">
        <v>843</v>
      </c>
      <c r="R75" s="150">
        <v>0.85699999999999998</v>
      </c>
      <c r="S75" s="150">
        <v>46</v>
      </c>
      <c r="T75" s="150">
        <v>13</v>
      </c>
      <c r="U75" s="150">
        <v>227</v>
      </c>
      <c r="V75" s="150">
        <f t="shared" si="7"/>
        <v>0.47120888888888884</v>
      </c>
      <c r="W75" s="206" t="s">
        <v>652</v>
      </c>
      <c r="X75" s="146">
        <f>VLOOKUP($W75,GRADE!$B$5:$E$36,IF($E75&lt;=20,2,IF($E75&lt;=40,3,4)),FALSE)</f>
        <v>350</v>
      </c>
      <c r="Y75" s="146">
        <f>VLOOKUP($W75,GRADE!$B$5:$F$36,5,FALSE)</f>
        <v>490</v>
      </c>
      <c r="Z75" s="219">
        <f t="shared" si="8"/>
        <v>1</v>
      </c>
      <c r="AA75" s="144">
        <f t="shared" si="9"/>
        <v>7159.0909090909081</v>
      </c>
      <c r="AB75" s="144">
        <f t="shared" si="10"/>
        <v>2175.090909090909</v>
      </c>
      <c r="AC75" s="144">
        <f t="shared" si="11"/>
        <v>204.27272727272725</v>
      </c>
      <c r="AD75" s="144">
        <f t="shared" si="12"/>
        <v>2147.2233861431373</v>
      </c>
      <c r="AE75" s="207">
        <f t="shared" si="13"/>
        <v>2014.8327705069073</v>
      </c>
    </row>
    <row r="76" spans="1:31" ht="15" x14ac:dyDescent="0.25">
      <c r="A76" s="149" t="s">
        <v>539</v>
      </c>
      <c r="B76" s="150">
        <v>179</v>
      </c>
      <c r="C76" s="150">
        <v>620.20000000000005</v>
      </c>
      <c r="D76" s="150">
        <v>307.10000000000002</v>
      </c>
      <c r="E76" s="150">
        <v>23.6</v>
      </c>
      <c r="F76" s="150">
        <v>14.1</v>
      </c>
      <c r="G76" s="150">
        <v>20</v>
      </c>
      <c r="H76" s="150">
        <v>533</v>
      </c>
      <c r="I76" s="150">
        <v>229</v>
      </c>
      <c r="J76" s="151">
        <v>153886</v>
      </c>
      <c r="K76" s="151">
        <v>11410</v>
      </c>
      <c r="L76" s="150">
        <v>25.9</v>
      </c>
      <c r="M76" s="150">
        <v>7.06</v>
      </c>
      <c r="N76" s="151">
        <v>4962</v>
      </c>
      <c r="O76" s="151">
        <v>743</v>
      </c>
      <c r="P76" s="151">
        <v>5578</v>
      </c>
      <c r="Q76" s="151">
        <v>1145</v>
      </c>
      <c r="R76" s="150">
        <v>0.88600000000000001</v>
      </c>
      <c r="S76" s="150">
        <v>27.3</v>
      </c>
      <c r="T76" s="150">
        <v>10.199999999999999</v>
      </c>
      <c r="U76" s="150">
        <v>351</v>
      </c>
      <c r="V76" s="150">
        <f t="shared" si="7"/>
        <v>0.32817903930131004</v>
      </c>
      <c r="W76" s="206" t="s">
        <v>652</v>
      </c>
      <c r="X76" s="146">
        <f>VLOOKUP($W76,GRADE!$B$5:$E$36,IF($E76&lt;=20,2,IF($E76&lt;=40,3,4)),FALSE)</f>
        <v>330</v>
      </c>
      <c r="Y76" s="146">
        <f>VLOOKUP($W76,GRADE!$B$5:$F$36,5,FALSE)</f>
        <v>490</v>
      </c>
      <c r="Z76" s="219">
        <f t="shared" si="8"/>
        <v>1</v>
      </c>
      <c r="AA76" s="144">
        <f t="shared" si="9"/>
        <v>6869.9999999999991</v>
      </c>
      <c r="AB76" s="144">
        <f t="shared" si="10"/>
        <v>1673.3999999999999</v>
      </c>
      <c r="AC76" s="144">
        <f t="shared" si="11"/>
        <v>267.47999999999996</v>
      </c>
      <c r="AD76" s="144">
        <f t="shared" si="12"/>
        <v>1514.647254304447</v>
      </c>
      <c r="AE76" s="207">
        <f t="shared" si="13"/>
        <v>2510.6284301807787</v>
      </c>
    </row>
    <row r="77" spans="1:31" ht="15" x14ac:dyDescent="0.25">
      <c r="A77" s="149" t="s">
        <v>540</v>
      </c>
      <c r="B77" s="150">
        <v>181.5</v>
      </c>
      <c r="C77" s="150">
        <v>550.70000000000005</v>
      </c>
      <c r="D77" s="150">
        <v>314.5</v>
      </c>
      <c r="E77" s="150">
        <v>24.4</v>
      </c>
      <c r="F77" s="150">
        <v>15.2</v>
      </c>
      <c r="G77" s="150">
        <v>12.7</v>
      </c>
      <c r="H77" s="150">
        <v>476.5</v>
      </c>
      <c r="I77" s="150">
        <v>231</v>
      </c>
      <c r="J77" s="151">
        <v>123222</v>
      </c>
      <c r="K77" s="151">
        <v>12667</v>
      </c>
      <c r="L77" s="150">
        <v>23.1</v>
      </c>
      <c r="M77" s="150">
        <v>7.4</v>
      </c>
      <c r="N77" s="151">
        <v>4475</v>
      </c>
      <c r="O77" s="151">
        <v>806</v>
      </c>
      <c r="P77" s="151">
        <v>5030</v>
      </c>
      <c r="Q77" s="151">
        <v>1237</v>
      </c>
      <c r="R77" s="150">
        <v>0.88500000000000001</v>
      </c>
      <c r="S77" s="150">
        <v>23.4</v>
      </c>
      <c r="T77" s="150">
        <v>8.77</v>
      </c>
      <c r="U77" s="150">
        <v>373</v>
      </c>
      <c r="V77" s="150">
        <f t="shared" si="7"/>
        <v>0.31354112554112551</v>
      </c>
      <c r="W77" s="206" t="s">
        <v>652</v>
      </c>
      <c r="X77" s="146">
        <f>VLOOKUP($W77,GRADE!$B$5:$E$36,IF($E77&lt;=20,2,IF($E77&lt;=40,3,4)),FALSE)</f>
        <v>330</v>
      </c>
      <c r="Y77" s="146">
        <f>VLOOKUP($W77,GRADE!$B$5:$F$36,5,FALSE)</f>
        <v>490</v>
      </c>
      <c r="Z77" s="219">
        <f t="shared" si="8"/>
        <v>1</v>
      </c>
      <c r="AA77" s="144">
        <f t="shared" si="9"/>
        <v>6929.9999999999991</v>
      </c>
      <c r="AB77" s="144">
        <f t="shared" si="10"/>
        <v>1508.9999999999998</v>
      </c>
      <c r="AC77" s="144">
        <f t="shared" si="11"/>
        <v>290.15999999999997</v>
      </c>
      <c r="AD77" s="144">
        <f t="shared" si="12"/>
        <v>1449.8373771868346</v>
      </c>
      <c r="AE77" s="207">
        <f t="shared" si="13"/>
        <v>2658.2822974244095</v>
      </c>
    </row>
    <row r="78" spans="1:31" ht="15" x14ac:dyDescent="0.25">
      <c r="A78" s="149" t="s">
        <v>541</v>
      </c>
      <c r="B78" s="150">
        <v>193.8</v>
      </c>
      <c r="C78" s="150">
        <v>840.7</v>
      </c>
      <c r="D78" s="150">
        <v>292.39999999999998</v>
      </c>
      <c r="E78" s="150">
        <v>21.7</v>
      </c>
      <c r="F78" s="150">
        <v>14.7</v>
      </c>
      <c r="G78" s="150">
        <v>20</v>
      </c>
      <c r="H78" s="150">
        <v>757.3</v>
      </c>
      <c r="I78" s="150">
        <v>248</v>
      </c>
      <c r="J78" s="151">
        <v>280274</v>
      </c>
      <c r="K78" s="151">
        <v>9068</v>
      </c>
      <c r="L78" s="150">
        <v>33.6</v>
      </c>
      <c r="M78" s="150">
        <v>6.05</v>
      </c>
      <c r="N78" s="151">
        <v>6668</v>
      </c>
      <c r="O78" s="151">
        <v>620</v>
      </c>
      <c r="P78" s="151">
        <v>7668</v>
      </c>
      <c r="Q78" s="151">
        <v>974</v>
      </c>
      <c r="R78" s="150">
        <v>0.86299999999999999</v>
      </c>
      <c r="S78" s="150">
        <v>41.3</v>
      </c>
      <c r="T78" s="150">
        <v>15.2</v>
      </c>
      <c r="U78" s="150">
        <v>312</v>
      </c>
      <c r="V78" s="150">
        <f t="shared" si="7"/>
        <v>0.44888346774193544</v>
      </c>
      <c r="W78" s="206" t="s">
        <v>652</v>
      </c>
      <c r="X78" s="146">
        <f>VLOOKUP($W78,GRADE!$B$5:$E$36,IF($E78&lt;=20,2,IF($E78&lt;=40,3,4)),FALSE)</f>
        <v>330</v>
      </c>
      <c r="Y78" s="146">
        <f>VLOOKUP($W78,GRADE!$B$5:$F$36,5,FALSE)</f>
        <v>490</v>
      </c>
      <c r="Z78" s="219">
        <f t="shared" si="8"/>
        <v>1</v>
      </c>
      <c r="AA78" s="144">
        <f t="shared" si="9"/>
        <v>7439.9999999999991</v>
      </c>
      <c r="AB78" s="144">
        <f t="shared" si="10"/>
        <v>2300.4</v>
      </c>
      <c r="AC78" s="144">
        <f t="shared" si="11"/>
        <v>223.19999999999996</v>
      </c>
      <c r="AD78" s="144">
        <f t="shared" si="12"/>
        <v>2140.518617467038</v>
      </c>
      <c r="AE78" s="207">
        <f t="shared" si="13"/>
        <v>2198.0001876178258</v>
      </c>
    </row>
    <row r="79" spans="1:31" ht="15" x14ac:dyDescent="0.25">
      <c r="A79" s="149" t="s">
        <v>542</v>
      </c>
      <c r="B79" s="150">
        <v>196.8</v>
      </c>
      <c r="C79" s="150">
        <v>769.8</v>
      </c>
      <c r="D79" s="150">
        <v>268</v>
      </c>
      <c r="E79" s="150">
        <v>25.4</v>
      </c>
      <c r="F79" s="150">
        <v>15.6</v>
      </c>
      <c r="G79" s="150">
        <v>20</v>
      </c>
      <c r="H79" s="150">
        <v>679</v>
      </c>
      <c r="I79" s="150">
        <v>252</v>
      </c>
      <c r="J79" s="151">
        <v>241326</v>
      </c>
      <c r="K79" s="151">
        <v>8177</v>
      </c>
      <c r="L79" s="150">
        <v>31</v>
      </c>
      <c r="M79" s="150">
        <v>5.7</v>
      </c>
      <c r="N79" s="151">
        <v>6270</v>
      </c>
      <c r="O79" s="151">
        <v>610</v>
      </c>
      <c r="P79" s="151">
        <v>7206</v>
      </c>
      <c r="Q79" s="151">
        <v>960</v>
      </c>
      <c r="R79" s="150">
        <v>0.86899999999999999</v>
      </c>
      <c r="S79" s="150">
        <v>32.799999999999997</v>
      </c>
      <c r="T79" s="150">
        <v>11.3</v>
      </c>
      <c r="U79" s="150">
        <v>417</v>
      </c>
      <c r="V79" s="150">
        <f t="shared" si="7"/>
        <v>0.42033333333333334</v>
      </c>
      <c r="W79" s="206" t="s">
        <v>652</v>
      </c>
      <c r="X79" s="146">
        <f>VLOOKUP($W79,GRADE!$B$5:$E$36,IF($E79&lt;=20,2,IF($E79&lt;=40,3,4)),FALSE)</f>
        <v>330</v>
      </c>
      <c r="Y79" s="146">
        <f>VLOOKUP($W79,GRADE!$B$5:$F$36,5,FALSE)</f>
        <v>490</v>
      </c>
      <c r="Z79" s="219">
        <f t="shared" si="8"/>
        <v>1</v>
      </c>
      <c r="AA79" s="144">
        <f t="shared" si="9"/>
        <v>7559.9999999999991</v>
      </c>
      <c r="AB79" s="144">
        <f t="shared" si="10"/>
        <v>2161.8000000000002</v>
      </c>
      <c r="AC79" s="144">
        <f t="shared" si="11"/>
        <v>219.59999999999997</v>
      </c>
      <c r="AD79" s="144">
        <f t="shared" si="12"/>
        <v>2079.9990301997736</v>
      </c>
      <c r="AE79" s="207">
        <f t="shared" si="13"/>
        <v>2358.0832514565723</v>
      </c>
    </row>
    <row r="80" spans="1:31" ht="15" x14ac:dyDescent="0.25">
      <c r="A80" s="149" t="s">
        <v>543</v>
      </c>
      <c r="B80" s="150">
        <v>200.9</v>
      </c>
      <c r="C80" s="150">
        <v>903</v>
      </c>
      <c r="D80" s="150">
        <v>303.3</v>
      </c>
      <c r="E80" s="150">
        <v>20.2</v>
      </c>
      <c r="F80" s="150">
        <v>15.1</v>
      </c>
      <c r="G80" s="150">
        <v>19.100000000000001</v>
      </c>
      <c r="H80" s="150">
        <v>824.4</v>
      </c>
      <c r="I80" s="150">
        <v>256</v>
      </c>
      <c r="J80" s="151">
        <v>325254</v>
      </c>
      <c r="K80" s="151">
        <v>9423</v>
      </c>
      <c r="L80" s="150">
        <v>35.700000000000003</v>
      </c>
      <c r="M80" s="150">
        <v>6.07</v>
      </c>
      <c r="N80" s="151">
        <v>7204</v>
      </c>
      <c r="O80" s="151">
        <v>621</v>
      </c>
      <c r="P80" s="151">
        <v>8352</v>
      </c>
      <c r="Q80" s="151">
        <v>982</v>
      </c>
      <c r="R80" s="150">
        <v>0.85399999999999998</v>
      </c>
      <c r="S80" s="150">
        <v>46.8</v>
      </c>
      <c r="T80" s="150">
        <v>18.399999999999999</v>
      </c>
      <c r="U80" s="150">
        <v>291</v>
      </c>
      <c r="V80" s="150">
        <f t="shared" si="7"/>
        <v>0.48626718749999998</v>
      </c>
      <c r="W80" s="206" t="s">
        <v>652</v>
      </c>
      <c r="X80" s="146">
        <f>VLOOKUP($W80,GRADE!$B$5:$E$36,IF($E80&lt;=20,2,IF($E80&lt;=40,3,4)),FALSE)</f>
        <v>330</v>
      </c>
      <c r="Y80" s="146">
        <f>VLOOKUP($W80,GRADE!$B$5:$F$36,5,FALSE)</f>
        <v>490</v>
      </c>
      <c r="Z80" s="219">
        <f t="shared" si="8"/>
        <v>1</v>
      </c>
      <c r="AA80" s="144">
        <f t="shared" si="9"/>
        <v>7679.9999999999991</v>
      </c>
      <c r="AB80" s="144">
        <f t="shared" si="10"/>
        <v>2505.6</v>
      </c>
      <c r="AC80" s="144">
        <f t="shared" si="11"/>
        <v>223.55999999999995</v>
      </c>
      <c r="AD80" s="144">
        <f t="shared" si="12"/>
        <v>2361.7032376443913</v>
      </c>
      <c r="AE80" s="207">
        <f t="shared" si="13"/>
        <v>2122.3372801399873</v>
      </c>
    </row>
    <row r="81" spans="1:31" ht="15" x14ac:dyDescent="0.25">
      <c r="A81" s="149" t="s">
        <v>544</v>
      </c>
      <c r="B81" s="150">
        <v>218.7</v>
      </c>
      <c r="C81" s="150">
        <v>560.29999999999995</v>
      </c>
      <c r="D81" s="150">
        <v>317.39999999999998</v>
      </c>
      <c r="E81" s="150">
        <v>29.2</v>
      </c>
      <c r="F81" s="150">
        <v>18.3</v>
      </c>
      <c r="G81" s="150">
        <v>12.7</v>
      </c>
      <c r="H81" s="150">
        <v>476.5</v>
      </c>
      <c r="I81" s="150">
        <v>279</v>
      </c>
      <c r="J81" s="151">
        <v>150976</v>
      </c>
      <c r="K81" s="151">
        <v>15589</v>
      </c>
      <c r="L81" s="150">
        <v>23.3</v>
      </c>
      <c r="M81" s="150">
        <v>7.48</v>
      </c>
      <c r="N81" s="151">
        <v>5389</v>
      </c>
      <c r="O81" s="151">
        <v>982</v>
      </c>
      <c r="P81" s="151">
        <v>6109</v>
      </c>
      <c r="Q81" s="151">
        <v>1514</v>
      </c>
      <c r="R81" s="150">
        <v>0.88400000000000001</v>
      </c>
      <c r="S81" s="150">
        <v>19.8</v>
      </c>
      <c r="T81" s="150">
        <v>11</v>
      </c>
      <c r="U81" s="150">
        <v>642</v>
      </c>
      <c r="V81" s="150">
        <f t="shared" si="7"/>
        <v>0.3125430107526882</v>
      </c>
      <c r="W81" s="206" t="s">
        <v>652</v>
      </c>
      <c r="X81" s="146">
        <f>VLOOKUP($W81,GRADE!$B$5:$E$36,IF($E81&lt;=20,2,IF($E81&lt;=40,3,4)),FALSE)</f>
        <v>330</v>
      </c>
      <c r="Y81" s="146">
        <f>VLOOKUP($W81,GRADE!$B$5:$F$36,5,FALSE)</f>
        <v>490</v>
      </c>
      <c r="Z81" s="219">
        <f t="shared" si="8"/>
        <v>1</v>
      </c>
      <c r="AA81" s="144">
        <f t="shared" si="9"/>
        <v>8369.9999999999982</v>
      </c>
      <c r="AB81" s="144">
        <f t="shared" si="10"/>
        <v>1832.6999999999998</v>
      </c>
      <c r="AC81" s="144">
        <f t="shared" si="11"/>
        <v>353.51999999999992</v>
      </c>
      <c r="AD81" s="144">
        <f t="shared" si="12"/>
        <v>1775.9565634899404</v>
      </c>
      <c r="AE81" s="207">
        <f t="shared" si="13"/>
        <v>3210.5570897225921</v>
      </c>
    </row>
    <row r="82" spans="1:31" ht="15" x14ac:dyDescent="0.25">
      <c r="A82" s="149" t="s">
        <v>545</v>
      </c>
      <c r="B82" s="150">
        <v>222</v>
      </c>
      <c r="C82" s="150">
        <v>970.3</v>
      </c>
      <c r="D82" s="150">
        <v>300</v>
      </c>
      <c r="E82" s="150">
        <v>21.1</v>
      </c>
      <c r="F82" s="150">
        <v>16</v>
      </c>
      <c r="G82" s="150">
        <v>30</v>
      </c>
      <c r="H82" s="150">
        <v>868.1</v>
      </c>
      <c r="I82" s="150">
        <v>283</v>
      </c>
      <c r="J82" s="151">
        <v>407961</v>
      </c>
      <c r="K82" s="151">
        <v>9546</v>
      </c>
      <c r="L82" s="150">
        <v>38</v>
      </c>
      <c r="M82" s="150">
        <v>5.81</v>
      </c>
      <c r="N82" s="151">
        <v>8409</v>
      </c>
      <c r="O82" s="151">
        <v>636</v>
      </c>
      <c r="P82" s="151">
        <v>9808</v>
      </c>
      <c r="Q82" s="151">
        <v>1019</v>
      </c>
      <c r="R82" s="150">
        <v>0.85</v>
      </c>
      <c r="S82" s="150">
        <v>45.7</v>
      </c>
      <c r="T82" s="150">
        <v>21.5</v>
      </c>
      <c r="U82" s="150">
        <v>390</v>
      </c>
      <c r="V82" s="150">
        <f t="shared" si="7"/>
        <v>0.49079858657243819</v>
      </c>
      <c r="W82" s="206" t="s">
        <v>652</v>
      </c>
      <c r="X82" s="146">
        <f>VLOOKUP($W82,GRADE!$B$5:$E$36,IF($E82&lt;=20,2,IF($E82&lt;=40,3,4)),FALSE)</f>
        <v>330</v>
      </c>
      <c r="Y82" s="146">
        <f>VLOOKUP($W82,GRADE!$B$5:$F$36,5,FALSE)</f>
        <v>490</v>
      </c>
      <c r="Z82" s="219">
        <f t="shared" si="8"/>
        <v>1</v>
      </c>
      <c r="AA82" s="144">
        <f t="shared" si="9"/>
        <v>8490</v>
      </c>
      <c r="AB82" s="144">
        <f t="shared" si="10"/>
        <v>2942.4</v>
      </c>
      <c r="AC82" s="144">
        <f t="shared" si="11"/>
        <v>228.95999999999995</v>
      </c>
      <c r="AD82" s="144">
        <f t="shared" si="12"/>
        <v>2688.9742377345306</v>
      </c>
      <c r="AE82" s="207">
        <f t="shared" si="13"/>
        <v>2192.7763223821985</v>
      </c>
    </row>
    <row r="83" spans="1:31" ht="15" x14ac:dyDescent="0.25">
      <c r="A83" s="149" t="s">
        <v>546</v>
      </c>
      <c r="B83" s="150">
        <v>224.2</v>
      </c>
      <c r="C83" s="150">
        <v>910.4</v>
      </c>
      <c r="D83" s="150">
        <v>304.10000000000002</v>
      </c>
      <c r="E83" s="150">
        <v>23.9</v>
      </c>
      <c r="F83" s="150">
        <v>15.9</v>
      </c>
      <c r="G83" s="150">
        <v>19.100000000000001</v>
      </c>
      <c r="H83" s="150">
        <v>824.4</v>
      </c>
      <c r="I83" s="150">
        <v>286</v>
      </c>
      <c r="J83" s="151">
        <v>376414</v>
      </c>
      <c r="K83" s="151">
        <v>11236</v>
      </c>
      <c r="L83" s="150">
        <v>36.299999999999997</v>
      </c>
      <c r="M83" s="150">
        <v>6.27</v>
      </c>
      <c r="N83" s="151">
        <v>8269</v>
      </c>
      <c r="O83" s="151">
        <v>739</v>
      </c>
      <c r="P83" s="151">
        <v>9535</v>
      </c>
      <c r="Q83" s="151">
        <v>1163</v>
      </c>
      <c r="R83" s="150">
        <v>0.86099999999999999</v>
      </c>
      <c r="S83" s="150">
        <v>41.3</v>
      </c>
      <c r="T83" s="150">
        <v>22.1</v>
      </c>
      <c r="U83" s="150">
        <v>422</v>
      </c>
      <c r="V83" s="150">
        <f t="shared" si="7"/>
        <v>0.45832027972027967</v>
      </c>
      <c r="W83" s="206" t="s">
        <v>652</v>
      </c>
      <c r="X83" s="146">
        <f>VLOOKUP($W83,GRADE!$B$5:$E$36,IF($E83&lt;=20,2,IF($E83&lt;=40,3,4)),FALSE)</f>
        <v>330</v>
      </c>
      <c r="Y83" s="146">
        <f>VLOOKUP($W83,GRADE!$B$5:$F$36,5,FALSE)</f>
        <v>490</v>
      </c>
      <c r="Z83" s="219">
        <f t="shared" si="8"/>
        <v>1</v>
      </c>
      <c r="AA83" s="144">
        <f t="shared" si="9"/>
        <v>8580</v>
      </c>
      <c r="AB83" s="144">
        <f t="shared" si="10"/>
        <v>2860.5</v>
      </c>
      <c r="AC83" s="144">
        <f t="shared" si="11"/>
        <v>266.03999999999996</v>
      </c>
      <c r="AD83" s="144">
        <f t="shared" si="12"/>
        <v>2507.2058977850224</v>
      </c>
      <c r="AE83" s="207">
        <f t="shared" si="13"/>
        <v>2517.7055897805044</v>
      </c>
    </row>
    <row r="84" spans="1:31" ht="15" x14ac:dyDescent="0.25">
      <c r="A84" s="149" t="s">
        <v>547</v>
      </c>
      <c r="B84" s="150">
        <v>226.5</v>
      </c>
      <c r="C84" s="150">
        <v>850.9</v>
      </c>
      <c r="D84" s="150">
        <v>293.8</v>
      </c>
      <c r="E84" s="150">
        <v>26.8</v>
      </c>
      <c r="F84" s="150">
        <v>16.100000000000001</v>
      </c>
      <c r="G84" s="150">
        <v>20</v>
      </c>
      <c r="H84" s="150">
        <v>757.3</v>
      </c>
      <c r="I84" s="150">
        <v>289</v>
      </c>
      <c r="J84" s="151">
        <v>340802</v>
      </c>
      <c r="K84" s="151">
        <v>11361</v>
      </c>
      <c r="L84" s="150">
        <v>34.299999999999997</v>
      </c>
      <c r="M84" s="150">
        <v>6.27</v>
      </c>
      <c r="N84" s="151">
        <v>8010</v>
      </c>
      <c r="O84" s="151">
        <v>773</v>
      </c>
      <c r="P84" s="151">
        <v>9183</v>
      </c>
      <c r="Q84" s="151">
        <v>1212</v>
      </c>
      <c r="R84" s="150">
        <v>0.87</v>
      </c>
      <c r="S84" s="150">
        <v>34.700000000000003</v>
      </c>
      <c r="T84" s="150">
        <v>19.3</v>
      </c>
      <c r="U84" s="150">
        <v>522</v>
      </c>
      <c r="V84" s="150">
        <f t="shared" si="7"/>
        <v>0.42188685121107267</v>
      </c>
      <c r="W84" s="206" t="s">
        <v>652</v>
      </c>
      <c r="X84" s="146">
        <f>VLOOKUP($W84,GRADE!$B$5:$E$36,IF($E84&lt;=20,2,IF($E84&lt;=40,3,4)),FALSE)</f>
        <v>330</v>
      </c>
      <c r="Y84" s="146">
        <f>VLOOKUP($W84,GRADE!$B$5:$F$36,5,FALSE)</f>
        <v>490</v>
      </c>
      <c r="Z84" s="219">
        <f t="shared" si="8"/>
        <v>1</v>
      </c>
      <c r="AA84" s="144">
        <f t="shared" si="9"/>
        <v>8670</v>
      </c>
      <c r="AB84" s="144">
        <f t="shared" si="10"/>
        <v>2754.9</v>
      </c>
      <c r="AC84" s="144">
        <f t="shared" si="11"/>
        <v>278.27999999999992</v>
      </c>
      <c r="AD84" s="144">
        <f t="shared" si="12"/>
        <v>2372.8212717781762</v>
      </c>
      <c r="AE84" s="207">
        <f t="shared" si="13"/>
        <v>2727.5781861336259</v>
      </c>
    </row>
    <row r="85" spans="1:31" ht="15" x14ac:dyDescent="0.25">
      <c r="A85" s="149" t="s">
        <v>548</v>
      </c>
      <c r="B85" s="150">
        <v>238</v>
      </c>
      <c r="C85" s="150">
        <v>915</v>
      </c>
      <c r="D85" s="150">
        <v>305</v>
      </c>
      <c r="E85" s="150">
        <v>25.9</v>
      </c>
      <c r="F85" s="150">
        <v>16.5</v>
      </c>
      <c r="G85" s="150">
        <v>19.100000000000001</v>
      </c>
      <c r="H85" s="150">
        <v>825</v>
      </c>
      <c r="I85" s="150">
        <v>303</v>
      </c>
      <c r="J85" s="151">
        <v>405900</v>
      </c>
      <c r="K85" s="151">
        <v>12260</v>
      </c>
      <c r="L85" s="150">
        <v>36.6</v>
      </c>
      <c r="M85" s="150">
        <v>6.36</v>
      </c>
      <c r="N85" s="151">
        <v>8875</v>
      </c>
      <c r="O85" s="151">
        <v>805</v>
      </c>
      <c r="P85" s="151">
        <v>10220</v>
      </c>
      <c r="Q85" s="151">
        <v>1265</v>
      </c>
      <c r="R85" s="150">
        <v>0.86399999999999999</v>
      </c>
      <c r="S85" s="150">
        <v>38.6</v>
      </c>
      <c r="T85" s="150">
        <v>24.2</v>
      </c>
      <c r="U85" s="150">
        <v>514</v>
      </c>
      <c r="V85" s="150">
        <f t="shared" si="7"/>
        <v>0.44925742574257427</v>
      </c>
      <c r="W85" s="206" t="s">
        <v>652</v>
      </c>
      <c r="X85" s="146">
        <f>VLOOKUP($W85,GRADE!$B$5:$E$36,IF($E85&lt;=20,2,IF($E85&lt;=40,3,4)),FALSE)</f>
        <v>330</v>
      </c>
      <c r="Y85" s="146">
        <f>VLOOKUP($W85,GRADE!$B$5:$F$36,5,FALSE)</f>
        <v>490</v>
      </c>
      <c r="Z85" s="219">
        <f t="shared" si="8"/>
        <v>1</v>
      </c>
      <c r="AA85" s="144">
        <f t="shared" si="9"/>
        <v>9090</v>
      </c>
      <c r="AB85" s="144">
        <f t="shared" si="10"/>
        <v>3065.9999999999995</v>
      </c>
      <c r="AC85" s="144">
        <f t="shared" si="11"/>
        <v>289.8</v>
      </c>
      <c r="AD85" s="144">
        <f t="shared" si="12"/>
        <v>2614.9637067271124</v>
      </c>
      <c r="AE85" s="207">
        <f t="shared" si="13"/>
        <v>2736.4670708780691</v>
      </c>
    </row>
    <row r="86" spans="1:31" ht="15" x14ac:dyDescent="0.25">
      <c r="A86" s="149" t="s">
        <v>549</v>
      </c>
      <c r="B86" s="150">
        <v>238.1</v>
      </c>
      <c r="C86" s="150">
        <v>635.79999999999995</v>
      </c>
      <c r="D86" s="150">
        <v>311.39999999999998</v>
      </c>
      <c r="E86" s="150">
        <v>31.4</v>
      </c>
      <c r="F86" s="150">
        <v>18.399999999999999</v>
      </c>
      <c r="G86" s="150">
        <v>20</v>
      </c>
      <c r="H86" s="150">
        <v>533</v>
      </c>
      <c r="I86" s="150">
        <v>304</v>
      </c>
      <c r="J86" s="151">
        <v>210333</v>
      </c>
      <c r="K86" s="151">
        <v>15839</v>
      </c>
      <c r="L86" s="150">
        <v>26.3</v>
      </c>
      <c r="M86" s="150">
        <v>7.21</v>
      </c>
      <c r="N86" s="151">
        <v>6616</v>
      </c>
      <c r="O86" s="151">
        <v>1017</v>
      </c>
      <c r="P86" s="151">
        <v>7517</v>
      </c>
      <c r="Q86" s="151">
        <v>1575</v>
      </c>
      <c r="R86" s="150">
        <v>0.88600000000000001</v>
      </c>
      <c r="S86" s="150">
        <v>21.1</v>
      </c>
      <c r="T86" s="150">
        <v>14.5</v>
      </c>
      <c r="U86" s="150">
        <v>803</v>
      </c>
      <c r="V86" s="150">
        <f t="shared" si="7"/>
        <v>0.32260526315789473</v>
      </c>
      <c r="W86" s="206" t="s">
        <v>652</v>
      </c>
      <c r="X86" s="146">
        <f>VLOOKUP($W86,GRADE!$B$5:$E$36,IF($E86&lt;=20,2,IF($E86&lt;=40,3,4)),FALSE)</f>
        <v>330</v>
      </c>
      <c r="Y86" s="146">
        <f>VLOOKUP($W86,GRADE!$B$5:$F$36,5,FALSE)</f>
        <v>490</v>
      </c>
      <c r="Z86" s="219">
        <f t="shared" si="8"/>
        <v>1</v>
      </c>
      <c r="AA86" s="144">
        <f t="shared" si="9"/>
        <v>9120</v>
      </c>
      <c r="AB86" s="144">
        <f t="shared" si="10"/>
        <v>2255.1</v>
      </c>
      <c r="AC86" s="144">
        <f t="shared" si="11"/>
        <v>366.11999999999995</v>
      </c>
      <c r="AD86" s="144">
        <f t="shared" si="12"/>
        <v>2026.2777423522173</v>
      </c>
      <c r="AE86" s="207">
        <f t="shared" si="13"/>
        <v>3387.1847028752354</v>
      </c>
    </row>
    <row r="87" spans="1:31" ht="15" x14ac:dyDescent="0.25">
      <c r="A87" s="149" t="s">
        <v>550</v>
      </c>
      <c r="B87" s="150">
        <v>248.7</v>
      </c>
      <c r="C87" s="150">
        <v>980.1</v>
      </c>
      <c r="D87" s="150">
        <v>300</v>
      </c>
      <c r="E87" s="150">
        <v>26</v>
      </c>
      <c r="F87" s="150">
        <v>16.5</v>
      </c>
      <c r="G87" s="150">
        <v>30</v>
      </c>
      <c r="H87" s="150">
        <v>868.1</v>
      </c>
      <c r="I87" s="150">
        <v>317</v>
      </c>
      <c r="J87" s="151">
        <v>481192</v>
      </c>
      <c r="K87" s="151">
        <v>11754</v>
      </c>
      <c r="L87" s="150">
        <v>39</v>
      </c>
      <c r="M87" s="150">
        <v>6.09</v>
      </c>
      <c r="N87" s="151">
        <v>9819</v>
      </c>
      <c r="O87" s="151">
        <v>784</v>
      </c>
      <c r="P87" s="151">
        <v>11350</v>
      </c>
      <c r="Q87" s="151">
        <v>1244</v>
      </c>
      <c r="R87" s="150">
        <v>0.86099999999999999</v>
      </c>
      <c r="S87" s="150">
        <v>39.799999999999997</v>
      </c>
      <c r="T87" s="150">
        <v>26.8</v>
      </c>
      <c r="U87" s="150">
        <v>582</v>
      </c>
      <c r="V87" s="150">
        <f t="shared" si="7"/>
        <v>0.45185015772870663</v>
      </c>
      <c r="W87" s="206" t="s">
        <v>652</v>
      </c>
      <c r="X87" s="146">
        <f>VLOOKUP($W87,GRADE!$B$5:$E$36,IF($E87&lt;=20,2,IF($E87&lt;=40,3,4)),FALSE)</f>
        <v>330</v>
      </c>
      <c r="Y87" s="146">
        <f>VLOOKUP($W87,GRADE!$B$5:$F$36,5,FALSE)</f>
        <v>490</v>
      </c>
      <c r="Z87" s="219">
        <f t="shared" si="8"/>
        <v>1</v>
      </c>
      <c r="AA87" s="144">
        <f t="shared" si="9"/>
        <v>9510</v>
      </c>
      <c r="AB87" s="144">
        <f t="shared" si="10"/>
        <v>3404.9999999999995</v>
      </c>
      <c r="AC87" s="144">
        <f t="shared" si="11"/>
        <v>282.24</v>
      </c>
      <c r="AD87" s="144">
        <f t="shared" si="12"/>
        <v>2801.0119442221235</v>
      </c>
      <c r="AE87" s="207">
        <f t="shared" si="13"/>
        <v>2701.9992598074482</v>
      </c>
    </row>
    <row r="88" spans="1:31" ht="15" x14ac:dyDescent="0.25">
      <c r="A88" s="149" t="s">
        <v>551</v>
      </c>
      <c r="B88" s="150">
        <v>253.4</v>
      </c>
      <c r="C88" s="150">
        <v>918.4</v>
      </c>
      <c r="D88" s="150">
        <v>305.5</v>
      </c>
      <c r="E88" s="150">
        <v>27.9</v>
      </c>
      <c r="F88" s="150">
        <v>17.3</v>
      </c>
      <c r="G88" s="150">
        <v>19.100000000000001</v>
      </c>
      <c r="H88" s="150">
        <v>824.4</v>
      </c>
      <c r="I88" s="150">
        <v>323</v>
      </c>
      <c r="J88" s="151">
        <v>436305</v>
      </c>
      <c r="K88" s="151">
        <v>13301</v>
      </c>
      <c r="L88" s="150">
        <v>36.799999999999997</v>
      </c>
      <c r="M88" s="150">
        <v>6.42</v>
      </c>
      <c r="N88" s="151">
        <v>9501</v>
      </c>
      <c r="O88" s="151">
        <v>871</v>
      </c>
      <c r="P88" s="151">
        <v>10942</v>
      </c>
      <c r="Q88" s="151">
        <v>1370</v>
      </c>
      <c r="R88" s="150">
        <v>0.86599999999999999</v>
      </c>
      <c r="S88" s="150">
        <v>36.200000000000003</v>
      </c>
      <c r="T88" s="150">
        <v>26.4</v>
      </c>
      <c r="U88" s="150">
        <v>626</v>
      </c>
      <c r="V88" s="150">
        <f t="shared" si="7"/>
        <v>0.44155170278637773</v>
      </c>
      <c r="W88" s="206" t="s">
        <v>652</v>
      </c>
      <c r="X88" s="146">
        <f>VLOOKUP($W88,GRADE!$B$5:$E$36,IF($E88&lt;=20,2,IF($E88&lt;=40,3,4)),FALSE)</f>
        <v>330</v>
      </c>
      <c r="Y88" s="146">
        <f>VLOOKUP($W88,GRADE!$B$5:$F$36,5,FALSE)</f>
        <v>490</v>
      </c>
      <c r="Z88" s="219">
        <f t="shared" si="8"/>
        <v>1</v>
      </c>
      <c r="AA88" s="144">
        <f t="shared" si="9"/>
        <v>9690</v>
      </c>
      <c r="AB88" s="144">
        <f t="shared" si="10"/>
        <v>3282.5999999999995</v>
      </c>
      <c r="AC88" s="144">
        <f t="shared" si="11"/>
        <v>313.56</v>
      </c>
      <c r="AD88" s="144">
        <f t="shared" si="12"/>
        <v>2751.9377486912745</v>
      </c>
      <c r="AE88" s="207">
        <f t="shared" si="13"/>
        <v>2952.6096911545887</v>
      </c>
    </row>
    <row r="89" spans="1:31" ht="15" x14ac:dyDescent="0.25">
      <c r="A89" s="149" t="s">
        <v>552</v>
      </c>
      <c r="B89" s="150">
        <v>271</v>
      </c>
      <c r="C89" s="150">
        <v>923</v>
      </c>
      <c r="D89" s="150">
        <v>307</v>
      </c>
      <c r="E89" s="150">
        <v>30</v>
      </c>
      <c r="F89" s="150">
        <v>18.399999999999999</v>
      </c>
      <c r="G89" s="150">
        <v>19.100000000000001</v>
      </c>
      <c r="H89" s="150">
        <v>825</v>
      </c>
      <c r="I89" s="150">
        <v>346</v>
      </c>
      <c r="J89" s="151">
        <v>471400</v>
      </c>
      <c r="K89" s="151">
        <v>14520</v>
      </c>
      <c r="L89" s="150">
        <v>36.9</v>
      </c>
      <c r="M89" s="150">
        <v>6.48</v>
      </c>
      <c r="N89" s="151">
        <v>10210</v>
      </c>
      <c r="O89" s="151">
        <v>946</v>
      </c>
      <c r="P89" s="151">
        <v>11780</v>
      </c>
      <c r="Q89" s="151">
        <v>1490</v>
      </c>
      <c r="R89" s="150">
        <v>0.86699999999999999</v>
      </c>
      <c r="S89" s="150">
        <v>33.9</v>
      </c>
      <c r="T89" s="150">
        <v>28.9</v>
      </c>
      <c r="U89" s="150">
        <v>768</v>
      </c>
      <c r="V89" s="150">
        <f t="shared" si="7"/>
        <v>0.43872832369942194</v>
      </c>
      <c r="W89" s="206" t="s">
        <v>652</v>
      </c>
      <c r="X89" s="146">
        <f>VLOOKUP($W89,GRADE!$B$5:$E$36,IF($E89&lt;=20,2,IF($E89&lt;=40,3,4)),FALSE)</f>
        <v>330</v>
      </c>
      <c r="Y89" s="146">
        <f>VLOOKUP($W89,GRADE!$B$5:$F$36,5,FALSE)</f>
        <v>490</v>
      </c>
      <c r="Z89" s="219">
        <f t="shared" si="8"/>
        <v>1</v>
      </c>
      <c r="AA89" s="144">
        <f t="shared" si="9"/>
        <v>10380</v>
      </c>
      <c r="AB89" s="144">
        <f t="shared" si="10"/>
        <v>3533.9999999999995</v>
      </c>
      <c r="AC89" s="144">
        <f t="shared" si="11"/>
        <v>340.56</v>
      </c>
      <c r="AD89" s="144">
        <f t="shared" si="12"/>
        <v>2941.5765275103754</v>
      </c>
      <c r="AE89" s="207">
        <f t="shared" si="13"/>
        <v>3190.4375875418718</v>
      </c>
    </row>
    <row r="90" spans="1:31" ht="15" x14ac:dyDescent="0.25">
      <c r="A90" s="149" t="s">
        <v>553</v>
      </c>
      <c r="B90" s="150">
        <v>272.3</v>
      </c>
      <c r="C90" s="150">
        <v>990.1</v>
      </c>
      <c r="D90" s="150">
        <v>300</v>
      </c>
      <c r="E90" s="150">
        <v>31</v>
      </c>
      <c r="F90" s="150">
        <v>16.5</v>
      </c>
      <c r="G90" s="150">
        <v>30</v>
      </c>
      <c r="H90" s="150">
        <v>868.1</v>
      </c>
      <c r="I90" s="150">
        <v>347</v>
      </c>
      <c r="J90" s="151">
        <v>553974</v>
      </c>
      <c r="K90" s="151">
        <v>14004</v>
      </c>
      <c r="L90" s="150">
        <v>40</v>
      </c>
      <c r="M90" s="150">
        <v>6.35</v>
      </c>
      <c r="N90" s="151">
        <v>11190</v>
      </c>
      <c r="O90" s="151">
        <v>934</v>
      </c>
      <c r="P90" s="151">
        <v>12827</v>
      </c>
      <c r="Q90" s="151">
        <v>1469</v>
      </c>
      <c r="R90" s="150">
        <v>0.873</v>
      </c>
      <c r="S90" s="150">
        <v>35</v>
      </c>
      <c r="T90" s="150">
        <v>32.200000000000003</v>
      </c>
      <c r="U90" s="150">
        <v>835</v>
      </c>
      <c r="V90" s="150">
        <f t="shared" si="7"/>
        <v>0.41278530259365992</v>
      </c>
      <c r="W90" s="206" t="s">
        <v>652</v>
      </c>
      <c r="X90" s="146">
        <f>VLOOKUP($W90,GRADE!$B$5:$E$36,IF($E90&lt;=20,2,IF($E90&lt;=40,3,4)),FALSE)</f>
        <v>330</v>
      </c>
      <c r="Y90" s="146">
        <f>VLOOKUP($W90,GRADE!$B$5:$F$36,5,FALSE)</f>
        <v>490</v>
      </c>
      <c r="Z90" s="219">
        <f t="shared" si="8"/>
        <v>1</v>
      </c>
      <c r="AA90" s="144">
        <f t="shared" si="9"/>
        <v>10410</v>
      </c>
      <c r="AB90" s="144">
        <f t="shared" si="10"/>
        <v>3848.0999999999995</v>
      </c>
      <c r="AC90" s="144">
        <f t="shared" si="11"/>
        <v>336.24</v>
      </c>
      <c r="AD90" s="144">
        <f t="shared" si="12"/>
        <v>2829.5907825470094</v>
      </c>
      <c r="AE90" s="207">
        <f t="shared" si="13"/>
        <v>3221.6145020781119</v>
      </c>
    </row>
    <row r="91" spans="1:31" ht="15" x14ac:dyDescent="0.25">
      <c r="A91" s="149" t="s">
        <v>554</v>
      </c>
      <c r="B91" s="150">
        <v>273.2</v>
      </c>
      <c r="C91" s="150">
        <v>577.1</v>
      </c>
      <c r="D91" s="150">
        <v>320.2</v>
      </c>
      <c r="E91" s="150">
        <v>37.6</v>
      </c>
      <c r="F91" s="150">
        <v>21.1</v>
      </c>
      <c r="G91" s="150">
        <v>12.7</v>
      </c>
      <c r="H91" s="150">
        <v>476.5</v>
      </c>
      <c r="I91" s="150">
        <v>348</v>
      </c>
      <c r="J91" s="151">
        <v>198578</v>
      </c>
      <c r="K91" s="151">
        <v>20615</v>
      </c>
      <c r="L91" s="150">
        <v>23.9</v>
      </c>
      <c r="M91" s="150">
        <v>7.7</v>
      </c>
      <c r="N91" s="151">
        <v>6882</v>
      </c>
      <c r="O91" s="151">
        <v>1288</v>
      </c>
      <c r="P91" s="151">
        <v>7859</v>
      </c>
      <c r="Q91" s="151">
        <v>1985</v>
      </c>
      <c r="R91" s="150">
        <v>0.89</v>
      </c>
      <c r="S91" s="150">
        <v>15.9</v>
      </c>
      <c r="T91" s="150">
        <v>15</v>
      </c>
      <c r="U91" s="150">
        <v>1288</v>
      </c>
      <c r="V91" s="150">
        <f t="shared" si="7"/>
        <v>0.28891235632183915</v>
      </c>
      <c r="W91" s="206" t="s">
        <v>652</v>
      </c>
      <c r="X91" s="146">
        <f>VLOOKUP($W91,GRADE!$B$5:$E$36,IF($E91&lt;=20,2,IF($E91&lt;=40,3,4)),FALSE)</f>
        <v>330</v>
      </c>
      <c r="Y91" s="146">
        <f>VLOOKUP($W91,GRADE!$B$5:$F$36,5,FALSE)</f>
        <v>490</v>
      </c>
      <c r="Z91" s="219">
        <f t="shared" si="8"/>
        <v>1</v>
      </c>
      <c r="AA91" s="144">
        <f t="shared" si="9"/>
        <v>10440</v>
      </c>
      <c r="AB91" s="144">
        <f t="shared" si="10"/>
        <v>2357.6999999999998</v>
      </c>
      <c r="AC91" s="144">
        <f t="shared" si="11"/>
        <v>463.67999999999995</v>
      </c>
      <c r="AD91" s="144">
        <f t="shared" si="12"/>
        <v>2109.0853594112782</v>
      </c>
      <c r="AE91" s="207">
        <f t="shared" si="13"/>
        <v>4170.6120677483304</v>
      </c>
    </row>
    <row r="92" spans="1:31" ht="15" x14ac:dyDescent="0.25">
      <c r="A92" s="149" t="s">
        <v>555</v>
      </c>
      <c r="B92" s="150">
        <v>289.10000000000002</v>
      </c>
      <c r="C92" s="150">
        <v>926.6</v>
      </c>
      <c r="D92" s="150">
        <v>307.7</v>
      </c>
      <c r="E92" s="150">
        <v>32</v>
      </c>
      <c r="F92" s="150">
        <v>19.5</v>
      </c>
      <c r="G92" s="150">
        <v>19.100000000000001</v>
      </c>
      <c r="H92" s="150">
        <v>824.4</v>
      </c>
      <c r="I92" s="150">
        <v>368</v>
      </c>
      <c r="J92" s="151">
        <v>504187</v>
      </c>
      <c r="K92" s="151">
        <v>15597</v>
      </c>
      <c r="L92" s="150">
        <v>37</v>
      </c>
      <c r="M92" s="150">
        <v>6.51</v>
      </c>
      <c r="N92" s="151">
        <v>10883</v>
      </c>
      <c r="O92" s="151">
        <v>1014</v>
      </c>
      <c r="P92" s="151">
        <v>12570</v>
      </c>
      <c r="Q92" s="151">
        <v>1601</v>
      </c>
      <c r="R92" s="150">
        <v>0.86699999999999999</v>
      </c>
      <c r="S92" s="150">
        <v>31.9</v>
      </c>
      <c r="T92" s="150">
        <v>31.2</v>
      </c>
      <c r="U92" s="150">
        <v>926</v>
      </c>
      <c r="V92" s="150">
        <f t="shared" si="7"/>
        <v>0.43684239130434782</v>
      </c>
      <c r="W92" s="206" t="s">
        <v>652</v>
      </c>
      <c r="X92" s="146">
        <f>VLOOKUP($W92,GRADE!$B$5:$E$36,IF($E92&lt;=20,2,IF($E92&lt;=40,3,4)),FALSE)</f>
        <v>330</v>
      </c>
      <c r="Y92" s="146">
        <f>VLOOKUP($W92,GRADE!$B$5:$F$36,5,FALSE)</f>
        <v>490</v>
      </c>
      <c r="Z92" s="219">
        <f t="shared" si="8"/>
        <v>1</v>
      </c>
      <c r="AA92" s="144">
        <f t="shared" si="9"/>
        <v>11040</v>
      </c>
      <c r="AB92" s="144">
        <f t="shared" si="10"/>
        <v>3770.9999999999995</v>
      </c>
      <c r="AC92" s="144">
        <f t="shared" si="11"/>
        <v>365.04</v>
      </c>
      <c r="AD92" s="144">
        <f t="shared" si="12"/>
        <v>3129.5906426719771</v>
      </c>
      <c r="AE92" s="207">
        <f t="shared" si="13"/>
        <v>3410.8930143292382</v>
      </c>
    </row>
    <row r="93" spans="1:31" ht="15" x14ac:dyDescent="0.25">
      <c r="A93" s="149" t="s">
        <v>556</v>
      </c>
      <c r="B93" s="150">
        <v>313</v>
      </c>
      <c r="C93" s="150">
        <v>932</v>
      </c>
      <c r="D93" s="150">
        <v>309</v>
      </c>
      <c r="E93" s="150">
        <v>34.5</v>
      </c>
      <c r="F93" s="150">
        <v>21.1</v>
      </c>
      <c r="G93" s="150">
        <v>19.100000000000001</v>
      </c>
      <c r="H93" s="150">
        <v>825</v>
      </c>
      <c r="I93" s="150">
        <v>399</v>
      </c>
      <c r="J93" s="151">
        <v>548900</v>
      </c>
      <c r="K93" s="151">
        <v>17110</v>
      </c>
      <c r="L93" s="150">
        <v>37.1</v>
      </c>
      <c r="M93" s="150">
        <v>6.55</v>
      </c>
      <c r="N93" s="151">
        <v>11780</v>
      </c>
      <c r="O93" s="151">
        <v>1106</v>
      </c>
      <c r="P93" s="151">
        <v>13640</v>
      </c>
      <c r="Q93" s="151">
        <v>1752</v>
      </c>
      <c r="R93" s="150">
        <v>0.86599999999999999</v>
      </c>
      <c r="S93" s="150">
        <v>29.7</v>
      </c>
      <c r="T93" s="150">
        <v>34.4</v>
      </c>
      <c r="U93" s="150">
        <v>1163</v>
      </c>
      <c r="V93" s="150">
        <f t="shared" si="7"/>
        <v>0.43627819548872182</v>
      </c>
      <c r="W93" s="206" t="s">
        <v>652</v>
      </c>
      <c r="X93" s="146">
        <f>VLOOKUP($W93,GRADE!$B$5:$E$36,IF($E93&lt;=20,2,IF($E93&lt;=40,3,4)),FALSE)</f>
        <v>330</v>
      </c>
      <c r="Y93" s="146">
        <f>VLOOKUP($W93,GRADE!$B$5:$F$36,5,FALSE)</f>
        <v>490</v>
      </c>
      <c r="Z93" s="219">
        <f t="shared" si="8"/>
        <v>1</v>
      </c>
      <c r="AA93" s="144">
        <f t="shared" si="9"/>
        <v>11969.999999999998</v>
      </c>
      <c r="AB93" s="144">
        <f t="shared" si="10"/>
        <v>4091.9999999999995</v>
      </c>
      <c r="AC93" s="144">
        <f t="shared" si="11"/>
        <v>398.15999999999997</v>
      </c>
      <c r="AD93" s="144">
        <f t="shared" si="12"/>
        <v>3406.1125541003485</v>
      </c>
      <c r="AE93" s="207">
        <f t="shared" si="13"/>
        <v>3692.905526817603</v>
      </c>
    </row>
    <row r="94" spans="1:31" ht="15" x14ac:dyDescent="0.25">
      <c r="A94" s="149" t="s">
        <v>557</v>
      </c>
      <c r="B94" s="150">
        <v>314.3</v>
      </c>
      <c r="C94" s="150">
        <v>999.9</v>
      </c>
      <c r="D94" s="150">
        <v>300</v>
      </c>
      <c r="E94" s="150">
        <v>35.9</v>
      </c>
      <c r="F94" s="150">
        <v>19.100000000000001</v>
      </c>
      <c r="G94" s="150">
        <v>30</v>
      </c>
      <c r="H94" s="150">
        <v>868.1</v>
      </c>
      <c r="I94" s="150">
        <v>400</v>
      </c>
      <c r="J94" s="151">
        <v>644063</v>
      </c>
      <c r="K94" s="151">
        <v>16232</v>
      </c>
      <c r="L94" s="150">
        <v>40.1</v>
      </c>
      <c r="M94" s="150">
        <v>6.37</v>
      </c>
      <c r="N94" s="151">
        <v>12883</v>
      </c>
      <c r="O94" s="151">
        <v>1082</v>
      </c>
      <c r="P94" s="151">
        <v>14850</v>
      </c>
      <c r="Q94" s="151">
        <v>1712</v>
      </c>
      <c r="R94" s="150">
        <v>0.872</v>
      </c>
      <c r="S94" s="150">
        <v>30.7</v>
      </c>
      <c r="T94" s="150">
        <v>37.700000000000003</v>
      </c>
      <c r="U94" s="150">
        <v>1264</v>
      </c>
      <c r="V94" s="150">
        <f t="shared" si="7"/>
        <v>0.41451775000000007</v>
      </c>
      <c r="W94" s="206" t="s">
        <v>652</v>
      </c>
      <c r="X94" s="146">
        <f>VLOOKUP($W94,GRADE!$B$5:$E$36,IF($E94&lt;=20,2,IF($E94&lt;=40,3,4)),FALSE)</f>
        <v>330</v>
      </c>
      <c r="Y94" s="146">
        <f>VLOOKUP($W94,GRADE!$B$5:$F$36,5,FALSE)</f>
        <v>490</v>
      </c>
      <c r="Z94" s="219">
        <f t="shared" si="8"/>
        <v>1</v>
      </c>
      <c r="AA94" s="144">
        <f t="shared" si="9"/>
        <v>11999.999999999998</v>
      </c>
      <c r="AB94" s="144">
        <f t="shared" si="10"/>
        <v>4455</v>
      </c>
      <c r="AC94" s="144">
        <f t="shared" si="11"/>
        <v>389.51999999999992</v>
      </c>
      <c r="AD94" s="144">
        <f t="shared" si="12"/>
        <v>3307.8862207523098</v>
      </c>
      <c r="AE94" s="207">
        <f t="shared" si="13"/>
        <v>3730.8374395033616</v>
      </c>
    </row>
    <row r="95" spans="1:31" ht="15" x14ac:dyDescent="0.25">
      <c r="A95" s="149" t="s">
        <v>558</v>
      </c>
      <c r="B95" s="150">
        <v>343.3</v>
      </c>
      <c r="C95" s="150">
        <v>911.8</v>
      </c>
      <c r="D95" s="150">
        <v>418.5</v>
      </c>
      <c r="E95" s="150">
        <v>32</v>
      </c>
      <c r="F95" s="150">
        <v>19.399999999999999</v>
      </c>
      <c r="G95" s="150">
        <v>24.1</v>
      </c>
      <c r="H95" s="150">
        <v>799.6</v>
      </c>
      <c r="I95" s="150">
        <v>437</v>
      </c>
      <c r="J95" s="151">
        <v>625780</v>
      </c>
      <c r="K95" s="151">
        <v>39156</v>
      </c>
      <c r="L95" s="150">
        <v>37.799999999999997</v>
      </c>
      <c r="M95" s="150">
        <v>9.4600000000000009</v>
      </c>
      <c r="N95" s="151">
        <v>13726</v>
      </c>
      <c r="O95" s="151">
        <v>1871</v>
      </c>
      <c r="P95" s="151">
        <v>15478</v>
      </c>
      <c r="Q95" s="151">
        <v>2889</v>
      </c>
      <c r="R95" s="150">
        <v>0.88300000000000001</v>
      </c>
      <c r="S95" s="150">
        <v>30.1</v>
      </c>
      <c r="T95" s="150">
        <v>75.8</v>
      </c>
      <c r="U95" s="150">
        <v>1193</v>
      </c>
      <c r="V95" s="150">
        <f t="shared" si="7"/>
        <v>0.35497116704805493</v>
      </c>
      <c r="W95" s="206" t="s">
        <v>652</v>
      </c>
      <c r="X95" s="146">
        <f>VLOOKUP($W95,GRADE!$B$5:$E$36,IF($E95&lt;=20,2,IF($E95&lt;=40,3,4)),FALSE)</f>
        <v>330</v>
      </c>
      <c r="Y95" s="146">
        <f>VLOOKUP($W95,GRADE!$B$5:$F$36,5,FALSE)</f>
        <v>490</v>
      </c>
      <c r="Z95" s="219">
        <f t="shared" si="8"/>
        <v>1</v>
      </c>
      <c r="AA95" s="144">
        <f t="shared" si="9"/>
        <v>13109.999999999998</v>
      </c>
      <c r="AB95" s="144">
        <f t="shared" si="10"/>
        <v>4643.3999999999996</v>
      </c>
      <c r="AC95" s="144">
        <f t="shared" si="11"/>
        <v>673.56</v>
      </c>
      <c r="AD95" s="144">
        <f t="shared" si="12"/>
        <v>3063.8108171021263</v>
      </c>
      <c r="AE95" s="207">
        <f t="shared" si="13"/>
        <v>4639.1248829924807</v>
      </c>
    </row>
    <row r="96" spans="1:31" ht="15" x14ac:dyDescent="0.25">
      <c r="A96" s="149" t="s">
        <v>559</v>
      </c>
      <c r="B96" s="150">
        <v>345</v>
      </c>
      <c r="C96" s="150">
        <v>943</v>
      </c>
      <c r="D96" s="150">
        <v>308</v>
      </c>
      <c r="E96" s="150">
        <v>39.9</v>
      </c>
      <c r="F96" s="150">
        <v>22.1</v>
      </c>
      <c r="G96" s="150">
        <v>19.100000000000001</v>
      </c>
      <c r="H96" s="150">
        <v>825</v>
      </c>
      <c r="I96" s="150">
        <v>440</v>
      </c>
      <c r="J96" s="151">
        <v>625300</v>
      </c>
      <c r="K96" s="151">
        <v>19500</v>
      </c>
      <c r="L96" s="150">
        <v>37.700000000000003</v>
      </c>
      <c r="M96" s="150">
        <v>6.66</v>
      </c>
      <c r="N96" s="151">
        <v>13260</v>
      </c>
      <c r="O96" s="151">
        <v>1266</v>
      </c>
      <c r="P96" s="151">
        <v>15340</v>
      </c>
      <c r="Q96" s="151">
        <v>2001</v>
      </c>
      <c r="R96" s="150">
        <v>0.872</v>
      </c>
      <c r="S96" s="150">
        <v>26.4</v>
      </c>
      <c r="T96" s="150">
        <v>39.700000000000003</v>
      </c>
      <c r="U96" s="150">
        <v>1649</v>
      </c>
      <c r="V96" s="150">
        <f t="shared" si="7"/>
        <v>0.41437499999999999</v>
      </c>
      <c r="W96" s="206" t="s">
        <v>652</v>
      </c>
      <c r="X96" s="146">
        <f>VLOOKUP($W96,GRADE!$B$5:$E$36,IF($E96&lt;=20,2,IF($E96&lt;=40,3,4)),FALSE)</f>
        <v>330</v>
      </c>
      <c r="Y96" s="146">
        <f>VLOOKUP($W96,GRADE!$B$5:$F$36,5,FALSE)</f>
        <v>490</v>
      </c>
      <c r="Z96" s="219">
        <f t="shared" si="8"/>
        <v>1</v>
      </c>
      <c r="AA96" s="144">
        <f t="shared" si="9"/>
        <v>13199.999999999998</v>
      </c>
      <c r="AB96" s="144">
        <f t="shared" si="10"/>
        <v>4602</v>
      </c>
      <c r="AC96" s="144">
        <f t="shared" si="11"/>
        <v>455.75999999999993</v>
      </c>
      <c r="AD96" s="144">
        <f t="shared" si="12"/>
        <v>3609.6458444977679</v>
      </c>
      <c r="AE96" s="207">
        <f t="shared" si="13"/>
        <v>4257.103756875088</v>
      </c>
    </row>
    <row r="97" spans="1:31" ht="15" x14ac:dyDescent="0.25">
      <c r="A97" s="149" t="s">
        <v>560</v>
      </c>
      <c r="B97" s="150">
        <v>349.4</v>
      </c>
      <c r="C97" s="150">
        <v>1008.1</v>
      </c>
      <c r="D97" s="150">
        <v>302</v>
      </c>
      <c r="E97" s="150">
        <v>40</v>
      </c>
      <c r="F97" s="150">
        <v>21.1</v>
      </c>
      <c r="G97" s="150">
        <v>30</v>
      </c>
      <c r="H97" s="150">
        <v>868.1</v>
      </c>
      <c r="I97" s="150">
        <v>445</v>
      </c>
      <c r="J97" s="151">
        <v>723131</v>
      </c>
      <c r="K97" s="151">
        <v>18460</v>
      </c>
      <c r="L97" s="150">
        <v>40.299999999999997</v>
      </c>
      <c r="M97" s="150">
        <v>6.44</v>
      </c>
      <c r="N97" s="151">
        <v>14346</v>
      </c>
      <c r="O97" s="151">
        <v>1223</v>
      </c>
      <c r="P97" s="151">
        <v>16593</v>
      </c>
      <c r="Q97" s="151">
        <v>1940</v>
      </c>
      <c r="R97" s="150">
        <v>0.872</v>
      </c>
      <c r="S97" s="150">
        <v>27.9</v>
      </c>
      <c r="T97" s="150">
        <v>43.3</v>
      </c>
      <c r="U97" s="150">
        <v>1718</v>
      </c>
      <c r="V97" s="150">
        <f t="shared" si="7"/>
        <v>0.41161595505617987</v>
      </c>
      <c r="W97" s="206" t="s">
        <v>652</v>
      </c>
      <c r="X97" s="146">
        <f>VLOOKUP($W97,GRADE!$B$5:$E$36,IF($E97&lt;=20,2,IF($E97&lt;=40,3,4)),FALSE)</f>
        <v>330</v>
      </c>
      <c r="Y97" s="146">
        <f>VLOOKUP($W97,GRADE!$B$5:$F$36,5,FALSE)</f>
        <v>490</v>
      </c>
      <c r="Z97" s="219">
        <f t="shared" si="8"/>
        <v>1</v>
      </c>
      <c r="AA97" s="144">
        <f t="shared" si="9"/>
        <v>13349.999999999998</v>
      </c>
      <c r="AB97" s="144">
        <f t="shared" si="10"/>
        <v>4977.8999999999996</v>
      </c>
      <c r="AC97" s="144">
        <f t="shared" si="11"/>
        <v>440.27999999999992</v>
      </c>
      <c r="AD97" s="144">
        <f t="shared" si="12"/>
        <v>3684.2296843224908</v>
      </c>
      <c r="AE97" s="207">
        <f t="shared" si="13"/>
        <v>4184.6347510864071</v>
      </c>
    </row>
    <row r="98" spans="1:31" ht="15" x14ac:dyDescent="0.25">
      <c r="A98" s="149" t="s">
        <v>561</v>
      </c>
      <c r="B98" s="150">
        <v>381</v>
      </c>
      <c r="C98" s="150">
        <v>951</v>
      </c>
      <c r="D98" s="150">
        <v>310</v>
      </c>
      <c r="E98" s="150">
        <v>43.9</v>
      </c>
      <c r="F98" s="150">
        <v>24.4</v>
      </c>
      <c r="G98" s="150">
        <v>19.100000000000001</v>
      </c>
      <c r="H98" s="150">
        <v>825</v>
      </c>
      <c r="I98" s="150">
        <v>486</v>
      </c>
      <c r="J98" s="151">
        <v>696300</v>
      </c>
      <c r="K98" s="151">
        <v>21910</v>
      </c>
      <c r="L98" s="150">
        <v>37.9</v>
      </c>
      <c r="M98" s="150">
        <v>6.72</v>
      </c>
      <c r="N98" s="151">
        <v>14650</v>
      </c>
      <c r="O98" s="151">
        <v>1414</v>
      </c>
      <c r="P98" s="151">
        <v>17020</v>
      </c>
      <c r="Q98" s="151">
        <v>2243</v>
      </c>
      <c r="R98" s="150">
        <v>0.872</v>
      </c>
      <c r="S98" s="150">
        <v>24.1</v>
      </c>
      <c r="T98" s="150">
        <v>45</v>
      </c>
      <c r="U98" s="150">
        <v>2197</v>
      </c>
      <c r="V98" s="150">
        <f t="shared" si="7"/>
        <v>0.41419753086419753</v>
      </c>
      <c r="W98" s="206" t="s">
        <v>652</v>
      </c>
      <c r="X98" s="146">
        <f>VLOOKUP($W98,GRADE!$B$5:$E$36,IF($E98&lt;=20,2,IF($E98&lt;=40,3,4)),FALSE)</f>
        <v>320</v>
      </c>
      <c r="Y98" s="146">
        <f>VLOOKUP($W98,GRADE!$B$5:$F$36,5,FALSE)</f>
        <v>490</v>
      </c>
      <c r="Z98" s="219">
        <f t="shared" si="8"/>
        <v>1</v>
      </c>
      <c r="AA98" s="144">
        <f t="shared" si="9"/>
        <v>14138.181818181816</v>
      </c>
      <c r="AB98" s="144">
        <f t="shared" si="10"/>
        <v>4951.272727272727</v>
      </c>
      <c r="AC98" s="144">
        <f t="shared" si="11"/>
        <v>493.61454545454546</v>
      </c>
      <c r="AD98" s="144">
        <f t="shared" si="12"/>
        <v>3897.3284614934546</v>
      </c>
      <c r="AE98" s="207">
        <f t="shared" si="13"/>
        <v>4571.4384368882129</v>
      </c>
    </row>
    <row r="99" spans="1:31" ht="15" x14ac:dyDescent="0.25">
      <c r="A99" s="149" t="s">
        <v>562</v>
      </c>
      <c r="B99" s="150">
        <v>388</v>
      </c>
      <c r="C99" s="150">
        <v>921</v>
      </c>
      <c r="D99" s="150">
        <v>420.5</v>
      </c>
      <c r="E99" s="150">
        <v>36.6</v>
      </c>
      <c r="F99" s="150">
        <v>21.4</v>
      </c>
      <c r="G99" s="150">
        <v>24.1</v>
      </c>
      <c r="H99" s="150">
        <v>799.6</v>
      </c>
      <c r="I99" s="150">
        <v>494</v>
      </c>
      <c r="J99" s="151">
        <v>719635</v>
      </c>
      <c r="K99" s="151">
        <v>45438</v>
      </c>
      <c r="L99" s="150">
        <v>38.200000000000003</v>
      </c>
      <c r="M99" s="150">
        <v>9.59</v>
      </c>
      <c r="N99" s="151">
        <v>15627</v>
      </c>
      <c r="O99" s="151">
        <v>2161</v>
      </c>
      <c r="P99" s="151">
        <v>17666</v>
      </c>
      <c r="Q99" s="151">
        <v>3340</v>
      </c>
      <c r="R99" s="150">
        <v>0.88500000000000001</v>
      </c>
      <c r="S99" s="150">
        <v>26.7</v>
      </c>
      <c r="T99" s="150">
        <v>88.9</v>
      </c>
      <c r="U99" s="150">
        <v>1734</v>
      </c>
      <c r="V99" s="150">
        <f t="shared" si="7"/>
        <v>0.34638542510121456</v>
      </c>
      <c r="W99" s="206" t="s">
        <v>652</v>
      </c>
      <c r="X99" s="146">
        <f>VLOOKUP($W99,GRADE!$B$5:$E$36,IF($E99&lt;=20,2,IF($E99&lt;=40,3,4)),FALSE)</f>
        <v>330</v>
      </c>
      <c r="Y99" s="146">
        <f>VLOOKUP($W99,GRADE!$B$5:$F$36,5,FALSE)</f>
        <v>490</v>
      </c>
      <c r="Z99" s="219">
        <f t="shared" si="8"/>
        <v>1</v>
      </c>
      <c r="AA99" s="144">
        <f t="shared" si="9"/>
        <v>14819.999999999998</v>
      </c>
      <c r="AB99" s="144">
        <f t="shared" si="10"/>
        <v>5299.8</v>
      </c>
      <c r="AC99" s="144">
        <f t="shared" si="11"/>
        <v>777.95999999999992</v>
      </c>
      <c r="AD99" s="144">
        <f t="shared" si="12"/>
        <v>3413.7682186698025</v>
      </c>
      <c r="AE99" s="207">
        <f t="shared" si="13"/>
        <v>5331.3563087454577</v>
      </c>
    </row>
    <row r="100" spans="1:31" ht="15" x14ac:dyDescent="0.25">
      <c r="A100" s="149" t="s">
        <v>563</v>
      </c>
      <c r="B100" s="150">
        <v>392.7</v>
      </c>
      <c r="C100" s="150">
        <v>1015.9</v>
      </c>
      <c r="D100" s="150">
        <v>303</v>
      </c>
      <c r="E100" s="150">
        <v>43.9</v>
      </c>
      <c r="F100" s="150">
        <v>24.4</v>
      </c>
      <c r="G100" s="150">
        <v>30</v>
      </c>
      <c r="H100" s="150">
        <v>868.1</v>
      </c>
      <c r="I100" s="150">
        <v>500</v>
      </c>
      <c r="J100" s="151">
        <v>807503</v>
      </c>
      <c r="K100" s="151">
        <v>20496</v>
      </c>
      <c r="L100" s="150">
        <v>40.200000000000003</v>
      </c>
      <c r="M100" s="150">
        <v>6.4</v>
      </c>
      <c r="N100" s="151">
        <v>15897</v>
      </c>
      <c r="O100" s="151">
        <v>1353</v>
      </c>
      <c r="P100" s="151">
        <v>18538</v>
      </c>
      <c r="Q100" s="151">
        <v>2167</v>
      </c>
      <c r="R100" s="150">
        <v>0.86799999999999999</v>
      </c>
      <c r="S100" s="150">
        <v>25.5</v>
      </c>
      <c r="T100" s="150">
        <v>48.4</v>
      </c>
      <c r="U100" s="150">
        <v>2330</v>
      </c>
      <c r="V100" s="150">
        <f t="shared" si="7"/>
        <v>0.42363279999999998</v>
      </c>
      <c r="W100" s="206" t="s">
        <v>652</v>
      </c>
      <c r="X100" s="146">
        <f>VLOOKUP($W100,GRADE!$B$5:$E$36,IF($E100&lt;=20,2,IF($E100&lt;=40,3,4)),FALSE)</f>
        <v>320</v>
      </c>
      <c r="Y100" s="146">
        <f>VLOOKUP($W100,GRADE!$B$5:$F$36,5,FALSE)</f>
        <v>490</v>
      </c>
      <c r="Z100" s="219">
        <f t="shared" si="8"/>
        <v>1</v>
      </c>
      <c r="AA100" s="144">
        <f t="shared" si="9"/>
        <v>14545.454545454544</v>
      </c>
      <c r="AB100" s="144">
        <f t="shared" si="10"/>
        <v>5392.8727272727274</v>
      </c>
      <c r="AC100" s="144">
        <f t="shared" si="11"/>
        <v>472.31999999999994</v>
      </c>
      <c r="AD100" s="144">
        <f t="shared" si="12"/>
        <v>4163.2975647015783</v>
      </c>
      <c r="AE100" s="207">
        <f t="shared" si="13"/>
        <v>4468.2124076681566</v>
      </c>
    </row>
    <row r="101" spans="1:31" ht="15" x14ac:dyDescent="0.25">
      <c r="A101" s="149" t="s">
        <v>564</v>
      </c>
      <c r="B101" s="150">
        <v>415.02950000000004</v>
      </c>
      <c r="C101" s="150">
        <v>1020</v>
      </c>
      <c r="D101" s="150">
        <v>304</v>
      </c>
      <c r="E101" s="150">
        <v>46</v>
      </c>
      <c r="F101" s="150">
        <v>26</v>
      </c>
      <c r="G101" s="150">
        <v>30</v>
      </c>
      <c r="H101" s="150">
        <v>868.1</v>
      </c>
      <c r="I101" s="150">
        <v>528.70000000000005</v>
      </c>
      <c r="J101" s="151">
        <v>853100</v>
      </c>
      <c r="K101" s="151">
        <v>21710</v>
      </c>
      <c r="L101" s="150">
        <v>40.17</v>
      </c>
      <c r="M101" s="150">
        <v>6.4099999999999993</v>
      </c>
      <c r="N101" s="151">
        <v>16727.5</v>
      </c>
      <c r="O101" s="151">
        <v>1428.3</v>
      </c>
      <c r="P101" s="151">
        <v>19570</v>
      </c>
      <c r="Q101" s="151">
        <v>2298</v>
      </c>
      <c r="R101" s="150">
        <v>0.86699999999999999</v>
      </c>
      <c r="S101" s="150">
        <v>24.336333396816066</v>
      </c>
      <c r="T101" s="150">
        <v>51.084042099999998</v>
      </c>
      <c r="U101" s="150">
        <v>2713</v>
      </c>
      <c r="V101" s="150">
        <f t="shared" si="7"/>
        <v>0.42690750898430108</v>
      </c>
      <c r="W101" s="206" t="s">
        <v>652</v>
      </c>
      <c r="X101" s="146">
        <f>VLOOKUP($W101,GRADE!$B$5:$E$36,IF($E101&lt;=20,2,IF($E101&lt;=40,3,4)),FALSE)</f>
        <v>320</v>
      </c>
      <c r="Y101" s="146">
        <f>VLOOKUP($W101,GRADE!$B$5:$F$36,5,FALSE)</f>
        <v>490</v>
      </c>
      <c r="Z101" s="219">
        <f t="shared" si="8"/>
        <v>1</v>
      </c>
      <c r="AA101" s="144">
        <f t="shared" si="9"/>
        <v>15380.363636363638</v>
      </c>
      <c r="AB101" s="144">
        <f t="shared" si="10"/>
        <v>5693.090909090909</v>
      </c>
      <c r="AC101" s="144">
        <f t="shared" si="11"/>
        <v>498.60654545454531</v>
      </c>
      <c r="AD101" s="144">
        <f t="shared" si="12"/>
        <v>4454.2048404098541</v>
      </c>
      <c r="AE101" s="207">
        <f t="shared" si="13"/>
        <v>4697.4057683477677</v>
      </c>
    </row>
    <row r="102" spans="1:31" ht="15" x14ac:dyDescent="0.25">
      <c r="A102" s="149" t="s">
        <v>565</v>
      </c>
      <c r="B102" s="150">
        <v>425</v>
      </c>
      <c r="C102" s="150">
        <v>961</v>
      </c>
      <c r="D102" s="150">
        <v>313</v>
      </c>
      <c r="E102" s="150">
        <v>49</v>
      </c>
      <c r="F102" s="150">
        <v>26.9</v>
      </c>
      <c r="G102" s="150">
        <v>19.100000000000001</v>
      </c>
      <c r="H102" s="150">
        <v>825</v>
      </c>
      <c r="I102" s="150">
        <v>542</v>
      </c>
      <c r="J102" s="151">
        <v>787600</v>
      </c>
      <c r="K102" s="151">
        <v>25140</v>
      </c>
      <c r="L102" s="150">
        <v>38.1</v>
      </c>
      <c r="M102" s="150">
        <v>6.81</v>
      </c>
      <c r="N102" s="151">
        <v>16390</v>
      </c>
      <c r="O102" s="151">
        <v>1608</v>
      </c>
      <c r="P102" s="151">
        <v>19120</v>
      </c>
      <c r="Q102" s="151">
        <v>2559</v>
      </c>
      <c r="R102" s="150">
        <v>0.873</v>
      </c>
      <c r="S102" s="150">
        <v>21.8</v>
      </c>
      <c r="T102" s="150">
        <v>52.3</v>
      </c>
      <c r="U102" s="150">
        <v>3027</v>
      </c>
      <c r="V102" s="150">
        <f t="shared" si="7"/>
        <v>0.40945571955719556</v>
      </c>
      <c r="W102" s="206" t="s">
        <v>652</v>
      </c>
      <c r="X102" s="146">
        <f>VLOOKUP($W102,GRADE!$B$5:$E$36,IF($E102&lt;=20,2,IF($E102&lt;=40,3,4)),FALSE)</f>
        <v>320</v>
      </c>
      <c r="Y102" s="146">
        <f>VLOOKUP($W102,GRADE!$B$5:$F$36,5,FALSE)</f>
        <v>490</v>
      </c>
      <c r="Z102" s="219">
        <f t="shared" si="8"/>
        <v>1</v>
      </c>
      <c r="AA102" s="144">
        <f t="shared" si="9"/>
        <v>15767.272727272726</v>
      </c>
      <c r="AB102" s="144">
        <f t="shared" si="10"/>
        <v>5562.181818181818</v>
      </c>
      <c r="AC102" s="144">
        <f t="shared" si="11"/>
        <v>561.33818181818174</v>
      </c>
      <c r="AD102" s="144">
        <f t="shared" si="12"/>
        <v>4341.8251851037367</v>
      </c>
      <c r="AE102" s="207">
        <f t="shared" si="13"/>
        <v>5151.8959002538413</v>
      </c>
    </row>
    <row r="103" spans="1:31" ht="15" x14ac:dyDescent="0.25">
      <c r="A103" s="149" t="s">
        <v>566</v>
      </c>
      <c r="B103" s="150">
        <v>437</v>
      </c>
      <c r="C103" s="150">
        <v>1026.0999999999999</v>
      </c>
      <c r="D103" s="150">
        <v>305.39999999999998</v>
      </c>
      <c r="E103" s="150">
        <v>49</v>
      </c>
      <c r="F103" s="150">
        <v>26.9</v>
      </c>
      <c r="G103" s="150">
        <v>30</v>
      </c>
      <c r="H103" s="150">
        <v>868.1</v>
      </c>
      <c r="I103" s="150">
        <v>557</v>
      </c>
      <c r="J103" s="151">
        <v>910322</v>
      </c>
      <c r="K103" s="151">
        <v>23447</v>
      </c>
      <c r="L103" s="150">
        <v>40.4</v>
      </c>
      <c r="M103" s="150">
        <v>6.49</v>
      </c>
      <c r="N103" s="151">
        <v>17743</v>
      </c>
      <c r="O103" s="151">
        <v>1535</v>
      </c>
      <c r="P103" s="151">
        <v>20769</v>
      </c>
      <c r="Q103" s="151">
        <v>2467</v>
      </c>
      <c r="R103" s="150">
        <v>0.86799999999999999</v>
      </c>
      <c r="S103" s="150">
        <v>23.1</v>
      </c>
      <c r="T103" s="150">
        <v>56</v>
      </c>
      <c r="U103" s="150">
        <v>3185</v>
      </c>
      <c r="V103" s="150">
        <f t="shared" si="7"/>
        <v>0.41924398563734289</v>
      </c>
      <c r="W103" s="206" t="s">
        <v>652</v>
      </c>
      <c r="X103" s="146">
        <f>VLOOKUP($W103,GRADE!$B$5:$E$36,IF($E103&lt;=20,2,IF($E103&lt;=40,3,4)),FALSE)</f>
        <v>320</v>
      </c>
      <c r="Y103" s="146">
        <f>VLOOKUP($W103,GRADE!$B$5:$F$36,5,FALSE)</f>
        <v>490</v>
      </c>
      <c r="Z103" s="219">
        <f t="shared" si="8"/>
        <v>1</v>
      </c>
      <c r="AA103" s="144">
        <f t="shared" si="9"/>
        <v>16203.636363636362</v>
      </c>
      <c r="AB103" s="144">
        <f t="shared" si="10"/>
        <v>6041.8909090909092</v>
      </c>
      <c r="AC103" s="144">
        <f t="shared" si="11"/>
        <v>535.85454545454547</v>
      </c>
      <c r="AD103" s="144">
        <f t="shared" si="12"/>
        <v>4635.9488266752796</v>
      </c>
      <c r="AE103" s="207">
        <f t="shared" si="13"/>
        <v>5026.8019422924062</v>
      </c>
    </row>
    <row r="104" spans="1:31" ht="15" x14ac:dyDescent="0.25">
      <c r="A104" s="149" t="s">
        <v>567</v>
      </c>
      <c r="B104" s="150">
        <v>474</v>
      </c>
      <c r="C104" s="150">
        <v>971</v>
      </c>
      <c r="D104" s="150">
        <v>316</v>
      </c>
      <c r="E104" s="150">
        <v>54.1</v>
      </c>
      <c r="F104" s="150">
        <v>30</v>
      </c>
      <c r="G104" s="150">
        <v>19.100000000000001</v>
      </c>
      <c r="H104" s="150">
        <v>825</v>
      </c>
      <c r="I104" s="150">
        <v>604</v>
      </c>
      <c r="J104" s="151">
        <v>885100</v>
      </c>
      <c r="K104" s="151">
        <v>28580</v>
      </c>
      <c r="L104" s="150">
        <v>38.299999999999997</v>
      </c>
      <c r="M104" s="150">
        <v>6.88</v>
      </c>
      <c r="N104" s="151">
        <v>18230</v>
      </c>
      <c r="O104" s="151">
        <v>1810</v>
      </c>
      <c r="P104" s="151">
        <v>21380</v>
      </c>
      <c r="Q104" s="151">
        <v>2896</v>
      </c>
      <c r="R104" s="150">
        <v>0.872</v>
      </c>
      <c r="S104" s="150">
        <v>19.899999999999999</v>
      </c>
      <c r="T104" s="150">
        <v>60.1</v>
      </c>
      <c r="U104" s="150">
        <v>4101</v>
      </c>
      <c r="V104" s="150">
        <f t="shared" si="7"/>
        <v>0.40976821192052981</v>
      </c>
      <c r="W104" s="206" t="s">
        <v>652</v>
      </c>
      <c r="X104" s="146">
        <f>VLOOKUP($W104,GRADE!$B$5:$E$36,IF($E104&lt;=20,2,IF($E104&lt;=40,3,4)),FALSE)</f>
        <v>320</v>
      </c>
      <c r="Y104" s="146">
        <f>VLOOKUP($W104,GRADE!$B$5:$F$36,5,FALSE)</f>
        <v>490</v>
      </c>
      <c r="Z104" s="219">
        <f t="shared" si="8"/>
        <v>1</v>
      </c>
      <c r="AA104" s="144">
        <f t="shared" si="9"/>
        <v>17570.909090909088</v>
      </c>
      <c r="AB104" s="144">
        <f t="shared" si="10"/>
        <v>6219.6363636363631</v>
      </c>
      <c r="AC104" s="144">
        <f t="shared" si="11"/>
        <v>631.85454545454536</v>
      </c>
      <c r="AD104" s="144">
        <f t="shared" si="12"/>
        <v>4892.5711538891046</v>
      </c>
      <c r="AE104" s="207">
        <f t="shared" si="13"/>
        <v>5742.6322978665694</v>
      </c>
    </row>
    <row r="105" spans="1:31" ht="15" x14ac:dyDescent="0.25">
      <c r="A105" s="149" t="s">
        <v>568</v>
      </c>
      <c r="B105" s="150">
        <v>486.7</v>
      </c>
      <c r="C105" s="150">
        <v>1036.3</v>
      </c>
      <c r="D105" s="150">
        <v>308.5</v>
      </c>
      <c r="E105" s="150">
        <v>54.1</v>
      </c>
      <c r="F105" s="150">
        <v>30</v>
      </c>
      <c r="G105" s="150">
        <v>30</v>
      </c>
      <c r="H105" s="150">
        <v>868.1</v>
      </c>
      <c r="I105" s="150">
        <v>620</v>
      </c>
      <c r="J105" s="151">
        <v>1021884</v>
      </c>
      <c r="K105" s="151">
        <v>26721</v>
      </c>
      <c r="L105" s="150">
        <v>40.6</v>
      </c>
      <c r="M105" s="150">
        <v>6.57</v>
      </c>
      <c r="N105" s="151">
        <v>19722</v>
      </c>
      <c r="O105" s="151">
        <v>1732</v>
      </c>
      <c r="P105" s="151">
        <v>23208</v>
      </c>
      <c r="Q105" s="151">
        <v>2799</v>
      </c>
      <c r="R105" s="150">
        <v>0.86699999999999999</v>
      </c>
      <c r="S105" s="150">
        <v>21.1</v>
      </c>
      <c r="T105" s="150">
        <v>64.400000000000006</v>
      </c>
      <c r="U105" s="150">
        <v>4299</v>
      </c>
      <c r="V105" s="150">
        <f t="shared" si="7"/>
        <v>0.42004838709677417</v>
      </c>
      <c r="W105" s="206" t="s">
        <v>652</v>
      </c>
      <c r="X105" s="146">
        <f>VLOOKUP($W105,GRADE!$B$5:$E$36,IF($E105&lt;=20,2,IF($E105&lt;=40,3,4)),FALSE)</f>
        <v>320</v>
      </c>
      <c r="Y105" s="146">
        <f>VLOOKUP($W105,GRADE!$B$5:$F$36,5,FALSE)</f>
        <v>490</v>
      </c>
      <c r="Z105" s="219">
        <f t="shared" si="8"/>
        <v>1</v>
      </c>
      <c r="AA105" s="144">
        <f t="shared" si="9"/>
        <v>18036.363636363636</v>
      </c>
      <c r="AB105" s="144">
        <f t="shared" si="10"/>
        <v>6751.4181818181814</v>
      </c>
      <c r="AC105" s="144">
        <f t="shared" si="11"/>
        <v>604.62545454545455</v>
      </c>
      <c r="AD105" s="144">
        <f t="shared" si="12"/>
        <v>5221.5978236614619</v>
      </c>
      <c r="AE105" s="207">
        <f t="shared" si="13"/>
        <v>5606.335645227332</v>
      </c>
    </row>
    <row r="106" spans="1:31" ht="15" x14ac:dyDescent="0.25">
      <c r="A106" s="149" t="s">
        <v>569</v>
      </c>
      <c r="B106" s="150">
        <v>493.84350000000001</v>
      </c>
      <c r="C106" s="150">
        <v>1036</v>
      </c>
      <c r="D106" s="150">
        <v>309</v>
      </c>
      <c r="E106" s="150">
        <v>54</v>
      </c>
      <c r="F106" s="150">
        <v>31</v>
      </c>
      <c r="G106" s="150">
        <v>30</v>
      </c>
      <c r="H106" s="150">
        <v>868.1</v>
      </c>
      <c r="I106" s="150">
        <v>629.1</v>
      </c>
      <c r="J106" s="151">
        <v>1028000</v>
      </c>
      <c r="K106" s="151">
        <v>26820</v>
      </c>
      <c r="L106" s="150">
        <v>40.42</v>
      </c>
      <c r="M106" s="150">
        <v>6.5299999999999994</v>
      </c>
      <c r="N106" s="151">
        <v>19845.599999999999</v>
      </c>
      <c r="O106" s="151">
        <v>1735.9</v>
      </c>
      <c r="P106" s="151">
        <v>23410</v>
      </c>
      <c r="Q106" s="151">
        <v>2818</v>
      </c>
      <c r="R106" s="150">
        <v>0.86699999999999999</v>
      </c>
      <c r="S106" s="150">
        <v>20.938178405078002</v>
      </c>
      <c r="T106" s="150">
        <v>51.084042099999998</v>
      </c>
      <c r="U106" s="150">
        <v>4433</v>
      </c>
      <c r="V106" s="150">
        <f t="shared" si="7"/>
        <v>0.42777141948815772</v>
      </c>
      <c r="W106" s="206" t="s">
        <v>652</v>
      </c>
      <c r="X106" s="146">
        <f>VLOOKUP($W106,GRADE!$B$5:$E$36,IF($E106&lt;=20,2,IF($E106&lt;=40,3,4)),FALSE)</f>
        <v>320</v>
      </c>
      <c r="Y106" s="146">
        <f>VLOOKUP($W106,GRADE!$B$5:$F$36,5,FALSE)</f>
        <v>490</v>
      </c>
      <c r="Z106" s="219">
        <f t="shared" si="8"/>
        <v>1</v>
      </c>
      <c r="AA106" s="144">
        <f t="shared" si="9"/>
        <v>18301.090909090908</v>
      </c>
      <c r="AB106" s="144">
        <f t="shared" si="10"/>
        <v>6810.181818181818</v>
      </c>
      <c r="AC106" s="144">
        <f t="shared" si="11"/>
        <v>605.98690909090897</v>
      </c>
      <c r="AD106" s="144">
        <f t="shared" si="12"/>
        <v>5394.089089540078</v>
      </c>
      <c r="AE106" s="207">
        <f t="shared" si="13"/>
        <v>5605.0423806243462</v>
      </c>
    </row>
    <row r="107" spans="1:31" ht="15" x14ac:dyDescent="0.25">
      <c r="A107" s="149" t="s">
        <v>570</v>
      </c>
      <c r="B107" s="150">
        <v>521</v>
      </c>
      <c r="C107" s="150">
        <v>981</v>
      </c>
      <c r="D107" s="150">
        <v>319</v>
      </c>
      <c r="E107" s="150">
        <v>58.9</v>
      </c>
      <c r="F107" s="150">
        <v>33</v>
      </c>
      <c r="G107" s="150">
        <v>19.100000000000001</v>
      </c>
      <c r="H107" s="150">
        <v>825</v>
      </c>
      <c r="I107" s="150">
        <v>663</v>
      </c>
      <c r="J107" s="151">
        <v>981300</v>
      </c>
      <c r="K107" s="151">
        <v>32080</v>
      </c>
      <c r="L107" s="150">
        <v>38.5</v>
      </c>
      <c r="M107" s="150">
        <v>6.95</v>
      </c>
      <c r="N107" s="151">
        <v>20010</v>
      </c>
      <c r="O107" s="151">
        <v>2012</v>
      </c>
      <c r="P107" s="151">
        <v>23590</v>
      </c>
      <c r="Q107" s="151">
        <v>3234</v>
      </c>
      <c r="R107" s="150">
        <v>0.871</v>
      </c>
      <c r="S107" s="150">
        <v>18.399999999999999</v>
      </c>
      <c r="T107" s="150">
        <v>68.099999999999994</v>
      </c>
      <c r="U107" s="150">
        <v>5337</v>
      </c>
      <c r="V107" s="150">
        <f t="shared" si="7"/>
        <v>0.41063348416289591</v>
      </c>
      <c r="W107" s="206" t="s">
        <v>652</v>
      </c>
      <c r="X107" s="146">
        <f>VLOOKUP($W107,GRADE!$B$5:$E$36,IF($E107&lt;=20,2,IF($E107&lt;=40,3,4)),FALSE)</f>
        <v>320</v>
      </c>
      <c r="Y107" s="146">
        <f>VLOOKUP($W107,GRADE!$B$5:$F$36,5,FALSE)</f>
        <v>490</v>
      </c>
      <c r="Z107" s="219">
        <f t="shared" si="8"/>
        <v>1</v>
      </c>
      <c r="AA107" s="144">
        <f t="shared" si="9"/>
        <v>19287.272727272728</v>
      </c>
      <c r="AB107" s="144">
        <f t="shared" si="10"/>
        <v>6862.545454545454</v>
      </c>
      <c r="AC107" s="144">
        <f t="shared" si="11"/>
        <v>702.37090909090898</v>
      </c>
      <c r="AD107" s="144">
        <f t="shared" si="12"/>
        <v>5437.2538951202196</v>
      </c>
      <c r="AE107" s="207">
        <f t="shared" si="13"/>
        <v>6311.5007667379186</v>
      </c>
    </row>
    <row r="108" spans="1:31" ht="15" x14ac:dyDescent="0.25">
      <c r="A108" s="149" t="s">
        <v>571</v>
      </c>
      <c r="B108" s="150">
        <v>576</v>
      </c>
      <c r="C108" s="150">
        <v>993</v>
      </c>
      <c r="D108" s="150">
        <v>322</v>
      </c>
      <c r="E108" s="150">
        <v>65</v>
      </c>
      <c r="F108" s="150">
        <v>36.1</v>
      </c>
      <c r="G108" s="150">
        <v>19.100000000000001</v>
      </c>
      <c r="H108" s="150">
        <v>825</v>
      </c>
      <c r="I108" s="150">
        <v>733</v>
      </c>
      <c r="J108" s="151">
        <v>1101300</v>
      </c>
      <c r="K108" s="151">
        <v>36470</v>
      </c>
      <c r="L108" s="150">
        <v>38.799999999999997</v>
      </c>
      <c r="M108" s="150">
        <v>7.05</v>
      </c>
      <c r="N108" s="151">
        <v>22180</v>
      </c>
      <c r="O108" s="151">
        <v>2267</v>
      </c>
      <c r="P108" s="151">
        <v>26270</v>
      </c>
      <c r="Q108" s="151">
        <v>3655</v>
      </c>
      <c r="R108" s="150">
        <v>0.871</v>
      </c>
      <c r="S108" s="150">
        <v>16.8</v>
      </c>
      <c r="T108" s="150">
        <v>78.5</v>
      </c>
      <c r="U108" s="150">
        <v>7134</v>
      </c>
      <c r="V108" s="150">
        <f t="shared" si="7"/>
        <v>0.40630968622100955</v>
      </c>
      <c r="W108" s="206" t="s">
        <v>652</v>
      </c>
      <c r="X108" s="146">
        <f>VLOOKUP($W108,GRADE!$B$5:$E$36,IF($E108&lt;=20,2,IF($E108&lt;=40,3,4)),FALSE)</f>
        <v>320</v>
      </c>
      <c r="Y108" s="146">
        <f>VLOOKUP($W108,GRADE!$B$5:$F$36,5,FALSE)</f>
        <v>490</v>
      </c>
      <c r="Z108" s="219">
        <f t="shared" si="8"/>
        <v>1</v>
      </c>
      <c r="AA108" s="144">
        <f t="shared" si="9"/>
        <v>21323.636363636364</v>
      </c>
      <c r="AB108" s="144">
        <f t="shared" si="10"/>
        <v>7642.181818181818</v>
      </c>
      <c r="AC108" s="144">
        <f t="shared" si="11"/>
        <v>791.3890909090909</v>
      </c>
      <c r="AD108" s="144">
        <f t="shared" si="12"/>
        <v>6020.7849613734606</v>
      </c>
      <c r="AE108" s="207">
        <f t="shared" si="13"/>
        <v>7030.6566598626132</v>
      </c>
    </row>
    <row r="109" spans="1:31" ht="15" x14ac:dyDescent="0.25">
      <c r="A109" s="149" t="s">
        <v>572</v>
      </c>
      <c r="B109" s="150">
        <v>583.80449999999996</v>
      </c>
      <c r="C109" s="150">
        <v>1056</v>
      </c>
      <c r="D109" s="150">
        <v>314</v>
      </c>
      <c r="E109" s="150">
        <v>64</v>
      </c>
      <c r="F109" s="150">
        <v>36</v>
      </c>
      <c r="G109" s="150">
        <v>30</v>
      </c>
      <c r="H109" s="150">
        <v>868.1</v>
      </c>
      <c r="I109" s="150">
        <v>743.7</v>
      </c>
      <c r="J109" s="151">
        <v>1246000</v>
      </c>
      <c r="K109" s="151">
        <v>33430</v>
      </c>
      <c r="L109" s="150">
        <v>40.93</v>
      </c>
      <c r="M109" s="150">
        <v>6.7</v>
      </c>
      <c r="N109" s="151">
        <v>23598.5</v>
      </c>
      <c r="O109" s="151">
        <v>2129.3000000000002</v>
      </c>
      <c r="P109" s="151">
        <v>28040</v>
      </c>
      <c r="Q109" s="151">
        <v>3475</v>
      </c>
      <c r="R109" s="150">
        <v>0.86699999999999999</v>
      </c>
      <c r="S109" s="150">
        <v>18.00768335345537</v>
      </c>
      <c r="T109" s="150">
        <v>51.084042099999998</v>
      </c>
      <c r="U109" s="150">
        <v>7230</v>
      </c>
      <c r="V109" s="150">
        <f t="shared" si="7"/>
        <v>0.42021782977006861</v>
      </c>
      <c r="W109" s="206" t="s">
        <v>652</v>
      </c>
      <c r="X109" s="146">
        <f>VLOOKUP($W109,GRADE!$B$5:$E$36,IF($E109&lt;=20,2,IF($E109&lt;=40,3,4)),FALSE)</f>
        <v>320</v>
      </c>
      <c r="Y109" s="146">
        <f>VLOOKUP($W109,GRADE!$B$5:$F$36,5,FALSE)</f>
        <v>490</v>
      </c>
      <c r="Z109" s="219">
        <f t="shared" si="8"/>
        <v>1</v>
      </c>
      <c r="AA109" s="144">
        <f t="shared" si="9"/>
        <v>21634.909090909088</v>
      </c>
      <c r="AB109" s="144">
        <f t="shared" si="10"/>
        <v>8157.0909090909081</v>
      </c>
      <c r="AC109" s="144">
        <f t="shared" si="11"/>
        <v>743.31927272727273</v>
      </c>
      <c r="AD109" s="144">
        <f t="shared" si="12"/>
        <v>6385.0320970219091</v>
      </c>
      <c r="AE109" s="207">
        <f t="shared" si="13"/>
        <v>6750.5053146965638</v>
      </c>
    </row>
    <row r="110" spans="1:31" ht="15" x14ac:dyDescent="0.25">
      <c r="A110" s="149" t="s">
        <v>573</v>
      </c>
      <c r="B110" s="150">
        <v>641.81600000000003</v>
      </c>
      <c r="C110" s="150">
        <v>1048</v>
      </c>
      <c r="D110" s="150">
        <v>412</v>
      </c>
      <c r="E110" s="150">
        <v>60</v>
      </c>
      <c r="F110" s="150">
        <v>34</v>
      </c>
      <c r="G110" s="150">
        <v>30</v>
      </c>
      <c r="H110" s="150">
        <v>868.1</v>
      </c>
      <c r="I110" s="150">
        <v>817.6</v>
      </c>
      <c r="J110" s="151">
        <v>1451000</v>
      </c>
      <c r="K110" s="151">
        <v>70280</v>
      </c>
      <c r="L110" s="150">
        <v>42.13</v>
      </c>
      <c r="M110" s="150">
        <v>9.27</v>
      </c>
      <c r="N110" s="151">
        <v>27690.799999999999</v>
      </c>
      <c r="O110" s="151">
        <v>3411.7</v>
      </c>
      <c r="P110" s="151">
        <v>32100</v>
      </c>
      <c r="Q110" s="151">
        <v>5379</v>
      </c>
      <c r="R110" s="150">
        <v>0.86699999999999999</v>
      </c>
      <c r="S110" s="150">
        <v>18.53776401892361</v>
      </c>
      <c r="T110" s="150">
        <v>51.084042099999998</v>
      </c>
      <c r="U110" s="150">
        <v>7440</v>
      </c>
      <c r="V110" s="150">
        <f t="shared" si="7"/>
        <v>0.36100048923679062</v>
      </c>
      <c r="W110" s="206" t="s">
        <v>652</v>
      </c>
      <c r="X110" s="146">
        <f>VLOOKUP($W110,GRADE!$B$5:$E$36,IF($E110&lt;=20,2,IF($E110&lt;=40,3,4)),FALSE)</f>
        <v>320</v>
      </c>
      <c r="Y110" s="146">
        <f>VLOOKUP($W110,GRADE!$B$5:$F$36,5,FALSE)</f>
        <v>490</v>
      </c>
      <c r="Z110" s="219">
        <f t="shared" si="8"/>
        <v>1</v>
      </c>
      <c r="AA110" s="144">
        <f t="shared" si="9"/>
        <v>23784.727272727268</v>
      </c>
      <c r="AB110" s="144">
        <f t="shared" si="10"/>
        <v>9338.181818181818</v>
      </c>
      <c r="AC110" s="144">
        <f t="shared" si="11"/>
        <v>1190.9934545454544</v>
      </c>
      <c r="AD110" s="144">
        <f t="shared" si="12"/>
        <v>5984.6239394224713</v>
      </c>
      <c r="AE110" s="207">
        <f t="shared" si="13"/>
        <v>8303.7664898138464</v>
      </c>
    </row>
    <row r="111" spans="1:31" ht="15" x14ac:dyDescent="0.25">
      <c r="A111" s="149" t="s">
        <v>574</v>
      </c>
      <c r="B111" s="150">
        <v>748.41899999999998</v>
      </c>
      <c r="C111" s="150">
        <v>1068</v>
      </c>
      <c r="D111" s="150">
        <v>417</v>
      </c>
      <c r="E111" s="150">
        <v>70</v>
      </c>
      <c r="F111" s="150">
        <v>39</v>
      </c>
      <c r="G111" s="150">
        <v>30</v>
      </c>
      <c r="H111" s="150">
        <v>868.1</v>
      </c>
      <c r="I111" s="150">
        <v>953.4</v>
      </c>
      <c r="J111" s="151">
        <v>1732000</v>
      </c>
      <c r="K111" s="151">
        <v>85110</v>
      </c>
      <c r="L111" s="150">
        <v>42.62</v>
      </c>
      <c r="M111" s="150">
        <v>9.4499999999999993</v>
      </c>
      <c r="N111" s="151">
        <v>32434.5</v>
      </c>
      <c r="O111" s="151">
        <v>4082</v>
      </c>
      <c r="P111" s="151">
        <v>37880</v>
      </c>
      <c r="Q111" s="151">
        <v>6459</v>
      </c>
      <c r="R111" s="150">
        <v>0.86699999999999999</v>
      </c>
      <c r="S111" s="150">
        <v>16.145411494042094</v>
      </c>
      <c r="T111" s="150">
        <v>51.084042099999998</v>
      </c>
      <c r="U111" s="150">
        <v>11670</v>
      </c>
      <c r="V111" s="150">
        <f t="shared" si="7"/>
        <v>0.35510698552548775</v>
      </c>
      <c r="W111" s="206" t="s">
        <v>652</v>
      </c>
      <c r="X111" s="146">
        <f>VLOOKUP($W111,GRADE!$B$5:$E$36,IF($E111&lt;=20,2,IF($E111&lt;=40,3,4)),FALSE)</f>
        <v>320</v>
      </c>
      <c r="Y111" s="146">
        <f>VLOOKUP($W111,GRADE!$B$5:$F$36,5,FALSE)</f>
        <v>490</v>
      </c>
      <c r="Z111" s="219">
        <f t="shared" si="8"/>
        <v>1</v>
      </c>
      <c r="AA111" s="144">
        <f t="shared" si="9"/>
        <v>27735.272727272728</v>
      </c>
      <c r="AB111" s="144">
        <f t="shared" si="10"/>
        <v>11019.636363636362</v>
      </c>
      <c r="AC111" s="144">
        <f t="shared" si="11"/>
        <v>1424.9890909090907</v>
      </c>
      <c r="AD111" s="144">
        <f t="shared" si="12"/>
        <v>6995.7217199378301</v>
      </c>
      <c r="AE111" s="207">
        <f t="shared" si="13"/>
        <v>9805.2970808117389</v>
      </c>
    </row>
    <row r="112" spans="1:31" ht="15" x14ac:dyDescent="0.25">
      <c r="A112" s="149" t="s">
        <v>575</v>
      </c>
      <c r="B112" s="150">
        <v>883.3605</v>
      </c>
      <c r="C112" s="150">
        <v>1092</v>
      </c>
      <c r="D112" s="150">
        <v>424</v>
      </c>
      <c r="E112" s="150">
        <v>82</v>
      </c>
      <c r="F112" s="150">
        <v>45.5</v>
      </c>
      <c r="G112" s="150">
        <v>30</v>
      </c>
      <c r="H112" s="150">
        <v>868.1</v>
      </c>
      <c r="I112" s="150">
        <v>1125.3</v>
      </c>
      <c r="J112" s="151">
        <v>2096000</v>
      </c>
      <c r="K112" s="151">
        <v>105000</v>
      </c>
      <c r="L112" s="150">
        <v>43.160000000000004</v>
      </c>
      <c r="M112" s="150">
        <v>9.66</v>
      </c>
      <c r="N112" s="151">
        <v>38388.300000000003</v>
      </c>
      <c r="O112" s="151">
        <v>4952.8</v>
      </c>
      <c r="P112" s="151">
        <v>45260</v>
      </c>
      <c r="Q112" s="151">
        <v>7874</v>
      </c>
      <c r="R112" s="150">
        <v>0.86699999999999999</v>
      </c>
      <c r="S112" s="150">
        <v>14.004619972883805</v>
      </c>
      <c r="T112" s="150">
        <v>51.084042099999998</v>
      </c>
      <c r="U112" s="150">
        <v>18750</v>
      </c>
      <c r="V112" s="150">
        <f t="shared" si="7"/>
        <v>0.35100462098995827</v>
      </c>
      <c r="W112" s="206" t="s">
        <v>652</v>
      </c>
      <c r="X112" s="146">
        <f>VLOOKUP($W112,GRADE!$B$5:$E$36,IF($E112&lt;=20,2,IF($E112&lt;=40,3,4)),FALSE)</f>
        <v>320</v>
      </c>
      <c r="Y112" s="146">
        <f>VLOOKUP($W112,GRADE!$B$5:$F$36,5,FALSE)</f>
        <v>490</v>
      </c>
      <c r="Z112" s="219">
        <f t="shared" si="8"/>
        <v>1</v>
      </c>
      <c r="AA112" s="144">
        <f t="shared" si="9"/>
        <v>32735.999999999996</v>
      </c>
      <c r="AB112" s="144">
        <f t="shared" si="10"/>
        <v>13166.545454545454</v>
      </c>
      <c r="AC112" s="144">
        <f t="shared" si="11"/>
        <v>1728.9774545454545</v>
      </c>
      <c r="AD112" s="144">
        <f t="shared" si="12"/>
        <v>8345.0837745325807</v>
      </c>
      <c r="AE112" s="207">
        <f t="shared" si="13"/>
        <v>11679.019147162127</v>
      </c>
    </row>
    <row r="113" spans="1:31" ht="15" x14ac:dyDescent="0.25">
      <c r="A113" s="149" t="s">
        <v>576</v>
      </c>
      <c r="B113" s="150">
        <v>975.51949999999999</v>
      </c>
      <c r="C113" s="150">
        <v>1108</v>
      </c>
      <c r="D113" s="150">
        <v>428</v>
      </c>
      <c r="E113" s="150">
        <v>89.9</v>
      </c>
      <c r="F113" s="150">
        <v>50</v>
      </c>
      <c r="G113" s="150">
        <v>30</v>
      </c>
      <c r="H113" s="150">
        <v>868.1</v>
      </c>
      <c r="I113" s="150">
        <v>1242.7</v>
      </c>
      <c r="J113" s="151">
        <v>2349000</v>
      </c>
      <c r="K113" s="151">
        <v>118500</v>
      </c>
      <c r="L113" s="150">
        <v>43.480000000000004</v>
      </c>
      <c r="M113" s="150">
        <v>9.77</v>
      </c>
      <c r="N113" s="151">
        <v>42400.7</v>
      </c>
      <c r="O113" s="151">
        <v>5537.4</v>
      </c>
      <c r="P113" s="151">
        <v>50300</v>
      </c>
      <c r="Q113" s="151">
        <v>8839</v>
      </c>
      <c r="R113" s="150">
        <v>0.86699999999999999</v>
      </c>
      <c r="S113" s="150">
        <v>12.907050655574654</v>
      </c>
      <c r="T113" s="150">
        <v>51.084042099999998</v>
      </c>
      <c r="U113" s="150">
        <v>24770</v>
      </c>
      <c r="V113" s="150">
        <f t="shared" si="7"/>
        <v>0.34927979399694215</v>
      </c>
      <c r="W113" s="206" t="s">
        <v>652</v>
      </c>
      <c r="X113" s="146">
        <f>VLOOKUP($W113,GRADE!$B$5:$E$36,IF($E113&lt;=20,2,IF($E113&lt;=40,3,4)),FALSE)</f>
        <v>320</v>
      </c>
      <c r="Y113" s="146">
        <f>VLOOKUP($W113,GRADE!$B$5:$F$36,5,FALSE)</f>
        <v>490</v>
      </c>
      <c r="Z113" s="219">
        <f t="shared" si="8"/>
        <v>1</v>
      </c>
      <c r="AA113" s="144">
        <f t="shared" si="9"/>
        <v>36151.272727272728</v>
      </c>
      <c r="AB113" s="144">
        <f t="shared" si="10"/>
        <v>14632.727272727272</v>
      </c>
      <c r="AC113" s="144">
        <f t="shared" si="11"/>
        <v>1933.0559999999996</v>
      </c>
      <c r="AD113" s="144">
        <f t="shared" si="12"/>
        <v>9304.7868838124414</v>
      </c>
      <c r="AE113" s="207">
        <f t="shared" si="13"/>
        <v>12924.987216094878</v>
      </c>
    </row>
    <row r="114" spans="1:31" ht="15" x14ac:dyDescent="0.25">
      <c r="A114" s="3" t="s">
        <v>577</v>
      </c>
      <c r="B114" s="150">
        <v>23</v>
      </c>
      <c r="C114" s="150">
        <v>152.4</v>
      </c>
      <c r="D114" s="150">
        <v>152.19999999999999</v>
      </c>
      <c r="E114" s="150">
        <v>6.8</v>
      </c>
      <c r="F114" s="150">
        <v>5.8</v>
      </c>
      <c r="G114" s="150">
        <v>7.6</v>
      </c>
      <c r="H114" s="150">
        <v>123.6</v>
      </c>
      <c r="I114" s="150">
        <v>29.2</v>
      </c>
      <c r="J114" s="150">
        <v>1250</v>
      </c>
      <c r="K114" s="150">
        <v>400</v>
      </c>
      <c r="L114" s="150">
        <v>6.54</v>
      </c>
      <c r="M114" s="150">
        <v>3.7</v>
      </c>
      <c r="N114" s="150">
        <v>164</v>
      </c>
      <c r="O114" s="150">
        <v>53</v>
      </c>
      <c r="P114" s="150">
        <v>182</v>
      </c>
      <c r="Q114" s="150">
        <v>80</v>
      </c>
      <c r="R114" s="150">
        <v>0.84</v>
      </c>
      <c r="S114" s="150">
        <v>20.7</v>
      </c>
      <c r="T114" s="150">
        <v>2.12E-2</v>
      </c>
      <c r="U114" s="150">
        <v>4.63</v>
      </c>
      <c r="V114" s="150">
        <f t="shared" si="7"/>
        <v>0.2455068493150685</v>
      </c>
      <c r="W114" s="206" t="s">
        <v>652</v>
      </c>
      <c r="X114" s="146">
        <f>VLOOKUP($W114,GRADE!$B$5:$E$36,IF($E114&lt;=20,2,IF($E114&lt;=40,3,4)),FALSE)</f>
        <v>350</v>
      </c>
      <c r="Y114" s="146">
        <f>VLOOKUP($W114,GRADE!$B$5:$F$36,5,FALSE)</f>
        <v>490</v>
      </c>
      <c r="Z114" s="219">
        <f t="shared" si="8"/>
        <v>3</v>
      </c>
      <c r="AA114" s="144">
        <f t="shared" si="9"/>
        <v>929.09090909090901</v>
      </c>
      <c r="AB114" s="144">
        <f t="shared" si="10"/>
        <v>52.18181818181818</v>
      </c>
      <c r="AC114" s="144">
        <f t="shared" si="11"/>
        <v>16.863636363636363</v>
      </c>
      <c r="AD114" s="144">
        <f t="shared" si="12"/>
        <v>162.37818861793897</v>
      </c>
      <c r="AE114" s="207">
        <f t="shared" si="13"/>
        <v>380.24918565486047</v>
      </c>
    </row>
    <row r="115" spans="1:31" ht="15" x14ac:dyDescent="0.25">
      <c r="A115" s="3" t="s">
        <v>578</v>
      </c>
      <c r="B115" s="150">
        <v>30</v>
      </c>
      <c r="C115" s="150">
        <v>157.6</v>
      </c>
      <c r="D115" s="150">
        <v>152.9</v>
      </c>
      <c r="E115" s="150">
        <v>9.4</v>
      </c>
      <c r="F115" s="150">
        <v>6.5</v>
      </c>
      <c r="G115" s="150">
        <v>7.6</v>
      </c>
      <c r="H115" s="150">
        <v>123.6</v>
      </c>
      <c r="I115" s="150">
        <v>38.299999999999997</v>
      </c>
      <c r="J115" s="150">
        <v>1748</v>
      </c>
      <c r="K115" s="150">
        <v>560</v>
      </c>
      <c r="L115" s="150">
        <v>6.76</v>
      </c>
      <c r="M115" s="150">
        <v>3.83</v>
      </c>
      <c r="N115" s="150">
        <v>222</v>
      </c>
      <c r="O115" s="150">
        <v>73</v>
      </c>
      <c r="P115" s="150">
        <v>248</v>
      </c>
      <c r="Q115" s="150">
        <v>112</v>
      </c>
      <c r="R115" s="150">
        <v>0.84899999999999998</v>
      </c>
      <c r="S115" s="150">
        <v>16</v>
      </c>
      <c r="T115" s="150">
        <v>3.0800000000000001E-2</v>
      </c>
      <c r="U115" s="150">
        <v>10.5</v>
      </c>
      <c r="V115" s="150">
        <f t="shared" si="7"/>
        <v>0.20976501305483031</v>
      </c>
      <c r="W115" s="206" t="s">
        <v>652</v>
      </c>
      <c r="X115" s="146">
        <f>VLOOKUP($W115,GRADE!$B$5:$E$36,IF($E115&lt;=20,2,IF($E115&lt;=40,3,4)),FALSE)</f>
        <v>350</v>
      </c>
      <c r="Y115" s="146">
        <f>VLOOKUP($W115,GRADE!$B$5:$F$36,5,FALSE)</f>
        <v>490</v>
      </c>
      <c r="Z115" s="219">
        <f t="shared" si="8"/>
        <v>2</v>
      </c>
      <c r="AA115" s="144">
        <f t="shared" si="9"/>
        <v>1218.6363636363633</v>
      </c>
      <c r="AB115" s="144">
        <f t="shared" si="10"/>
        <v>78.909090909090907</v>
      </c>
      <c r="AC115" s="144">
        <f t="shared" si="11"/>
        <v>27.872727272727271</v>
      </c>
      <c r="AD115" s="144">
        <f t="shared" si="12"/>
        <v>188.18469592295307</v>
      </c>
      <c r="AE115" s="207">
        <f t="shared" si="13"/>
        <v>528.05610320621554</v>
      </c>
    </row>
    <row r="116" spans="1:31" ht="15" x14ac:dyDescent="0.25">
      <c r="A116" s="3" t="s">
        <v>579</v>
      </c>
      <c r="B116" s="150">
        <v>37</v>
      </c>
      <c r="C116" s="150">
        <v>161.80000000000001</v>
      </c>
      <c r="D116" s="150">
        <v>154.4</v>
      </c>
      <c r="E116" s="150">
        <v>11.5</v>
      </c>
      <c r="F116" s="150">
        <v>8</v>
      </c>
      <c r="G116" s="150">
        <v>7.6</v>
      </c>
      <c r="H116" s="150">
        <v>123.6</v>
      </c>
      <c r="I116" s="150">
        <v>47.1</v>
      </c>
      <c r="J116" s="150">
        <v>2210</v>
      </c>
      <c r="K116" s="150">
        <v>706</v>
      </c>
      <c r="L116" s="150">
        <v>6.85</v>
      </c>
      <c r="M116" s="150">
        <v>3.87</v>
      </c>
      <c r="N116" s="150">
        <v>273</v>
      </c>
      <c r="O116" s="150">
        <v>91</v>
      </c>
      <c r="P116" s="150">
        <v>309</v>
      </c>
      <c r="Q116" s="150">
        <v>140</v>
      </c>
      <c r="R116" s="150">
        <v>0.84799999999999998</v>
      </c>
      <c r="S116" s="150">
        <v>13.3</v>
      </c>
      <c r="T116" s="150">
        <v>3.9899999999999998E-2</v>
      </c>
      <c r="U116" s="150">
        <v>19.2</v>
      </c>
      <c r="V116" s="150">
        <f t="shared" si="7"/>
        <v>0.20993630573248406</v>
      </c>
      <c r="W116" s="206" t="s">
        <v>652</v>
      </c>
      <c r="X116" s="146">
        <f>VLOOKUP($W116,GRADE!$B$5:$E$36,IF($E116&lt;=20,2,IF($E116&lt;=40,3,4)),FALSE)</f>
        <v>350</v>
      </c>
      <c r="Y116" s="146">
        <f>VLOOKUP($W116,GRADE!$B$5:$F$36,5,FALSE)</f>
        <v>490</v>
      </c>
      <c r="Z116" s="219">
        <f t="shared" si="8"/>
        <v>1</v>
      </c>
      <c r="AA116" s="144">
        <f t="shared" si="9"/>
        <v>1498.6363636363635</v>
      </c>
      <c r="AB116" s="144">
        <f t="shared" si="10"/>
        <v>98.318181818181813</v>
      </c>
      <c r="AC116" s="144">
        <f t="shared" si="11"/>
        <v>34.745454545454542</v>
      </c>
      <c r="AD116" s="144">
        <f t="shared" si="12"/>
        <v>237.7843326851528</v>
      </c>
      <c r="AE116" s="207">
        <f t="shared" si="13"/>
        <v>652.36381507379065</v>
      </c>
    </row>
    <row r="117" spans="1:31" ht="15" x14ac:dyDescent="0.25">
      <c r="A117" s="3" t="s">
        <v>580</v>
      </c>
      <c r="B117" s="150">
        <v>44</v>
      </c>
      <c r="C117" s="150">
        <v>166</v>
      </c>
      <c r="D117" s="150">
        <v>155.9</v>
      </c>
      <c r="E117" s="150">
        <v>13.6</v>
      </c>
      <c r="F117" s="150">
        <v>9.5</v>
      </c>
      <c r="G117" s="150">
        <v>7.6</v>
      </c>
      <c r="H117" s="150">
        <v>123.6</v>
      </c>
      <c r="I117" s="150">
        <v>56.1</v>
      </c>
      <c r="J117" s="150">
        <v>2703</v>
      </c>
      <c r="K117" s="150">
        <v>860</v>
      </c>
      <c r="L117" s="150">
        <v>6.94</v>
      </c>
      <c r="M117" s="150">
        <v>3.92</v>
      </c>
      <c r="N117" s="150">
        <v>326</v>
      </c>
      <c r="O117" s="150">
        <v>110</v>
      </c>
      <c r="P117" s="150">
        <v>372</v>
      </c>
      <c r="Q117" s="150">
        <v>169</v>
      </c>
      <c r="R117" s="150">
        <v>0.84799999999999998</v>
      </c>
      <c r="S117" s="150">
        <v>11.5</v>
      </c>
      <c r="T117" s="150">
        <v>4.99E-2</v>
      </c>
      <c r="U117" s="150">
        <v>31.7</v>
      </c>
      <c r="V117" s="150">
        <f t="shared" si="7"/>
        <v>0.20930481283422461</v>
      </c>
      <c r="W117" s="206" t="s">
        <v>652</v>
      </c>
      <c r="X117" s="146">
        <f>VLOOKUP($W117,GRADE!$B$5:$E$36,IF($E117&lt;=20,2,IF($E117&lt;=40,3,4)),FALSE)</f>
        <v>350</v>
      </c>
      <c r="Y117" s="146">
        <f>VLOOKUP($W117,GRADE!$B$5:$F$36,5,FALSE)</f>
        <v>490</v>
      </c>
      <c r="Z117" s="219">
        <f t="shared" si="8"/>
        <v>1</v>
      </c>
      <c r="AA117" s="144">
        <f t="shared" si="9"/>
        <v>1784.9999999999998</v>
      </c>
      <c r="AB117" s="144">
        <f t="shared" si="10"/>
        <v>118.36363636363636</v>
      </c>
      <c r="AC117" s="144">
        <f t="shared" si="11"/>
        <v>42</v>
      </c>
      <c r="AD117" s="144">
        <f t="shared" si="12"/>
        <v>289.69861916292172</v>
      </c>
      <c r="AE117" s="207">
        <f t="shared" si="13"/>
        <v>778.98617665693519</v>
      </c>
    </row>
    <row r="118" spans="1:31" ht="15" x14ac:dyDescent="0.25">
      <c r="A118" s="3" t="s">
        <v>581</v>
      </c>
      <c r="B118" s="150">
        <v>46.1</v>
      </c>
      <c r="C118" s="150">
        <v>203.2</v>
      </c>
      <c r="D118" s="150">
        <v>203.6</v>
      </c>
      <c r="E118" s="150">
        <v>11</v>
      </c>
      <c r="F118" s="150">
        <v>7.2</v>
      </c>
      <c r="G118" s="150">
        <v>12.7</v>
      </c>
      <c r="H118" s="150">
        <v>155.80000000000001</v>
      </c>
      <c r="I118" s="150">
        <v>59.2</v>
      </c>
      <c r="J118" s="150">
        <v>4605</v>
      </c>
      <c r="K118" s="150">
        <v>1549</v>
      </c>
      <c r="L118" s="150">
        <v>8.82</v>
      </c>
      <c r="M118" s="150">
        <v>5.1100000000000003</v>
      </c>
      <c r="N118" s="150">
        <v>453</v>
      </c>
      <c r="O118" s="150">
        <v>152</v>
      </c>
      <c r="P118" s="150">
        <v>502</v>
      </c>
      <c r="Q118" s="150">
        <v>231</v>
      </c>
      <c r="R118" s="150">
        <v>0.84799999999999998</v>
      </c>
      <c r="S118" s="150">
        <v>17.3</v>
      </c>
      <c r="T118" s="150">
        <v>0.14299999999999999</v>
      </c>
      <c r="U118" s="150">
        <v>23.3</v>
      </c>
      <c r="V118" s="150">
        <f t="shared" si="7"/>
        <v>0.18948648648648653</v>
      </c>
      <c r="W118" s="206" t="s">
        <v>652</v>
      </c>
      <c r="X118" s="146">
        <f>VLOOKUP($W118,GRADE!$B$5:$E$36,IF($E118&lt;=20,2,IF($E118&lt;=40,3,4)),FALSE)</f>
        <v>350</v>
      </c>
      <c r="Y118" s="146">
        <f>VLOOKUP($W118,GRADE!$B$5:$F$36,5,FALSE)</f>
        <v>490</v>
      </c>
      <c r="Z118" s="219">
        <f t="shared" si="8"/>
        <v>3</v>
      </c>
      <c r="AA118" s="144">
        <f t="shared" si="9"/>
        <v>1883.6363636363635</v>
      </c>
      <c r="AB118" s="144">
        <f t="shared" si="10"/>
        <v>144.13636363636363</v>
      </c>
      <c r="AC118" s="144">
        <f t="shared" si="11"/>
        <v>48.36363636363636</v>
      </c>
      <c r="AD118" s="144">
        <f t="shared" si="12"/>
        <v>268.76389840210589</v>
      </c>
      <c r="AE118" s="207">
        <f t="shared" si="13"/>
        <v>822.83960364905465</v>
      </c>
    </row>
    <row r="119" spans="1:31" ht="15" x14ac:dyDescent="0.25">
      <c r="A119" s="3" t="s">
        <v>582</v>
      </c>
      <c r="B119" s="150">
        <v>51.2</v>
      </c>
      <c r="C119" s="150">
        <v>170.2</v>
      </c>
      <c r="D119" s="150">
        <v>157.4</v>
      </c>
      <c r="E119" s="150">
        <v>15.7</v>
      </c>
      <c r="F119" s="150">
        <v>11</v>
      </c>
      <c r="G119" s="150">
        <v>7.6</v>
      </c>
      <c r="H119" s="150">
        <v>123.6</v>
      </c>
      <c r="I119" s="150">
        <v>65.2</v>
      </c>
      <c r="J119" s="150">
        <v>3227</v>
      </c>
      <c r="K119" s="150">
        <v>1022</v>
      </c>
      <c r="L119" s="150">
        <v>7.04</v>
      </c>
      <c r="M119" s="150">
        <v>3.96</v>
      </c>
      <c r="N119" s="150">
        <v>379</v>
      </c>
      <c r="O119" s="150">
        <v>130</v>
      </c>
      <c r="P119" s="150">
        <v>438</v>
      </c>
      <c r="Q119" s="150">
        <v>199</v>
      </c>
      <c r="R119" s="150">
        <v>0.84799999999999998</v>
      </c>
      <c r="S119" s="150">
        <v>10.1</v>
      </c>
      <c r="T119" s="150">
        <v>6.0999999999999999E-2</v>
      </c>
      <c r="U119" s="150">
        <v>48.8</v>
      </c>
      <c r="V119" s="150">
        <f t="shared" si="7"/>
        <v>0.20852760736196319</v>
      </c>
      <c r="W119" s="206" t="s">
        <v>652</v>
      </c>
      <c r="X119" s="146">
        <f>VLOOKUP($W119,GRADE!$B$5:$E$36,IF($E119&lt;=20,2,IF($E119&lt;=40,3,4)),FALSE)</f>
        <v>350</v>
      </c>
      <c r="Y119" s="146">
        <f>VLOOKUP($W119,GRADE!$B$5:$F$36,5,FALSE)</f>
        <v>490</v>
      </c>
      <c r="Z119" s="219">
        <f t="shared" si="8"/>
        <v>1</v>
      </c>
      <c r="AA119" s="144">
        <f t="shared" si="9"/>
        <v>2074.5454545454545</v>
      </c>
      <c r="AB119" s="144">
        <f t="shared" si="10"/>
        <v>139.36363636363635</v>
      </c>
      <c r="AC119" s="144">
        <f t="shared" si="11"/>
        <v>49.636363636363633</v>
      </c>
      <c r="AD119" s="144">
        <f t="shared" si="12"/>
        <v>343.92755535625997</v>
      </c>
      <c r="AE119" s="207">
        <f t="shared" si="13"/>
        <v>907.92318795564859</v>
      </c>
    </row>
    <row r="120" spans="1:31" ht="15" x14ac:dyDescent="0.25">
      <c r="A120" s="3" t="s">
        <v>583</v>
      </c>
      <c r="B120" s="150">
        <v>52</v>
      </c>
      <c r="C120" s="150">
        <v>206.2</v>
      </c>
      <c r="D120" s="150">
        <v>204.3</v>
      </c>
      <c r="E120" s="150">
        <v>12.5</v>
      </c>
      <c r="F120" s="150">
        <v>7.9</v>
      </c>
      <c r="G120" s="150">
        <v>12.7</v>
      </c>
      <c r="H120" s="150">
        <v>155.80000000000001</v>
      </c>
      <c r="I120" s="150">
        <v>66.8</v>
      </c>
      <c r="J120" s="150">
        <v>5296</v>
      </c>
      <c r="K120" s="150">
        <v>1778</v>
      </c>
      <c r="L120" s="150">
        <v>8.91</v>
      </c>
      <c r="M120" s="150">
        <v>5.16</v>
      </c>
      <c r="N120" s="150">
        <v>514</v>
      </c>
      <c r="O120" s="150">
        <v>174</v>
      </c>
      <c r="P120" s="150">
        <v>572</v>
      </c>
      <c r="Q120" s="150">
        <v>265</v>
      </c>
      <c r="R120" s="150">
        <v>0.84899999999999998</v>
      </c>
      <c r="S120" s="150">
        <v>15.5</v>
      </c>
      <c r="T120" s="150">
        <v>0.16700000000000001</v>
      </c>
      <c r="U120" s="150">
        <v>33.200000000000003</v>
      </c>
      <c r="V120" s="150">
        <f t="shared" si="7"/>
        <v>0.18425449101796409</v>
      </c>
      <c r="W120" s="206" t="s">
        <v>652</v>
      </c>
      <c r="X120" s="146">
        <f>VLOOKUP($W120,GRADE!$B$5:$E$36,IF($E120&lt;=20,2,IF($E120&lt;=40,3,4)),FALSE)</f>
        <v>350</v>
      </c>
      <c r="Y120" s="146">
        <f>VLOOKUP($W120,GRADE!$B$5:$F$36,5,FALSE)</f>
        <v>490</v>
      </c>
      <c r="Z120" s="219">
        <f t="shared" si="8"/>
        <v>2</v>
      </c>
      <c r="AA120" s="144">
        <f t="shared" si="9"/>
        <v>2125.4545454545455</v>
      </c>
      <c r="AB120" s="144">
        <f t="shared" si="10"/>
        <v>182</v>
      </c>
      <c r="AC120" s="144">
        <f t="shared" si="11"/>
        <v>66.436363636363623</v>
      </c>
      <c r="AD120" s="144">
        <f t="shared" si="12"/>
        <v>299.24746775143711</v>
      </c>
      <c r="AE120" s="207">
        <f t="shared" si="13"/>
        <v>938.25979541827701</v>
      </c>
    </row>
    <row r="121" spans="1:31" ht="15" x14ac:dyDescent="0.25">
      <c r="A121" s="3" t="s">
        <v>584</v>
      </c>
      <c r="B121" s="150">
        <v>60</v>
      </c>
      <c r="C121" s="150">
        <v>209.6</v>
      </c>
      <c r="D121" s="150">
        <v>205.8</v>
      </c>
      <c r="E121" s="150">
        <v>14.2</v>
      </c>
      <c r="F121" s="150">
        <v>9.4</v>
      </c>
      <c r="G121" s="150">
        <v>12.7</v>
      </c>
      <c r="H121" s="150">
        <v>155.80000000000001</v>
      </c>
      <c r="I121" s="150">
        <v>76.900000000000006</v>
      </c>
      <c r="J121" s="150">
        <v>6162</v>
      </c>
      <c r="K121" s="150">
        <v>2065</v>
      </c>
      <c r="L121" s="150">
        <v>8.9499999999999993</v>
      </c>
      <c r="M121" s="150">
        <v>5.18</v>
      </c>
      <c r="N121" s="150">
        <v>588</v>
      </c>
      <c r="O121" s="150">
        <v>201</v>
      </c>
      <c r="P121" s="150">
        <v>660</v>
      </c>
      <c r="Q121" s="150">
        <v>306</v>
      </c>
      <c r="R121" s="150">
        <v>0.84699999999999998</v>
      </c>
      <c r="S121" s="150">
        <v>13.8</v>
      </c>
      <c r="T121" s="150">
        <v>0.19700000000000001</v>
      </c>
      <c r="U121" s="150">
        <v>49.1</v>
      </c>
      <c r="V121" s="150">
        <f t="shared" si="7"/>
        <v>0.19044473342002602</v>
      </c>
      <c r="W121" s="206" t="s">
        <v>652</v>
      </c>
      <c r="X121" s="146">
        <f>VLOOKUP($W121,GRADE!$B$5:$E$36,IF($E121&lt;=20,2,IF($E121&lt;=40,3,4)),FALSE)</f>
        <v>350</v>
      </c>
      <c r="Y121" s="146">
        <f>VLOOKUP($W121,GRADE!$B$5:$F$36,5,FALSE)</f>
        <v>490</v>
      </c>
      <c r="Z121" s="219">
        <f t="shared" si="8"/>
        <v>1</v>
      </c>
      <c r="AA121" s="144">
        <f t="shared" si="9"/>
        <v>2446.818181818182</v>
      </c>
      <c r="AB121" s="144">
        <f t="shared" si="10"/>
        <v>209.99999999999997</v>
      </c>
      <c r="AC121" s="144">
        <f t="shared" si="11"/>
        <v>76.745454545454535</v>
      </c>
      <c r="AD121" s="144">
        <f t="shared" si="12"/>
        <v>361.93773457168993</v>
      </c>
      <c r="AE121" s="207">
        <f t="shared" si="13"/>
        <v>1073.6888480620876</v>
      </c>
    </row>
    <row r="122" spans="1:31" ht="15" x14ac:dyDescent="0.25">
      <c r="A122" s="3" t="s">
        <v>585</v>
      </c>
      <c r="B122" s="150">
        <v>71</v>
      </c>
      <c r="C122" s="150">
        <v>215.8</v>
      </c>
      <c r="D122" s="150">
        <v>206.4</v>
      </c>
      <c r="E122" s="150">
        <v>17.3</v>
      </c>
      <c r="F122" s="150">
        <v>10</v>
      </c>
      <c r="G122" s="150">
        <v>12.7</v>
      </c>
      <c r="H122" s="150">
        <v>155.80000000000001</v>
      </c>
      <c r="I122" s="150">
        <v>90.9</v>
      </c>
      <c r="J122" s="150">
        <v>7655</v>
      </c>
      <c r="K122" s="150">
        <v>2538</v>
      </c>
      <c r="L122" s="150">
        <v>9.18</v>
      </c>
      <c r="M122" s="150">
        <v>5.28</v>
      </c>
      <c r="N122" s="150">
        <v>709</v>
      </c>
      <c r="O122" s="150">
        <v>246</v>
      </c>
      <c r="P122" s="150">
        <v>803</v>
      </c>
      <c r="Q122" s="150">
        <v>374</v>
      </c>
      <c r="R122" s="150">
        <v>0.85299999999999998</v>
      </c>
      <c r="S122" s="150">
        <v>11.8</v>
      </c>
      <c r="T122" s="150">
        <v>0.25</v>
      </c>
      <c r="U122" s="150">
        <v>82.7</v>
      </c>
      <c r="V122" s="150">
        <f t="shared" si="7"/>
        <v>0.17139713971397139</v>
      </c>
      <c r="W122" s="206" t="s">
        <v>652</v>
      </c>
      <c r="X122" s="146">
        <f>VLOOKUP($W122,GRADE!$B$5:$E$36,IF($E122&lt;=20,2,IF($E122&lt;=40,3,4)),FALSE)</f>
        <v>350</v>
      </c>
      <c r="Y122" s="146">
        <f>VLOOKUP($W122,GRADE!$B$5:$F$36,5,FALSE)</f>
        <v>490</v>
      </c>
      <c r="Z122" s="219">
        <f t="shared" si="8"/>
        <v>1</v>
      </c>
      <c r="AA122" s="144">
        <f t="shared" si="9"/>
        <v>2892.272727272727</v>
      </c>
      <c r="AB122" s="144">
        <f t="shared" si="10"/>
        <v>255.49999999999997</v>
      </c>
      <c r="AC122" s="144">
        <f t="shared" si="11"/>
        <v>93.927272727272722</v>
      </c>
      <c r="AD122" s="144">
        <f t="shared" si="12"/>
        <v>396.42968938084027</v>
      </c>
      <c r="AE122" s="207">
        <f t="shared" si="13"/>
        <v>1311.8993702186783</v>
      </c>
    </row>
    <row r="123" spans="1:31" ht="15" x14ac:dyDescent="0.25">
      <c r="A123" s="3" t="s">
        <v>586</v>
      </c>
      <c r="B123" s="150">
        <v>73.099999999999994</v>
      </c>
      <c r="C123" s="150">
        <v>254.1</v>
      </c>
      <c r="D123" s="150">
        <v>254.6</v>
      </c>
      <c r="E123" s="150">
        <v>14.2</v>
      </c>
      <c r="F123" s="150">
        <v>8.6</v>
      </c>
      <c r="G123" s="150">
        <v>20</v>
      </c>
      <c r="H123" s="150">
        <v>185.7</v>
      </c>
      <c r="I123" s="150">
        <v>95.2</v>
      </c>
      <c r="J123" s="150">
        <v>11643</v>
      </c>
      <c r="K123" s="150">
        <v>3910</v>
      </c>
      <c r="L123" s="150">
        <v>11.1</v>
      </c>
      <c r="M123" s="150">
        <v>6.41</v>
      </c>
      <c r="N123" s="150">
        <v>916</v>
      </c>
      <c r="O123" s="150">
        <v>307</v>
      </c>
      <c r="P123" s="150">
        <v>1014</v>
      </c>
      <c r="Q123" s="150">
        <v>467</v>
      </c>
      <c r="R123" s="150">
        <v>0.85099999999999998</v>
      </c>
      <c r="S123" s="150">
        <v>16.3</v>
      </c>
      <c r="T123" s="150">
        <v>0.56299999999999994</v>
      </c>
      <c r="U123" s="150">
        <v>66.099999999999994</v>
      </c>
      <c r="V123" s="150">
        <f t="shared" si="7"/>
        <v>0.16775420168067223</v>
      </c>
      <c r="W123" s="206" t="s">
        <v>652</v>
      </c>
      <c r="X123" s="146">
        <f>VLOOKUP($W123,GRADE!$B$5:$E$36,IF($E123&lt;=20,2,IF($E123&lt;=40,3,4)),FALSE)</f>
        <v>350</v>
      </c>
      <c r="Y123" s="146">
        <f>VLOOKUP($W123,GRADE!$B$5:$F$36,5,FALSE)</f>
        <v>490</v>
      </c>
      <c r="Z123" s="219">
        <f t="shared" si="8"/>
        <v>3</v>
      </c>
      <c r="AA123" s="144">
        <f t="shared" si="9"/>
        <v>3029.0909090909086</v>
      </c>
      <c r="AB123" s="144">
        <f t="shared" si="10"/>
        <v>291.45454545454544</v>
      </c>
      <c r="AC123" s="144">
        <f t="shared" si="11"/>
        <v>97.681818181818173</v>
      </c>
      <c r="AD123" s="144">
        <f t="shared" si="12"/>
        <v>401.43741567023864</v>
      </c>
      <c r="AE123" s="207">
        <f t="shared" si="13"/>
        <v>1328.2856205860423</v>
      </c>
    </row>
    <row r="124" spans="1:31" ht="15" x14ac:dyDescent="0.25">
      <c r="A124" s="3" t="s">
        <v>587</v>
      </c>
      <c r="B124" s="150">
        <v>86.1</v>
      </c>
      <c r="C124" s="150">
        <v>222.2</v>
      </c>
      <c r="D124" s="150">
        <v>209.1</v>
      </c>
      <c r="E124" s="150">
        <v>20.5</v>
      </c>
      <c r="F124" s="150">
        <v>12.7</v>
      </c>
      <c r="G124" s="150">
        <v>12.7</v>
      </c>
      <c r="H124" s="150">
        <v>155.80000000000001</v>
      </c>
      <c r="I124" s="150">
        <v>110</v>
      </c>
      <c r="J124" s="150">
        <v>9486</v>
      </c>
      <c r="K124" s="150">
        <v>3128</v>
      </c>
      <c r="L124" s="150">
        <v>9.2799999999999994</v>
      </c>
      <c r="M124" s="150">
        <v>5.33</v>
      </c>
      <c r="N124" s="150">
        <v>854</v>
      </c>
      <c r="O124" s="150">
        <v>299</v>
      </c>
      <c r="P124" s="150">
        <v>981</v>
      </c>
      <c r="Q124" s="150">
        <v>457</v>
      </c>
      <c r="R124" s="150">
        <v>0.85</v>
      </c>
      <c r="S124" s="150">
        <v>10.1</v>
      </c>
      <c r="T124" s="150">
        <v>0.318</v>
      </c>
      <c r="U124" s="150">
        <v>140</v>
      </c>
      <c r="V124" s="150">
        <f t="shared" si="7"/>
        <v>0.17987818181818183</v>
      </c>
      <c r="W124" s="206" t="s">
        <v>652</v>
      </c>
      <c r="X124" s="146">
        <f>VLOOKUP($W124,GRADE!$B$5:$E$36,IF($E124&lt;=20,2,IF($E124&lt;=40,3,4)),FALSE)</f>
        <v>330</v>
      </c>
      <c r="Y124" s="146">
        <f>VLOOKUP($W124,GRADE!$B$5:$F$36,5,FALSE)</f>
        <v>490</v>
      </c>
      <c r="Z124" s="219">
        <f t="shared" si="8"/>
        <v>1</v>
      </c>
      <c r="AA124" s="144">
        <f t="shared" si="9"/>
        <v>3299.9999999999995</v>
      </c>
      <c r="AB124" s="144">
        <f t="shared" si="10"/>
        <v>294.3</v>
      </c>
      <c r="AC124" s="144">
        <f t="shared" si="11"/>
        <v>107.63999999999999</v>
      </c>
      <c r="AD124" s="144">
        <f t="shared" si="12"/>
        <v>488.77434559109167</v>
      </c>
      <c r="AE124" s="207">
        <f t="shared" si="13"/>
        <v>1484.9044778368741</v>
      </c>
    </row>
    <row r="125" spans="1:31" ht="15" x14ac:dyDescent="0.25">
      <c r="A125" s="3" t="s">
        <v>588</v>
      </c>
      <c r="B125" s="150">
        <v>88.9</v>
      </c>
      <c r="C125" s="150">
        <v>260.3</v>
      </c>
      <c r="D125" s="150">
        <v>256.3</v>
      </c>
      <c r="E125" s="150">
        <v>17.3</v>
      </c>
      <c r="F125" s="150">
        <v>10.3</v>
      </c>
      <c r="G125" s="150">
        <v>20</v>
      </c>
      <c r="H125" s="150">
        <v>185.7</v>
      </c>
      <c r="I125" s="150">
        <v>115</v>
      </c>
      <c r="J125" s="150">
        <v>14504</v>
      </c>
      <c r="K125" s="150">
        <v>4860</v>
      </c>
      <c r="L125" s="150">
        <v>11.2</v>
      </c>
      <c r="M125" s="150">
        <v>6.49</v>
      </c>
      <c r="N125" s="150">
        <v>1114</v>
      </c>
      <c r="O125" s="150">
        <v>379</v>
      </c>
      <c r="P125" s="150">
        <v>1246</v>
      </c>
      <c r="Q125" s="150">
        <v>577</v>
      </c>
      <c r="R125" s="150">
        <v>0.85099999999999998</v>
      </c>
      <c r="S125" s="150">
        <v>13.9</v>
      </c>
      <c r="T125" s="150">
        <v>0.71699999999999997</v>
      </c>
      <c r="U125" s="150">
        <v>114</v>
      </c>
      <c r="V125" s="150">
        <f t="shared" si="7"/>
        <v>0.16632260869565219</v>
      </c>
      <c r="W125" s="206" t="s">
        <v>652</v>
      </c>
      <c r="X125" s="146">
        <f>VLOOKUP($W125,GRADE!$B$5:$E$36,IF($E125&lt;=20,2,IF($E125&lt;=40,3,4)),FALSE)</f>
        <v>350</v>
      </c>
      <c r="Y125" s="146">
        <f>VLOOKUP($W125,GRADE!$B$5:$F$36,5,FALSE)</f>
        <v>490</v>
      </c>
      <c r="Z125" s="219">
        <f t="shared" si="8"/>
        <v>1</v>
      </c>
      <c r="AA125" s="144">
        <f t="shared" si="9"/>
        <v>3659.0909090909086</v>
      </c>
      <c r="AB125" s="144">
        <f t="shared" si="10"/>
        <v>396.45454545454544</v>
      </c>
      <c r="AC125" s="144">
        <f t="shared" si="11"/>
        <v>144.70909090909092</v>
      </c>
      <c r="AD125" s="144">
        <f t="shared" si="12"/>
        <v>492.52255602505892</v>
      </c>
      <c r="AE125" s="207">
        <f t="shared" si="13"/>
        <v>1629.0688400535239</v>
      </c>
    </row>
    <row r="126" spans="1:31" ht="15" x14ac:dyDescent="0.25">
      <c r="A126" s="3" t="s">
        <v>589</v>
      </c>
      <c r="B126" s="150">
        <v>96.9</v>
      </c>
      <c r="C126" s="150">
        <v>307.89999999999998</v>
      </c>
      <c r="D126" s="150">
        <v>305.3</v>
      </c>
      <c r="E126" s="150">
        <v>15.4</v>
      </c>
      <c r="F126" s="150">
        <v>9.9</v>
      </c>
      <c r="G126" s="150">
        <v>20</v>
      </c>
      <c r="H126" s="150">
        <v>237.1</v>
      </c>
      <c r="I126" s="150">
        <v>125</v>
      </c>
      <c r="J126" s="150">
        <v>22504</v>
      </c>
      <c r="K126" s="150">
        <v>7310</v>
      </c>
      <c r="L126" s="150">
        <v>13.4</v>
      </c>
      <c r="M126" s="150">
        <v>7.65</v>
      </c>
      <c r="N126" s="150">
        <v>1462</v>
      </c>
      <c r="O126" s="150">
        <v>479</v>
      </c>
      <c r="P126" s="150">
        <v>1612</v>
      </c>
      <c r="Q126" s="150">
        <v>727</v>
      </c>
      <c r="R126" s="150">
        <v>0.85099999999999998</v>
      </c>
      <c r="S126" s="150">
        <v>18.7</v>
      </c>
      <c r="T126" s="150">
        <v>1.56</v>
      </c>
      <c r="U126" s="150">
        <v>98.4</v>
      </c>
      <c r="V126" s="150">
        <f t="shared" si="7"/>
        <v>0.18778319999999998</v>
      </c>
      <c r="W126" s="206" t="s">
        <v>652</v>
      </c>
      <c r="X126" s="146">
        <f>VLOOKUP($W126,GRADE!$B$5:$E$36,IF($E126&lt;=20,2,IF($E126&lt;=40,3,4)),FALSE)</f>
        <v>350</v>
      </c>
      <c r="Y126" s="146">
        <f>VLOOKUP($W126,GRADE!$B$5:$F$36,5,FALSE)</f>
        <v>490</v>
      </c>
      <c r="Z126" s="219">
        <f t="shared" si="8"/>
        <v>3</v>
      </c>
      <c r="AA126" s="144">
        <f t="shared" si="9"/>
        <v>3977.272727272727</v>
      </c>
      <c r="AB126" s="144">
        <f t="shared" si="10"/>
        <v>465.18181818181813</v>
      </c>
      <c r="AC126" s="144">
        <f t="shared" si="11"/>
        <v>152.40909090909091</v>
      </c>
      <c r="AD126" s="144">
        <f t="shared" si="12"/>
        <v>559.96336583298012</v>
      </c>
      <c r="AE126" s="207">
        <f t="shared" si="13"/>
        <v>1727.397364399209</v>
      </c>
    </row>
    <row r="127" spans="1:31" ht="15" x14ac:dyDescent="0.25">
      <c r="A127" s="3" t="s">
        <v>590</v>
      </c>
      <c r="B127" s="150">
        <v>99.6</v>
      </c>
      <c r="C127" s="150">
        <v>228.6</v>
      </c>
      <c r="D127" s="150">
        <v>210.3</v>
      </c>
      <c r="E127" s="150">
        <v>23.7</v>
      </c>
      <c r="F127" s="150">
        <v>14.5</v>
      </c>
      <c r="G127" s="150">
        <v>12.7</v>
      </c>
      <c r="H127" s="150">
        <v>155.80000000000001</v>
      </c>
      <c r="I127" s="150">
        <v>127</v>
      </c>
      <c r="J127" s="150">
        <v>11335</v>
      </c>
      <c r="K127" s="150">
        <v>3680</v>
      </c>
      <c r="L127" s="150">
        <v>9.43</v>
      </c>
      <c r="M127" s="150">
        <v>5.38</v>
      </c>
      <c r="N127" s="150">
        <v>992</v>
      </c>
      <c r="O127" s="150">
        <v>350</v>
      </c>
      <c r="P127" s="150">
        <v>1153</v>
      </c>
      <c r="Q127" s="150">
        <v>535</v>
      </c>
      <c r="R127" s="150">
        <v>0.85199999999999998</v>
      </c>
      <c r="S127" s="150">
        <v>8.94</v>
      </c>
      <c r="T127" s="150">
        <v>0.38600000000000001</v>
      </c>
      <c r="U127" s="150">
        <v>214</v>
      </c>
      <c r="V127" s="150">
        <f t="shared" si="7"/>
        <v>0.17788188976377955</v>
      </c>
      <c r="W127" s="206" t="s">
        <v>652</v>
      </c>
      <c r="X127" s="146">
        <f>VLOOKUP($W127,GRADE!$B$5:$E$36,IF($E127&lt;=20,2,IF($E127&lt;=40,3,4)),FALSE)</f>
        <v>330</v>
      </c>
      <c r="Y127" s="146">
        <f>VLOOKUP($W127,GRADE!$B$5:$F$36,5,FALSE)</f>
        <v>490</v>
      </c>
      <c r="Z127" s="219">
        <f t="shared" si="8"/>
        <v>1</v>
      </c>
      <c r="AA127" s="144">
        <f t="shared" si="9"/>
        <v>3809.9999999999995</v>
      </c>
      <c r="AB127" s="144">
        <f t="shared" si="10"/>
        <v>345.9</v>
      </c>
      <c r="AC127" s="144">
        <f t="shared" si="11"/>
        <v>125.99999999999999</v>
      </c>
      <c r="AD127" s="144">
        <f t="shared" si="12"/>
        <v>574.12288118485571</v>
      </c>
      <c r="AE127" s="207">
        <f t="shared" si="13"/>
        <v>1726.5463501024233</v>
      </c>
    </row>
    <row r="128" spans="1:31" ht="15" x14ac:dyDescent="0.25">
      <c r="A128" s="3" t="s">
        <v>591</v>
      </c>
      <c r="B128" s="150">
        <v>107.1</v>
      </c>
      <c r="C128" s="150">
        <v>266.7</v>
      </c>
      <c r="D128" s="150">
        <v>258.8</v>
      </c>
      <c r="E128" s="150">
        <v>20.5</v>
      </c>
      <c r="F128" s="150">
        <v>12.8</v>
      </c>
      <c r="G128" s="150">
        <v>20</v>
      </c>
      <c r="H128" s="150">
        <v>185.7</v>
      </c>
      <c r="I128" s="150">
        <v>138</v>
      </c>
      <c r="J128" s="150">
        <v>17747</v>
      </c>
      <c r="K128" s="150">
        <v>5931</v>
      </c>
      <c r="L128" s="150">
        <v>11.3</v>
      </c>
      <c r="M128" s="150">
        <v>6.55</v>
      </c>
      <c r="N128" s="150">
        <v>1331</v>
      </c>
      <c r="O128" s="150">
        <v>458</v>
      </c>
      <c r="P128" s="150">
        <v>1507</v>
      </c>
      <c r="Q128" s="150">
        <v>699</v>
      </c>
      <c r="R128" s="150">
        <v>0.84899999999999998</v>
      </c>
      <c r="S128" s="150">
        <v>12</v>
      </c>
      <c r="T128" s="150">
        <v>0.89900000000000002</v>
      </c>
      <c r="U128" s="150">
        <v>188</v>
      </c>
      <c r="V128" s="150">
        <f t="shared" si="7"/>
        <v>0.17224347826086958</v>
      </c>
      <c r="W128" s="206" t="s">
        <v>652</v>
      </c>
      <c r="X128" s="146">
        <f>VLOOKUP($W128,GRADE!$B$5:$E$36,IF($E128&lt;=20,2,IF($E128&lt;=40,3,4)),FALSE)</f>
        <v>330</v>
      </c>
      <c r="Y128" s="146">
        <f>VLOOKUP($W128,GRADE!$B$5:$F$36,5,FALSE)</f>
        <v>490</v>
      </c>
      <c r="Z128" s="219">
        <f t="shared" si="8"/>
        <v>1</v>
      </c>
      <c r="AA128" s="144">
        <f t="shared" si="9"/>
        <v>4139.9999999999991</v>
      </c>
      <c r="AB128" s="144">
        <f t="shared" si="10"/>
        <v>452.09999999999997</v>
      </c>
      <c r="AC128" s="144">
        <f t="shared" si="11"/>
        <v>164.88</v>
      </c>
      <c r="AD128" s="144">
        <f t="shared" si="12"/>
        <v>591.280576484633</v>
      </c>
      <c r="AE128" s="207">
        <f t="shared" si="13"/>
        <v>1837.8444708951845</v>
      </c>
    </row>
    <row r="129" spans="1:31" ht="15" x14ac:dyDescent="0.25">
      <c r="A129" s="3" t="s">
        <v>592</v>
      </c>
      <c r="B129" s="150">
        <v>113.5</v>
      </c>
      <c r="C129" s="150">
        <v>235</v>
      </c>
      <c r="D129" s="150">
        <v>212.1</v>
      </c>
      <c r="E129" s="150">
        <v>26.9</v>
      </c>
      <c r="F129" s="150">
        <v>16.3</v>
      </c>
      <c r="G129" s="150">
        <v>12.7</v>
      </c>
      <c r="H129" s="150">
        <v>155.80000000000001</v>
      </c>
      <c r="I129" s="150">
        <v>145</v>
      </c>
      <c r="J129" s="150">
        <v>13338</v>
      </c>
      <c r="K129" s="150">
        <v>4286</v>
      </c>
      <c r="L129" s="150">
        <v>9.59</v>
      </c>
      <c r="M129" s="150">
        <v>5.44</v>
      </c>
      <c r="N129" s="150">
        <v>1135</v>
      </c>
      <c r="O129" s="150">
        <v>404</v>
      </c>
      <c r="P129" s="150">
        <v>1333</v>
      </c>
      <c r="Q129" s="150">
        <v>619</v>
      </c>
      <c r="R129" s="150">
        <v>0.85299999999999998</v>
      </c>
      <c r="S129" s="150">
        <v>8.0399999999999991</v>
      </c>
      <c r="T129" s="150">
        <v>0.46400000000000002</v>
      </c>
      <c r="U129" s="150">
        <v>311</v>
      </c>
      <c r="V129" s="150">
        <f t="shared" si="7"/>
        <v>0.17514068965517243</v>
      </c>
      <c r="W129" s="206" t="s">
        <v>652</v>
      </c>
      <c r="X129" s="146">
        <f>VLOOKUP($W129,GRADE!$B$5:$E$36,IF($E129&lt;=20,2,IF($E129&lt;=40,3,4)),FALSE)</f>
        <v>330</v>
      </c>
      <c r="Y129" s="146">
        <f>VLOOKUP($W129,GRADE!$B$5:$F$36,5,FALSE)</f>
        <v>490</v>
      </c>
      <c r="Z129" s="219">
        <f t="shared" si="8"/>
        <v>1</v>
      </c>
      <c r="AA129" s="144">
        <f t="shared" si="9"/>
        <v>4350</v>
      </c>
      <c r="AB129" s="144">
        <f t="shared" si="10"/>
        <v>399.89999999999992</v>
      </c>
      <c r="AC129" s="144">
        <f t="shared" si="11"/>
        <v>145.43999999999997</v>
      </c>
      <c r="AD129" s="144">
        <f t="shared" si="12"/>
        <v>663.46206183925847</v>
      </c>
      <c r="AE129" s="207">
        <f t="shared" si="13"/>
        <v>1976.4397124152306</v>
      </c>
    </row>
    <row r="130" spans="1:31" ht="15" x14ac:dyDescent="0.25">
      <c r="A130" s="3" t="s">
        <v>593</v>
      </c>
      <c r="B130" s="150">
        <v>117.9</v>
      </c>
      <c r="C130" s="150">
        <v>314.5</v>
      </c>
      <c r="D130" s="150">
        <v>307.39999999999998</v>
      </c>
      <c r="E130" s="150">
        <v>18.7</v>
      </c>
      <c r="F130" s="150">
        <v>12</v>
      </c>
      <c r="G130" s="150">
        <v>20</v>
      </c>
      <c r="H130" s="150">
        <v>237.1</v>
      </c>
      <c r="I130" s="150">
        <v>152</v>
      </c>
      <c r="J130" s="150">
        <v>27927</v>
      </c>
      <c r="K130" s="150">
        <v>9061</v>
      </c>
      <c r="L130" s="150">
        <v>13.6</v>
      </c>
      <c r="M130" s="150">
        <v>7.73</v>
      </c>
      <c r="N130" s="150">
        <v>1776</v>
      </c>
      <c r="O130" s="150">
        <v>590</v>
      </c>
      <c r="P130" s="150">
        <v>1977</v>
      </c>
      <c r="Q130" s="150">
        <v>897</v>
      </c>
      <c r="R130" s="150">
        <v>0.85099999999999998</v>
      </c>
      <c r="S130" s="150">
        <v>15.8</v>
      </c>
      <c r="T130" s="150">
        <v>1.98</v>
      </c>
      <c r="U130" s="150">
        <v>171</v>
      </c>
      <c r="V130" s="150">
        <f t="shared" si="7"/>
        <v>0.18718421052631579</v>
      </c>
      <c r="W130" s="206" t="s">
        <v>652</v>
      </c>
      <c r="X130" s="146">
        <f>VLOOKUP($W130,GRADE!$B$5:$E$36,IF($E130&lt;=20,2,IF($E130&lt;=40,3,4)),FALSE)</f>
        <v>350</v>
      </c>
      <c r="Y130" s="146">
        <f>VLOOKUP($W130,GRADE!$B$5:$F$36,5,FALSE)</f>
        <v>490</v>
      </c>
      <c r="Z130" s="219">
        <f t="shared" si="8"/>
        <v>2</v>
      </c>
      <c r="AA130" s="144">
        <f t="shared" si="9"/>
        <v>4836.363636363636</v>
      </c>
      <c r="AB130" s="144">
        <f t="shared" si="10"/>
        <v>629.0454545454545</v>
      </c>
      <c r="AC130" s="144">
        <f t="shared" si="11"/>
        <v>225.27272727272725</v>
      </c>
      <c r="AD130" s="144">
        <f t="shared" si="12"/>
        <v>693.29270052052414</v>
      </c>
      <c r="AE130" s="207">
        <f t="shared" si="13"/>
        <v>2111.9819257118024</v>
      </c>
    </row>
    <row r="131" spans="1:31" ht="15" x14ac:dyDescent="0.25">
      <c r="A131" s="3" t="s">
        <v>594</v>
      </c>
      <c r="B131" s="150">
        <v>127.5</v>
      </c>
      <c r="C131" s="150">
        <v>241.4</v>
      </c>
      <c r="D131" s="150">
        <v>213.9</v>
      </c>
      <c r="E131" s="150">
        <v>30.1</v>
      </c>
      <c r="F131" s="150">
        <v>18.100000000000001</v>
      </c>
      <c r="G131" s="150">
        <v>12.7</v>
      </c>
      <c r="H131" s="150">
        <v>155.80000000000001</v>
      </c>
      <c r="I131" s="150">
        <v>163</v>
      </c>
      <c r="J131" s="150">
        <v>15474</v>
      </c>
      <c r="K131" s="150">
        <v>4921</v>
      </c>
      <c r="L131" s="150">
        <v>9.74</v>
      </c>
      <c r="M131" s="150">
        <v>5.5</v>
      </c>
      <c r="N131" s="150">
        <v>1282</v>
      </c>
      <c r="O131" s="150">
        <v>460</v>
      </c>
      <c r="P131" s="150">
        <v>1521</v>
      </c>
      <c r="Q131" s="150">
        <v>705</v>
      </c>
      <c r="R131" s="150">
        <v>0.85399999999999998</v>
      </c>
      <c r="S131" s="150">
        <v>7.32</v>
      </c>
      <c r="T131" s="150">
        <v>0.54900000000000004</v>
      </c>
      <c r="U131" s="150">
        <v>435</v>
      </c>
      <c r="V131" s="150">
        <f t="shared" ref="V131:V159" si="14">(H131*F131)/(I131*10^2)</f>
        <v>0.17300490797546014</v>
      </c>
      <c r="W131" s="206" t="s">
        <v>652</v>
      </c>
      <c r="X131" s="146">
        <f>VLOOKUP($W131,GRADE!$B$5:$E$36,IF($E131&lt;=20,2,IF($E131&lt;=40,3,4)),FALSE)</f>
        <v>330</v>
      </c>
      <c r="Y131" s="146">
        <f>VLOOKUP($W131,GRADE!$B$5:$F$36,5,FALSE)</f>
        <v>490</v>
      </c>
      <c r="Z131" s="219">
        <f t="shared" ref="Z131:Z159" si="15">MAX(IF((D131/2/E131)&lt;=(9.4*SQRT(250/X131)),1,IF((D131/2/E131)&lt;=(10.5*SQRT(250/X131)),2,IF((D131/2/E131)&lt;=(15.7*SQRT(250/X131)),3,4))),IF((H131/F131)&lt;=(84*SQRT(250/X131)),1,IF((H131/F131)&lt;=(105*SQRT(250/X131)),2,IF((H131/F131)&lt;=(126*SQRT(250/X131)),3,4))))</f>
        <v>1</v>
      </c>
      <c r="AA131" s="144">
        <f t="shared" ref="AA131:AA159" si="16">MIN((I131*10^2*X131/1.1),(0.9*I131*10^2*1*Y131/1.25))/10^3</f>
        <v>4890</v>
      </c>
      <c r="AB131" s="144">
        <f t="shared" ref="AB131:AB159" si="17">MIN(IF(Z131&lt;=2,1,IF(Z131=3,N131/P131,0))*P131*10^3,1.2*N131*10^3)*X131/1.1/10^6</f>
        <v>456.29999999999995</v>
      </c>
      <c r="AC131" s="144">
        <f t="shared" ref="AC131:AC159" si="18">MIN(IF(Z131&lt;=2,1,IF(Z131=3,O131/Q131,0))*Q131*10^3,1.2*O131*10^3)*X131/1.1/10^6</f>
        <v>165.6</v>
      </c>
      <c r="AD131" s="144">
        <f t="shared" ref="AD131:AD159" si="19">IF((H131/F131)&gt;(67*SQRT(250/X131)),0,(C131*F131)*X131/(SQRT(3)*1.1)/10^3)</f>
        <v>756.79188755429982</v>
      </c>
      <c r="AE131" s="207">
        <f t="shared" ref="AE131:AE159" si="20">IF((D131/2/E131)&gt;(67*SQRT(250/X131)),0,(2*D131*E131)*X131/(SQRT(3)*1.1)/10^3)</f>
        <v>2230.323719788677</v>
      </c>
    </row>
    <row r="132" spans="1:31" ht="15" x14ac:dyDescent="0.25">
      <c r="A132" s="3" t="s">
        <v>595</v>
      </c>
      <c r="B132" s="150">
        <v>129</v>
      </c>
      <c r="C132" s="150">
        <v>355.6</v>
      </c>
      <c r="D132" s="150">
        <v>368.6</v>
      </c>
      <c r="E132" s="150">
        <v>17.5</v>
      </c>
      <c r="F132" s="150">
        <v>10.4</v>
      </c>
      <c r="G132" s="150">
        <v>20</v>
      </c>
      <c r="H132" s="150">
        <v>280.60000000000002</v>
      </c>
      <c r="I132" s="150">
        <v>166</v>
      </c>
      <c r="J132" s="150">
        <v>40591</v>
      </c>
      <c r="K132" s="150">
        <v>14613</v>
      </c>
      <c r="L132" s="150">
        <v>15.6</v>
      </c>
      <c r="M132" s="150">
        <v>9.39</v>
      </c>
      <c r="N132" s="150">
        <v>2283</v>
      </c>
      <c r="O132" s="150">
        <v>793</v>
      </c>
      <c r="P132" s="150">
        <v>2502</v>
      </c>
      <c r="Q132" s="150">
        <v>1200</v>
      </c>
      <c r="R132" s="150">
        <v>0.84499999999999997</v>
      </c>
      <c r="S132" s="150">
        <v>19.399999999999999</v>
      </c>
      <c r="T132" s="150">
        <v>4.18</v>
      </c>
      <c r="U132" s="150">
        <v>161</v>
      </c>
      <c r="V132" s="150">
        <f t="shared" si="14"/>
        <v>0.17579759036144579</v>
      </c>
      <c r="W132" s="206" t="s">
        <v>652</v>
      </c>
      <c r="X132" s="146">
        <f>VLOOKUP($W132,GRADE!$B$5:$E$36,IF($E132&lt;=20,2,IF($E132&lt;=40,3,4)),FALSE)</f>
        <v>350</v>
      </c>
      <c r="Y132" s="146">
        <f>VLOOKUP($W132,GRADE!$B$5:$F$36,5,FALSE)</f>
        <v>490</v>
      </c>
      <c r="Z132" s="219">
        <f t="shared" si="15"/>
        <v>3</v>
      </c>
      <c r="AA132" s="144">
        <f t="shared" si="16"/>
        <v>5281.818181818182</v>
      </c>
      <c r="AB132" s="144">
        <f t="shared" si="17"/>
        <v>726.40909090909088</v>
      </c>
      <c r="AC132" s="144">
        <f t="shared" si="18"/>
        <v>252.31818181818184</v>
      </c>
      <c r="AD132" s="144">
        <f t="shared" si="19"/>
        <v>679.37540984976783</v>
      </c>
      <c r="AE132" s="207">
        <f t="shared" si="20"/>
        <v>2369.9441254412513</v>
      </c>
    </row>
    <row r="133" spans="1:31" ht="15" x14ac:dyDescent="0.25">
      <c r="A133" s="3" t="s">
        <v>596</v>
      </c>
      <c r="B133" s="150">
        <v>132</v>
      </c>
      <c r="C133" s="150">
        <v>276.3</v>
      </c>
      <c r="D133" s="150">
        <v>261.3</v>
      </c>
      <c r="E133" s="150">
        <v>25.3</v>
      </c>
      <c r="F133" s="150">
        <v>15.3</v>
      </c>
      <c r="G133" s="150">
        <v>20</v>
      </c>
      <c r="H133" s="150">
        <v>185.7</v>
      </c>
      <c r="I133" s="150">
        <v>170</v>
      </c>
      <c r="J133" s="150">
        <v>22765</v>
      </c>
      <c r="K133" s="150">
        <v>7535</v>
      </c>
      <c r="L133" s="150">
        <v>11.6</v>
      </c>
      <c r="M133" s="150">
        <v>6.65</v>
      </c>
      <c r="N133" s="150">
        <v>1648</v>
      </c>
      <c r="O133" s="150">
        <v>577</v>
      </c>
      <c r="P133" s="150">
        <v>1892</v>
      </c>
      <c r="Q133" s="150">
        <v>881</v>
      </c>
      <c r="R133" s="150">
        <v>0.85099999999999998</v>
      </c>
      <c r="S133" s="150">
        <v>10</v>
      </c>
      <c r="T133" s="150">
        <v>1.19</v>
      </c>
      <c r="U133" s="150">
        <v>341</v>
      </c>
      <c r="V133" s="150">
        <f t="shared" si="14"/>
        <v>0.16713</v>
      </c>
      <c r="W133" s="206" t="s">
        <v>652</v>
      </c>
      <c r="X133" s="146">
        <f>VLOOKUP($W133,GRADE!$B$5:$E$36,IF($E133&lt;=20,2,IF($E133&lt;=40,3,4)),FALSE)</f>
        <v>330</v>
      </c>
      <c r="Y133" s="146">
        <f>VLOOKUP($W133,GRADE!$B$5:$F$36,5,FALSE)</f>
        <v>490</v>
      </c>
      <c r="Z133" s="219">
        <f t="shared" si="15"/>
        <v>1</v>
      </c>
      <c r="AA133" s="144">
        <f t="shared" si="16"/>
        <v>5100</v>
      </c>
      <c r="AB133" s="144">
        <f t="shared" si="17"/>
        <v>567.6</v>
      </c>
      <c r="AC133" s="144">
        <f t="shared" si="18"/>
        <v>207.71999999999997</v>
      </c>
      <c r="AD133" s="144">
        <f t="shared" si="19"/>
        <v>732.20542634085973</v>
      </c>
      <c r="AE133" s="207">
        <f t="shared" si="20"/>
        <v>2290.0794726498034</v>
      </c>
    </row>
    <row r="134" spans="1:31" ht="15" x14ac:dyDescent="0.25">
      <c r="A134" s="3" t="s">
        <v>597</v>
      </c>
      <c r="B134" s="150">
        <v>136.9</v>
      </c>
      <c r="C134" s="150">
        <v>320.5</v>
      </c>
      <c r="D134" s="150">
        <v>309.2</v>
      </c>
      <c r="E134" s="150">
        <v>21.7</v>
      </c>
      <c r="F134" s="150">
        <v>13.8</v>
      </c>
      <c r="G134" s="150">
        <v>20</v>
      </c>
      <c r="H134" s="150">
        <v>237.1</v>
      </c>
      <c r="I134" s="150">
        <v>176</v>
      </c>
      <c r="J134" s="150">
        <v>33070</v>
      </c>
      <c r="K134" s="150">
        <v>10702</v>
      </c>
      <c r="L134" s="150">
        <v>13.7</v>
      </c>
      <c r="M134" s="150">
        <v>7.8</v>
      </c>
      <c r="N134" s="150">
        <v>2064</v>
      </c>
      <c r="O134" s="150">
        <v>692</v>
      </c>
      <c r="P134" s="150">
        <v>2316</v>
      </c>
      <c r="Q134" s="150">
        <v>1054</v>
      </c>
      <c r="R134" s="150">
        <v>0.85099999999999998</v>
      </c>
      <c r="S134" s="150">
        <v>13.9</v>
      </c>
      <c r="T134" s="150">
        <v>2.39</v>
      </c>
      <c r="U134" s="150">
        <v>261</v>
      </c>
      <c r="V134" s="150">
        <f t="shared" si="14"/>
        <v>0.18590795454545456</v>
      </c>
      <c r="W134" s="206" t="s">
        <v>652</v>
      </c>
      <c r="X134" s="146">
        <f>VLOOKUP($W134,GRADE!$B$5:$E$36,IF($E134&lt;=20,2,IF($E134&lt;=40,3,4)),FALSE)</f>
        <v>330</v>
      </c>
      <c r="Y134" s="146">
        <f>VLOOKUP($W134,GRADE!$B$5:$F$36,5,FALSE)</f>
        <v>490</v>
      </c>
      <c r="Z134" s="219">
        <f t="shared" si="15"/>
        <v>1</v>
      </c>
      <c r="AA134" s="144">
        <f t="shared" si="16"/>
        <v>5280</v>
      </c>
      <c r="AB134" s="144">
        <f t="shared" si="17"/>
        <v>694.8</v>
      </c>
      <c r="AC134" s="144">
        <f t="shared" si="18"/>
        <v>249.11999999999998</v>
      </c>
      <c r="AD134" s="144">
        <f t="shared" si="19"/>
        <v>766.06875167963892</v>
      </c>
      <c r="AE134" s="207">
        <f t="shared" si="20"/>
        <v>2324.2874760992881</v>
      </c>
    </row>
    <row r="135" spans="1:31" ht="15" x14ac:dyDescent="0.25">
      <c r="A135" s="3" t="s">
        <v>598</v>
      </c>
      <c r="B135" s="150">
        <v>152.9</v>
      </c>
      <c r="C135" s="150">
        <v>362</v>
      </c>
      <c r="D135" s="150">
        <v>370.5</v>
      </c>
      <c r="E135" s="150">
        <v>20.7</v>
      </c>
      <c r="F135" s="150">
        <v>12.3</v>
      </c>
      <c r="G135" s="150">
        <v>20</v>
      </c>
      <c r="H135" s="150">
        <v>280.60000000000002</v>
      </c>
      <c r="I135" s="150">
        <v>196</v>
      </c>
      <c r="J135" s="150">
        <v>48935</v>
      </c>
      <c r="K135" s="150">
        <v>17556</v>
      </c>
      <c r="L135" s="150">
        <v>15.8</v>
      </c>
      <c r="M135" s="150">
        <v>9.4600000000000009</v>
      </c>
      <c r="N135" s="150">
        <v>2704</v>
      </c>
      <c r="O135" s="150">
        <v>948</v>
      </c>
      <c r="P135" s="150">
        <v>2987</v>
      </c>
      <c r="Q135" s="150">
        <v>1436</v>
      </c>
      <c r="R135" s="150">
        <v>0.84499999999999997</v>
      </c>
      <c r="S135" s="150">
        <v>16.7</v>
      </c>
      <c r="T135" s="150">
        <v>5.1100000000000003</v>
      </c>
      <c r="U135" s="150">
        <v>261</v>
      </c>
      <c r="V135" s="150">
        <f t="shared" si="14"/>
        <v>0.17609081632653065</v>
      </c>
      <c r="W135" s="206" t="s">
        <v>652</v>
      </c>
      <c r="X135" s="146">
        <f>VLOOKUP($W135,GRADE!$B$5:$E$36,IF($E135&lt;=20,2,IF($E135&lt;=40,3,4)),FALSE)</f>
        <v>330</v>
      </c>
      <c r="Y135" s="146">
        <f>VLOOKUP($W135,GRADE!$B$5:$F$36,5,FALSE)</f>
        <v>490</v>
      </c>
      <c r="Z135" s="219">
        <f t="shared" si="15"/>
        <v>2</v>
      </c>
      <c r="AA135" s="144">
        <f t="shared" si="16"/>
        <v>5879.9999999999991</v>
      </c>
      <c r="AB135" s="144">
        <f t="shared" si="17"/>
        <v>896.09999999999991</v>
      </c>
      <c r="AC135" s="144">
        <f t="shared" si="18"/>
        <v>341.28</v>
      </c>
      <c r="AD135" s="144">
        <f t="shared" si="19"/>
        <v>771.21294257811837</v>
      </c>
      <c r="AE135" s="207">
        <f t="shared" si="20"/>
        <v>2656.7407722056737</v>
      </c>
    </row>
    <row r="136" spans="1:31" ht="15" x14ac:dyDescent="0.25">
      <c r="A136" s="3" t="s">
        <v>599</v>
      </c>
      <c r="B136" s="150">
        <v>158.1</v>
      </c>
      <c r="C136" s="150">
        <v>327.10000000000002</v>
      </c>
      <c r="D136" s="150">
        <v>311.2</v>
      </c>
      <c r="E136" s="150">
        <v>25</v>
      </c>
      <c r="F136" s="150">
        <v>15.8</v>
      </c>
      <c r="G136" s="150">
        <v>20</v>
      </c>
      <c r="H136" s="150">
        <v>237.1</v>
      </c>
      <c r="I136" s="150">
        <v>203</v>
      </c>
      <c r="J136" s="150">
        <v>39002</v>
      </c>
      <c r="K136" s="150">
        <v>12572</v>
      </c>
      <c r="L136" s="150">
        <v>13.9</v>
      </c>
      <c r="M136" s="150">
        <v>7.87</v>
      </c>
      <c r="N136" s="150">
        <v>2385</v>
      </c>
      <c r="O136" s="150">
        <v>808</v>
      </c>
      <c r="P136" s="150">
        <v>2700</v>
      </c>
      <c r="Q136" s="150">
        <v>1232</v>
      </c>
      <c r="R136" s="150">
        <v>0.85199999999999998</v>
      </c>
      <c r="S136" s="150">
        <v>12.3</v>
      </c>
      <c r="T136" s="150">
        <v>2.87</v>
      </c>
      <c r="U136" s="150">
        <v>394</v>
      </c>
      <c r="V136" s="150">
        <f t="shared" si="14"/>
        <v>0.18454088669950741</v>
      </c>
      <c r="W136" s="206" t="s">
        <v>652</v>
      </c>
      <c r="X136" s="146">
        <f>VLOOKUP($W136,GRADE!$B$5:$E$36,IF($E136&lt;=20,2,IF($E136&lt;=40,3,4)),FALSE)</f>
        <v>330</v>
      </c>
      <c r="Y136" s="146">
        <f>VLOOKUP($W136,GRADE!$B$5:$F$36,5,FALSE)</f>
        <v>490</v>
      </c>
      <c r="Z136" s="219">
        <f t="shared" si="15"/>
        <v>1</v>
      </c>
      <c r="AA136" s="144">
        <f t="shared" si="16"/>
        <v>6089.9999999999991</v>
      </c>
      <c r="AB136" s="144">
        <f t="shared" si="17"/>
        <v>809.99999999999989</v>
      </c>
      <c r="AC136" s="144">
        <f t="shared" si="18"/>
        <v>290.87999999999994</v>
      </c>
      <c r="AD136" s="144">
        <f t="shared" si="19"/>
        <v>895.15503426613202</v>
      </c>
      <c r="AE136" s="207">
        <f t="shared" si="20"/>
        <v>2695.0710565771728</v>
      </c>
    </row>
    <row r="137" spans="1:31" ht="15" x14ac:dyDescent="0.25">
      <c r="A137" s="3" t="s">
        <v>600</v>
      </c>
      <c r="B137" s="150">
        <v>167.1</v>
      </c>
      <c r="C137" s="150">
        <v>289.10000000000002</v>
      </c>
      <c r="D137" s="150">
        <v>265.2</v>
      </c>
      <c r="E137" s="150">
        <v>31.7</v>
      </c>
      <c r="F137" s="150">
        <v>19.2</v>
      </c>
      <c r="G137" s="150">
        <v>20</v>
      </c>
      <c r="H137" s="150">
        <v>185.7</v>
      </c>
      <c r="I137" s="150">
        <v>215</v>
      </c>
      <c r="J137" s="150">
        <v>30234</v>
      </c>
      <c r="K137" s="150">
        <v>9875</v>
      </c>
      <c r="L137" s="150">
        <v>11.9</v>
      </c>
      <c r="M137" s="150">
        <v>6.78</v>
      </c>
      <c r="N137" s="150">
        <v>2092</v>
      </c>
      <c r="O137" s="150">
        <v>745</v>
      </c>
      <c r="P137" s="150">
        <v>2446</v>
      </c>
      <c r="Q137" s="150">
        <v>1140</v>
      </c>
      <c r="R137" s="150">
        <v>0.85199999999999998</v>
      </c>
      <c r="S137" s="150">
        <v>8.3000000000000007</v>
      </c>
      <c r="T137" s="150">
        <v>1.64</v>
      </c>
      <c r="U137" s="150">
        <v>661</v>
      </c>
      <c r="V137" s="150">
        <f t="shared" si="14"/>
        <v>0.16583441860465115</v>
      </c>
      <c r="W137" s="206" t="s">
        <v>652</v>
      </c>
      <c r="X137" s="146">
        <f>VLOOKUP($W137,GRADE!$B$5:$E$36,IF($E137&lt;=20,2,IF($E137&lt;=40,3,4)),FALSE)</f>
        <v>330</v>
      </c>
      <c r="Y137" s="146">
        <f>VLOOKUP($W137,GRADE!$B$5:$F$36,5,FALSE)</f>
        <v>490</v>
      </c>
      <c r="Z137" s="219">
        <f t="shared" si="15"/>
        <v>1</v>
      </c>
      <c r="AA137" s="144">
        <f t="shared" si="16"/>
        <v>6449.9999999999991</v>
      </c>
      <c r="AB137" s="144">
        <f t="shared" si="17"/>
        <v>733.8</v>
      </c>
      <c r="AC137" s="144">
        <f t="shared" si="18"/>
        <v>268.2</v>
      </c>
      <c r="AD137" s="144">
        <f t="shared" si="19"/>
        <v>961.41290585887191</v>
      </c>
      <c r="AE137" s="207">
        <f t="shared" si="20"/>
        <v>2912.2148022204678</v>
      </c>
    </row>
    <row r="138" spans="1:31" ht="15" x14ac:dyDescent="0.25">
      <c r="A138" s="3" t="s">
        <v>601</v>
      </c>
      <c r="B138" s="150">
        <v>177</v>
      </c>
      <c r="C138" s="150">
        <v>368.2</v>
      </c>
      <c r="D138" s="150">
        <v>372.6</v>
      </c>
      <c r="E138" s="150">
        <v>23.8</v>
      </c>
      <c r="F138" s="150">
        <v>14.4</v>
      </c>
      <c r="G138" s="150">
        <v>20</v>
      </c>
      <c r="H138" s="150">
        <v>280.60000000000002</v>
      </c>
      <c r="I138" s="150">
        <v>227</v>
      </c>
      <c r="J138" s="150">
        <v>57464</v>
      </c>
      <c r="K138" s="150">
        <v>20532</v>
      </c>
      <c r="L138" s="150">
        <v>15.9</v>
      </c>
      <c r="M138" s="150">
        <v>9.51</v>
      </c>
      <c r="N138" s="150">
        <v>3121</v>
      </c>
      <c r="O138" s="150">
        <v>1102</v>
      </c>
      <c r="P138" s="150">
        <v>3478</v>
      </c>
      <c r="Q138" s="150">
        <v>1672</v>
      </c>
      <c r="R138" s="150">
        <v>0.84499999999999997</v>
      </c>
      <c r="S138" s="150">
        <v>14.8</v>
      </c>
      <c r="T138" s="150">
        <v>6.09</v>
      </c>
      <c r="U138" s="150">
        <v>396</v>
      </c>
      <c r="V138" s="150">
        <f t="shared" si="14"/>
        <v>0.17800176211453747</v>
      </c>
      <c r="W138" s="206" t="s">
        <v>652</v>
      </c>
      <c r="X138" s="146">
        <f>VLOOKUP($W138,GRADE!$B$5:$E$36,IF($E138&lt;=20,2,IF($E138&lt;=40,3,4)),FALSE)</f>
        <v>330</v>
      </c>
      <c r="Y138" s="146">
        <f>VLOOKUP($W138,GRADE!$B$5:$F$36,5,FALSE)</f>
        <v>490</v>
      </c>
      <c r="Z138" s="219">
        <f t="shared" si="15"/>
        <v>1</v>
      </c>
      <c r="AA138" s="144">
        <f t="shared" si="16"/>
        <v>6809.9999999999991</v>
      </c>
      <c r="AB138" s="144">
        <f t="shared" si="17"/>
        <v>1043.3999999999999</v>
      </c>
      <c r="AC138" s="144">
        <f t="shared" si="18"/>
        <v>396.71999999999991</v>
      </c>
      <c r="AD138" s="144">
        <f t="shared" si="19"/>
        <v>918.34719457947915</v>
      </c>
      <c r="AE138" s="207">
        <f t="shared" si="20"/>
        <v>3071.9237430847793</v>
      </c>
    </row>
    <row r="139" spans="1:31" ht="15" x14ac:dyDescent="0.25">
      <c r="A139" s="3" t="s">
        <v>602</v>
      </c>
      <c r="B139" s="150">
        <v>198.1</v>
      </c>
      <c r="C139" s="150">
        <v>339.9</v>
      </c>
      <c r="D139" s="150">
        <v>314.5</v>
      </c>
      <c r="E139" s="150">
        <v>31.4</v>
      </c>
      <c r="F139" s="150">
        <v>19.100000000000001</v>
      </c>
      <c r="G139" s="150">
        <v>20</v>
      </c>
      <c r="H139" s="150">
        <v>237.1</v>
      </c>
      <c r="I139" s="150">
        <v>254</v>
      </c>
      <c r="J139" s="150">
        <v>51159</v>
      </c>
      <c r="K139" s="150">
        <v>16303</v>
      </c>
      <c r="L139" s="150">
        <v>14.2</v>
      </c>
      <c r="M139" s="150">
        <v>8.01</v>
      </c>
      <c r="N139" s="150">
        <v>3010</v>
      </c>
      <c r="O139" s="150">
        <v>1037</v>
      </c>
      <c r="P139" s="150">
        <v>3460</v>
      </c>
      <c r="Q139" s="150">
        <v>1583</v>
      </c>
      <c r="R139" s="150">
        <v>0.85399999999999998</v>
      </c>
      <c r="S139" s="150">
        <v>10.1</v>
      </c>
      <c r="T139" s="150">
        <v>3.88</v>
      </c>
      <c r="U139" s="150">
        <v>758</v>
      </c>
      <c r="V139" s="150">
        <f t="shared" si="14"/>
        <v>0.17829173228346459</v>
      </c>
      <c r="W139" s="206" t="s">
        <v>652</v>
      </c>
      <c r="X139" s="146">
        <f>VLOOKUP($W139,GRADE!$B$5:$E$36,IF($E139&lt;=20,2,IF($E139&lt;=40,3,4)),FALSE)</f>
        <v>330</v>
      </c>
      <c r="Y139" s="146">
        <f>VLOOKUP($W139,GRADE!$B$5:$F$36,5,FALSE)</f>
        <v>490</v>
      </c>
      <c r="Z139" s="219">
        <f t="shared" si="15"/>
        <v>1</v>
      </c>
      <c r="AA139" s="144">
        <f t="shared" si="16"/>
        <v>7619.9999999999991</v>
      </c>
      <c r="AB139" s="144">
        <f t="shared" si="17"/>
        <v>1037.9999999999998</v>
      </c>
      <c r="AC139" s="144">
        <f t="shared" si="18"/>
        <v>373.31999999999994</v>
      </c>
      <c r="AD139" s="144">
        <f t="shared" si="19"/>
        <v>1124.4629727309832</v>
      </c>
      <c r="AE139" s="207">
        <f t="shared" si="20"/>
        <v>3420.9042679969866</v>
      </c>
    </row>
    <row r="140" spans="1:31" ht="15" x14ac:dyDescent="0.25">
      <c r="A140" s="3" t="s">
        <v>603</v>
      </c>
      <c r="B140" s="150">
        <v>201.9</v>
      </c>
      <c r="C140" s="150">
        <v>374.6</v>
      </c>
      <c r="D140" s="150">
        <v>374.7</v>
      </c>
      <c r="E140" s="150">
        <v>27</v>
      </c>
      <c r="F140" s="150">
        <v>16.5</v>
      </c>
      <c r="G140" s="150">
        <v>20</v>
      </c>
      <c r="H140" s="150">
        <v>280.60000000000002</v>
      </c>
      <c r="I140" s="150">
        <v>259</v>
      </c>
      <c r="J140" s="150">
        <v>66607</v>
      </c>
      <c r="K140" s="150">
        <v>23692</v>
      </c>
      <c r="L140" s="150">
        <v>16</v>
      </c>
      <c r="M140" s="150">
        <v>9.57</v>
      </c>
      <c r="N140" s="150">
        <v>3556</v>
      </c>
      <c r="O140" s="150">
        <v>1265</v>
      </c>
      <c r="P140" s="150">
        <v>3994</v>
      </c>
      <c r="Q140" s="150">
        <v>1921</v>
      </c>
      <c r="R140" s="150">
        <v>0.84499999999999997</v>
      </c>
      <c r="S140" s="150">
        <v>13.2</v>
      </c>
      <c r="T140" s="150">
        <v>7.16</v>
      </c>
      <c r="U140" s="150">
        <v>576</v>
      </c>
      <c r="V140" s="150">
        <f t="shared" si="14"/>
        <v>0.17876061776061777</v>
      </c>
      <c r="W140" s="206" t="s">
        <v>652</v>
      </c>
      <c r="X140" s="146">
        <f>VLOOKUP($W140,GRADE!$B$5:$E$36,IF($E140&lt;=20,2,IF($E140&lt;=40,3,4)),FALSE)</f>
        <v>330</v>
      </c>
      <c r="Y140" s="146">
        <f>VLOOKUP($W140,GRADE!$B$5:$F$36,5,FALSE)</f>
        <v>490</v>
      </c>
      <c r="Z140" s="219">
        <f t="shared" si="15"/>
        <v>1</v>
      </c>
      <c r="AA140" s="144">
        <f t="shared" si="16"/>
        <v>7769.9999999999991</v>
      </c>
      <c r="AB140" s="144">
        <f t="shared" si="17"/>
        <v>1198.2</v>
      </c>
      <c r="AC140" s="144">
        <f t="shared" si="18"/>
        <v>455.39999999999992</v>
      </c>
      <c r="AD140" s="144">
        <f t="shared" si="19"/>
        <v>1070.5632836502473</v>
      </c>
      <c r="AE140" s="207">
        <f t="shared" si="20"/>
        <v>3504.5969630187151</v>
      </c>
    </row>
    <row r="141" spans="1:31" ht="15" x14ac:dyDescent="0.25">
      <c r="A141" s="3" t="s">
        <v>604</v>
      </c>
      <c r="B141" s="150">
        <v>235.1</v>
      </c>
      <c r="C141" s="150">
        <v>381</v>
      </c>
      <c r="D141" s="150">
        <v>394.8</v>
      </c>
      <c r="E141" s="150">
        <v>30.2</v>
      </c>
      <c r="F141" s="150">
        <v>18.399999999999999</v>
      </c>
      <c r="G141" s="150">
        <v>20</v>
      </c>
      <c r="H141" s="150">
        <v>280.60000000000002</v>
      </c>
      <c r="I141" s="150">
        <v>301</v>
      </c>
      <c r="J141" s="150">
        <v>79431</v>
      </c>
      <c r="K141" s="150">
        <v>30997</v>
      </c>
      <c r="L141" s="150">
        <v>16.2</v>
      </c>
      <c r="M141" s="150">
        <v>10.1</v>
      </c>
      <c r="N141" s="150">
        <v>4170</v>
      </c>
      <c r="O141" s="150">
        <v>1570</v>
      </c>
      <c r="P141" s="150">
        <v>4709</v>
      </c>
      <c r="Q141" s="150">
        <v>2385</v>
      </c>
      <c r="R141" s="150">
        <v>0.83499999999999996</v>
      </c>
      <c r="S141" s="150">
        <v>11.9</v>
      </c>
      <c r="T141" s="150">
        <v>9.5399999999999991</v>
      </c>
      <c r="U141" s="150">
        <v>834</v>
      </c>
      <c r="V141" s="150">
        <f t="shared" si="14"/>
        <v>0.17152956810631229</v>
      </c>
      <c r="W141" s="206" t="s">
        <v>652</v>
      </c>
      <c r="X141" s="146">
        <f>VLOOKUP($W141,GRADE!$B$5:$E$36,IF($E141&lt;=20,2,IF($E141&lt;=40,3,4)),FALSE)</f>
        <v>330</v>
      </c>
      <c r="Y141" s="146">
        <f>VLOOKUP($W141,GRADE!$B$5:$F$36,5,FALSE)</f>
        <v>490</v>
      </c>
      <c r="Z141" s="219">
        <f t="shared" si="15"/>
        <v>1</v>
      </c>
      <c r="AA141" s="144">
        <f t="shared" si="16"/>
        <v>9030</v>
      </c>
      <c r="AB141" s="144">
        <f t="shared" si="17"/>
        <v>1412.7</v>
      </c>
      <c r="AC141" s="144">
        <f t="shared" si="18"/>
        <v>565.20000000000005</v>
      </c>
      <c r="AD141" s="144">
        <f t="shared" si="19"/>
        <v>1214.2368981380855</v>
      </c>
      <c r="AE141" s="207">
        <f t="shared" si="20"/>
        <v>4130.2344993222841</v>
      </c>
    </row>
    <row r="142" spans="1:31" ht="15" x14ac:dyDescent="0.25">
      <c r="A142" s="3" t="s">
        <v>388</v>
      </c>
      <c r="B142" s="150">
        <v>240</v>
      </c>
      <c r="C142" s="150">
        <v>352.5</v>
      </c>
      <c r="D142" s="150">
        <v>318.39999999999998</v>
      </c>
      <c r="E142" s="150">
        <v>37.700000000000003</v>
      </c>
      <c r="F142" s="150">
        <v>23</v>
      </c>
      <c r="G142" s="150">
        <v>20</v>
      </c>
      <c r="H142" s="150">
        <v>237.1</v>
      </c>
      <c r="I142" s="150">
        <v>307</v>
      </c>
      <c r="J142" s="150">
        <v>64458</v>
      </c>
      <c r="K142" s="150">
        <v>20319</v>
      </c>
      <c r="L142" s="150">
        <v>14.5</v>
      </c>
      <c r="M142" s="150">
        <v>8.1300000000000008</v>
      </c>
      <c r="N142" s="150">
        <v>3657</v>
      </c>
      <c r="O142" s="150">
        <v>1276</v>
      </c>
      <c r="P142" s="150">
        <v>4267</v>
      </c>
      <c r="Q142" s="150">
        <v>1953</v>
      </c>
      <c r="R142" s="150">
        <v>0.85399999999999998</v>
      </c>
      <c r="S142" s="150">
        <v>8.64</v>
      </c>
      <c r="T142" s="150">
        <v>5.03</v>
      </c>
      <c r="U142" s="150">
        <v>1307</v>
      </c>
      <c r="V142" s="150">
        <f t="shared" si="14"/>
        <v>0.17763192182410423</v>
      </c>
      <c r="W142" s="206" t="s">
        <v>652</v>
      </c>
      <c r="X142" s="146">
        <f>VLOOKUP($W142,GRADE!$B$5:$E$36,IF($E142&lt;=20,2,IF($E142&lt;=40,3,4)),FALSE)</f>
        <v>330</v>
      </c>
      <c r="Y142" s="146">
        <f>VLOOKUP($W142,GRADE!$B$5:$F$36,5,FALSE)</f>
        <v>490</v>
      </c>
      <c r="Z142" s="219">
        <f t="shared" si="15"/>
        <v>1</v>
      </c>
      <c r="AA142" s="144">
        <f t="shared" si="16"/>
        <v>9210</v>
      </c>
      <c r="AB142" s="144">
        <f t="shared" si="17"/>
        <v>1280.0999999999999</v>
      </c>
      <c r="AC142" s="144">
        <f t="shared" si="18"/>
        <v>459.35999999999996</v>
      </c>
      <c r="AD142" s="144">
        <f t="shared" si="19"/>
        <v>1404.2601922364672</v>
      </c>
      <c r="AE142" s="207">
        <f t="shared" si="20"/>
        <v>4158.1967275596762</v>
      </c>
    </row>
    <row r="143" spans="1:31" ht="15" x14ac:dyDescent="0.25">
      <c r="A143" s="3" t="s">
        <v>605</v>
      </c>
      <c r="B143" s="150">
        <v>282.89999999999998</v>
      </c>
      <c r="C143" s="150">
        <v>365.3</v>
      </c>
      <c r="D143" s="150">
        <v>322.2</v>
      </c>
      <c r="E143" s="150">
        <v>44.1</v>
      </c>
      <c r="F143" s="150">
        <v>26.8</v>
      </c>
      <c r="G143" s="150">
        <v>20</v>
      </c>
      <c r="H143" s="150">
        <v>237.1</v>
      </c>
      <c r="I143" s="150">
        <v>362</v>
      </c>
      <c r="J143" s="150">
        <v>79127</v>
      </c>
      <c r="K143" s="150">
        <v>24641</v>
      </c>
      <c r="L143" s="150">
        <v>14.8</v>
      </c>
      <c r="M143" s="150">
        <v>8.25</v>
      </c>
      <c r="N143" s="150">
        <v>4332</v>
      </c>
      <c r="O143" s="150">
        <v>1530</v>
      </c>
      <c r="P143" s="150">
        <v>5125</v>
      </c>
      <c r="Q143" s="150">
        <v>2345</v>
      </c>
      <c r="R143" s="150">
        <v>0.85499999999999998</v>
      </c>
      <c r="S143" s="150">
        <v>7.58</v>
      </c>
      <c r="T143" s="150">
        <v>6.36</v>
      </c>
      <c r="U143" s="150">
        <v>2084</v>
      </c>
      <c r="V143" s="150">
        <f t="shared" si="14"/>
        <v>0.17553259668508286</v>
      </c>
      <c r="W143" s="206" t="s">
        <v>652</v>
      </c>
      <c r="X143" s="146">
        <f>VLOOKUP($W143,GRADE!$B$5:$E$36,IF($E143&lt;=20,2,IF($E143&lt;=40,3,4)),FALSE)</f>
        <v>320</v>
      </c>
      <c r="Y143" s="146">
        <f>VLOOKUP($W143,GRADE!$B$5:$F$36,5,FALSE)</f>
        <v>490</v>
      </c>
      <c r="Z143" s="219">
        <f t="shared" si="15"/>
        <v>1</v>
      </c>
      <c r="AA143" s="144">
        <f t="shared" si="16"/>
        <v>10530.90909090909</v>
      </c>
      <c r="AB143" s="144">
        <f t="shared" si="17"/>
        <v>1490.9090909090908</v>
      </c>
      <c r="AC143" s="144">
        <f t="shared" si="18"/>
        <v>534.10909090909092</v>
      </c>
      <c r="AD143" s="144">
        <f t="shared" si="19"/>
        <v>1644.3002849097322</v>
      </c>
      <c r="AE143" s="207">
        <f t="shared" si="20"/>
        <v>4772.9928854811787</v>
      </c>
    </row>
    <row r="144" spans="1:31" ht="15" x14ac:dyDescent="0.25">
      <c r="A144" s="3" t="s">
        <v>606</v>
      </c>
      <c r="B144" s="150">
        <v>287.10000000000002</v>
      </c>
      <c r="C144" s="150">
        <v>393.6</v>
      </c>
      <c r="D144" s="150">
        <v>399</v>
      </c>
      <c r="E144" s="150">
        <v>36.5</v>
      </c>
      <c r="F144" s="150">
        <v>22.6</v>
      </c>
      <c r="G144" s="150">
        <v>20</v>
      </c>
      <c r="H144" s="150">
        <v>280.60000000000002</v>
      </c>
      <c r="I144" s="150">
        <v>367</v>
      </c>
      <c r="J144" s="150">
        <v>100221</v>
      </c>
      <c r="K144" s="150">
        <v>38682</v>
      </c>
      <c r="L144" s="150">
        <v>16.5</v>
      </c>
      <c r="M144" s="150">
        <v>10.3</v>
      </c>
      <c r="N144" s="150">
        <v>5093</v>
      </c>
      <c r="O144" s="150">
        <v>1939</v>
      </c>
      <c r="P144" s="150">
        <v>5835</v>
      </c>
      <c r="Q144" s="150">
        <v>2951</v>
      </c>
      <c r="R144" s="150">
        <v>0.83499999999999996</v>
      </c>
      <c r="S144" s="150">
        <v>10.1</v>
      </c>
      <c r="T144" s="150">
        <v>12.3</v>
      </c>
      <c r="U144" s="150">
        <v>1474</v>
      </c>
      <c r="V144" s="150">
        <f t="shared" si="14"/>
        <v>0.17279455040871938</v>
      </c>
      <c r="W144" s="206" t="s">
        <v>652</v>
      </c>
      <c r="X144" s="146">
        <f>VLOOKUP($W144,GRADE!$B$5:$E$36,IF($E144&lt;=20,2,IF($E144&lt;=40,3,4)),FALSE)</f>
        <v>330</v>
      </c>
      <c r="Y144" s="146">
        <f>VLOOKUP($W144,GRADE!$B$5:$F$36,5,FALSE)</f>
        <v>490</v>
      </c>
      <c r="Z144" s="219">
        <f t="shared" si="15"/>
        <v>1</v>
      </c>
      <c r="AA144" s="144">
        <f t="shared" si="16"/>
        <v>11010</v>
      </c>
      <c r="AB144" s="144">
        <f t="shared" si="17"/>
        <v>1750.4999999999998</v>
      </c>
      <c r="AC144" s="144">
        <f t="shared" si="18"/>
        <v>698.03999999999985</v>
      </c>
      <c r="AD144" s="144">
        <f t="shared" si="19"/>
        <v>1540.7215471615889</v>
      </c>
      <c r="AE144" s="207">
        <f t="shared" si="20"/>
        <v>5044.9443872058691</v>
      </c>
    </row>
    <row r="145" spans="1:31" ht="15" x14ac:dyDescent="0.25">
      <c r="A145" s="3" t="s">
        <v>607</v>
      </c>
      <c r="B145" s="150">
        <v>339.9</v>
      </c>
      <c r="C145" s="150">
        <v>406.4</v>
      </c>
      <c r="D145" s="150">
        <v>403</v>
      </c>
      <c r="E145" s="150">
        <v>42.9</v>
      </c>
      <c r="F145" s="150">
        <v>26.6</v>
      </c>
      <c r="G145" s="150">
        <v>20</v>
      </c>
      <c r="H145" s="150">
        <v>280.60000000000002</v>
      </c>
      <c r="I145" s="150">
        <v>434</v>
      </c>
      <c r="J145" s="150">
        <v>122889</v>
      </c>
      <c r="K145" s="150">
        <v>46859</v>
      </c>
      <c r="L145" s="150">
        <v>16.8</v>
      </c>
      <c r="M145" s="150">
        <v>10.4</v>
      </c>
      <c r="N145" s="150">
        <v>6048</v>
      </c>
      <c r="O145" s="150">
        <v>2326</v>
      </c>
      <c r="P145" s="150">
        <v>7022</v>
      </c>
      <c r="Q145" s="150">
        <v>3546</v>
      </c>
      <c r="R145" s="150">
        <v>0.83599999999999997</v>
      </c>
      <c r="S145" s="150">
        <v>8.77</v>
      </c>
      <c r="T145" s="150">
        <v>15.5</v>
      </c>
      <c r="U145" s="150">
        <v>2391</v>
      </c>
      <c r="V145" s="150">
        <f t="shared" si="14"/>
        <v>0.17198064516129036</v>
      </c>
      <c r="W145" s="206" t="s">
        <v>652</v>
      </c>
      <c r="X145" s="146">
        <f>VLOOKUP($W145,GRADE!$B$5:$E$36,IF($E145&lt;=20,2,IF($E145&lt;=40,3,4)),FALSE)</f>
        <v>320</v>
      </c>
      <c r="Y145" s="146">
        <f>VLOOKUP($W145,GRADE!$B$5:$F$36,5,FALSE)</f>
        <v>490</v>
      </c>
      <c r="Z145" s="219">
        <f t="shared" si="15"/>
        <v>1</v>
      </c>
      <c r="AA145" s="144">
        <f t="shared" si="16"/>
        <v>12625.454545454544</v>
      </c>
      <c r="AB145" s="144">
        <f t="shared" si="17"/>
        <v>2042.7636363636364</v>
      </c>
      <c r="AC145" s="144">
        <f t="shared" si="18"/>
        <v>811.98545454545456</v>
      </c>
      <c r="AD145" s="144">
        <f t="shared" si="19"/>
        <v>1815.6494469831155</v>
      </c>
      <c r="AE145" s="207">
        <f t="shared" si="20"/>
        <v>5807.4970757461424</v>
      </c>
    </row>
    <row r="146" spans="1:31" ht="15" x14ac:dyDescent="0.25">
      <c r="A146" s="3" t="s">
        <v>608</v>
      </c>
      <c r="B146" s="150">
        <v>393</v>
      </c>
      <c r="C146" s="150">
        <v>419</v>
      </c>
      <c r="D146" s="150">
        <v>407</v>
      </c>
      <c r="E146" s="150">
        <v>49.2</v>
      </c>
      <c r="F146" s="150">
        <v>30.6</v>
      </c>
      <c r="G146" s="150">
        <v>20</v>
      </c>
      <c r="H146" s="150">
        <v>280.60000000000002</v>
      </c>
      <c r="I146" s="150">
        <v>502</v>
      </c>
      <c r="J146" s="150">
        <v>146964</v>
      </c>
      <c r="K146" s="150">
        <v>55374</v>
      </c>
      <c r="L146" s="150">
        <v>17.100000000000001</v>
      </c>
      <c r="M146" s="150">
        <v>10.5</v>
      </c>
      <c r="N146" s="150">
        <v>7015</v>
      </c>
      <c r="O146" s="150">
        <v>2721</v>
      </c>
      <c r="P146" s="150">
        <v>8245</v>
      </c>
      <c r="Q146" s="150">
        <v>4156</v>
      </c>
      <c r="R146" s="150">
        <v>0.83699999999999997</v>
      </c>
      <c r="S146" s="150">
        <v>7.8</v>
      </c>
      <c r="T146" s="150">
        <v>18.899999999999999</v>
      </c>
      <c r="U146" s="150">
        <v>3611</v>
      </c>
      <c r="V146" s="150">
        <f t="shared" si="14"/>
        <v>0.17104302788844622</v>
      </c>
      <c r="W146" s="206" t="s">
        <v>652</v>
      </c>
      <c r="X146" s="146">
        <f>VLOOKUP($W146,GRADE!$B$5:$E$36,IF($E146&lt;=20,2,IF($E146&lt;=40,3,4)),FALSE)</f>
        <v>320</v>
      </c>
      <c r="Y146" s="146">
        <f>VLOOKUP($W146,GRADE!$B$5:$F$36,5,FALSE)</f>
        <v>490</v>
      </c>
      <c r="Z146" s="219">
        <f t="shared" si="15"/>
        <v>1</v>
      </c>
      <c r="AA146" s="144">
        <f t="shared" si="16"/>
        <v>14603.636363636364</v>
      </c>
      <c r="AB146" s="144">
        <f t="shared" si="17"/>
        <v>2398.5454545454545</v>
      </c>
      <c r="AC146" s="144">
        <f t="shared" si="18"/>
        <v>949.87636363636352</v>
      </c>
      <c r="AD146" s="144">
        <f t="shared" si="19"/>
        <v>2153.4367247673799</v>
      </c>
      <c r="AE146" s="207">
        <f t="shared" si="20"/>
        <v>6726.4539522098858</v>
      </c>
    </row>
    <row r="147" spans="1:31" ht="15" x14ac:dyDescent="0.25">
      <c r="A147" s="3" t="s">
        <v>609</v>
      </c>
      <c r="B147" s="150">
        <v>467</v>
      </c>
      <c r="C147" s="150">
        <v>436.6</v>
      </c>
      <c r="D147" s="150">
        <v>412.2</v>
      </c>
      <c r="E147" s="150">
        <v>58</v>
      </c>
      <c r="F147" s="150">
        <v>35.799999999999997</v>
      </c>
      <c r="G147" s="150">
        <v>20</v>
      </c>
      <c r="H147" s="150">
        <v>280.60000000000002</v>
      </c>
      <c r="I147" s="150">
        <v>596</v>
      </c>
      <c r="J147" s="150">
        <v>183349</v>
      </c>
      <c r="K147" s="150">
        <v>67842</v>
      </c>
      <c r="L147" s="150">
        <v>17.5</v>
      </c>
      <c r="M147" s="150">
        <v>10.7</v>
      </c>
      <c r="N147" s="150">
        <v>8399</v>
      </c>
      <c r="O147" s="150">
        <v>3292</v>
      </c>
      <c r="P147" s="150">
        <v>10025</v>
      </c>
      <c r="Q147" s="150">
        <v>5037</v>
      </c>
      <c r="R147" s="150">
        <v>0.84</v>
      </c>
      <c r="S147" s="150">
        <v>6.81</v>
      </c>
      <c r="T147" s="150">
        <v>24.3</v>
      </c>
      <c r="U147" s="150">
        <v>5905</v>
      </c>
      <c r="V147" s="150">
        <f t="shared" si="14"/>
        <v>0.168548322147651</v>
      </c>
      <c r="W147" s="206" t="s">
        <v>652</v>
      </c>
      <c r="X147" s="146">
        <f>VLOOKUP($W147,GRADE!$B$5:$E$36,IF($E147&lt;=20,2,IF($E147&lt;=40,3,4)),FALSE)</f>
        <v>320</v>
      </c>
      <c r="Y147" s="146">
        <f>VLOOKUP($W147,GRADE!$B$5:$F$36,5,FALSE)</f>
        <v>490</v>
      </c>
      <c r="Z147" s="219">
        <f t="shared" si="15"/>
        <v>1</v>
      </c>
      <c r="AA147" s="144">
        <f t="shared" si="16"/>
        <v>17338.181818181816</v>
      </c>
      <c r="AB147" s="144">
        <f t="shared" si="17"/>
        <v>2916.363636363636</v>
      </c>
      <c r="AC147" s="144">
        <f t="shared" si="18"/>
        <v>1149.2072727272725</v>
      </c>
      <c r="AD147" s="144">
        <f t="shared" si="19"/>
        <v>2625.2062154208652</v>
      </c>
      <c r="AE147" s="207">
        <f t="shared" si="20"/>
        <v>8030.870862939867</v>
      </c>
    </row>
    <row r="148" spans="1:31" ht="15" x14ac:dyDescent="0.25">
      <c r="A148" s="3" t="s">
        <v>610</v>
      </c>
      <c r="B148" s="150">
        <v>509</v>
      </c>
      <c r="C148" s="150">
        <v>446</v>
      </c>
      <c r="D148" s="150">
        <v>416</v>
      </c>
      <c r="E148" s="150">
        <v>62.7</v>
      </c>
      <c r="F148" s="150">
        <v>39.1</v>
      </c>
      <c r="G148" s="150">
        <v>15.2</v>
      </c>
      <c r="H148" s="150">
        <v>290</v>
      </c>
      <c r="I148" s="150">
        <v>649</v>
      </c>
      <c r="J148" s="150">
        <v>204500</v>
      </c>
      <c r="K148" s="150">
        <v>75400</v>
      </c>
      <c r="L148" s="150">
        <v>17.8</v>
      </c>
      <c r="M148" s="150">
        <v>10.8</v>
      </c>
      <c r="N148" s="150">
        <v>9172</v>
      </c>
      <c r="O148" s="150">
        <v>3625</v>
      </c>
      <c r="P148" s="150">
        <v>11030</v>
      </c>
      <c r="Q148" s="150">
        <v>5552</v>
      </c>
      <c r="R148" s="150">
        <v>0.84</v>
      </c>
      <c r="S148" s="150">
        <v>6.43</v>
      </c>
      <c r="T148" s="150">
        <v>27.7</v>
      </c>
      <c r="U148" s="150">
        <v>7396</v>
      </c>
      <c r="V148" s="150">
        <f t="shared" si="14"/>
        <v>0.17471494607087829</v>
      </c>
      <c r="W148" s="206" t="s">
        <v>652</v>
      </c>
      <c r="X148" s="146">
        <f>VLOOKUP($W148,GRADE!$B$5:$E$36,IF($E148&lt;=20,2,IF($E148&lt;=40,3,4)),FALSE)</f>
        <v>320</v>
      </c>
      <c r="Y148" s="146">
        <f>VLOOKUP($W148,GRADE!$B$5:$F$36,5,FALSE)</f>
        <v>490</v>
      </c>
      <c r="Z148" s="219">
        <f t="shared" si="15"/>
        <v>1</v>
      </c>
      <c r="AA148" s="144">
        <f t="shared" si="16"/>
        <v>18880</v>
      </c>
      <c r="AB148" s="144">
        <f t="shared" si="17"/>
        <v>3201.8618181818179</v>
      </c>
      <c r="AC148" s="144">
        <f t="shared" si="18"/>
        <v>1265.4545454545453</v>
      </c>
      <c r="AD148" s="144">
        <f t="shared" si="19"/>
        <v>2928.9252085207881</v>
      </c>
      <c r="AE148" s="207">
        <f t="shared" si="20"/>
        <v>8761.6829331356203</v>
      </c>
    </row>
    <row r="149" spans="1:31" ht="15" x14ac:dyDescent="0.25">
      <c r="A149" s="3" t="s">
        <v>611</v>
      </c>
      <c r="B149" s="150">
        <v>551</v>
      </c>
      <c r="C149" s="150">
        <v>455.6</v>
      </c>
      <c r="D149" s="150">
        <v>418.5</v>
      </c>
      <c r="E149" s="150">
        <v>67.5</v>
      </c>
      <c r="F149" s="150">
        <v>42.1</v>
      </c>
      <c r="G149" s="150">
        <v>20</v>
      </c>
      <c r="H149" s="150">
        <v>280.60000000000002</v>
      </c>
      <c r="I149" s="150">
        <v>703</v>
      </c>
      <c r="J149" s="150">
        <v>227284</v>
      </c>
      <c r="K149" s="150">
        <v>82681</v>
      </c>
      <c r="L149" s="150">
        <v>18</v>
      </c>
      <c r="M149" s="150">
        <v>10.8</v>
      </c>
      <c r="N149" s="150">
        <v>9977</v>
      </c>
      <c r="O149" s="150">
        <v>3951</v>
      </c>
      <c r="P149" s="150">
        <v>12099</v>
      </c>
      <c r="Q149" s="150">
        <v>6062</v>
      </c>
      <c r="R149" s="150">
        <v>0.84099999999999997</v>
      </c>
      <c r="S149" s="150">
        <v>6.01</v>
      </c>
      <c r="T149" s="150">
        <v>31.1</v>
      </c>
      <c r="U149" s="150">
        <v>9381</v>
      </c>
      <c r="V149" s="150">
        <f t="shared" si="14"/>
        <v>0.16804068278805123</v>
      </c>
      <c r="W149" s="206" t="s">
        <v>652</v>
      </c>
      <c r="X149" s="146">
        <f>VLOOKUP($W149,GRADE!$B$5:$E$36,IF($E149&lt;=20,2,IF($E149&lt;=40,3,4)),FALSE)</f>
        <v>320</v>
      </c>
      <c r="Y149" s="146">
        <f>VLOOKUP($W149,GRADE!$B$5:$F$36,5,FALSE)</f>
        <v>490</v>
      </c>
      <c r="Z149" s="219">
        <f t="shared" si="15"/>
        <v>1</v>
      </c>
      <c r="AA149" s="144">
        <f t="shared" si="16"/>
        <v>20450.909090909088</v>
      </c>
      <c r="AB149" s="144">
        <f t="shared" si="17"/>
        <v>3482.8799999999997</v>
      </c>
      <c r="AC149" s="144">
        <f t="shared" si="18"/>
        <v>1379.2581818181818</v>
      </c>
      <c r="AD149" s="144">
        <f t="shared" si="19"/>
        <v>3221.5322034215587</v>
      </c>
      <c r="AE149" s="207">
        <f t="shared" si="20"/>
        <v>9489.1190788482563</v>
      </c>
    </row>
    <row r="150" spans="1:31" ht="15" x14ac:dyDescent="0.25">
      <c r="A150" s="3" t="s">
        <v>612</v>
      </c>
      <c r="B150" s="150">
        <v>592</v>
      </c>
      <c r="C150" s="150">
        <v>465</v>
      </c>
      <c r="D150" s="150">
        <v>421</v>
      </c>
      <c r="E150" s="150">
        <v>72.3</v>
      </c>
      <c r="F150" s="150">
        <v>45</v>
      </c>
      <c r="G150" s="150">
        <v>15.2</v>
      </c>
      <c r="H150" s="150">
        <v>290</v>
      </c>
      <c r="I150" s="150">
        <v>755</v>
      </c>
      <c r="J150" s="150">
        <v>250200</v>
      </c>
      <c r="K150" s="150">
        <v>90170</v>
      </c>
      <c r="L150" s="150">
        <v>18.2</v>
      </c>
      <c r="M150" s="150">
        <v>10.9</v>
      </c>
      <c r="N150" s="150">
        <v>10760</v>
      </c>
      <c r="O150" s="150">
        <v>4284</v>
      </c>
      <c r="P150" s="150">
        <v>13140</v>
      </c>
      <c r="Q150" s="150">
        <v>6574</v>
      </c>
      <c r="R150" s="150">
        <v>0.84199999999999997</v>
      </c>
      <c r="S150" s="150">
        <v>5.73</v>
      </c>
      <c r="T150" s="150">
        <v>34.799999999999997</v>
      </c>
      <c r="U150" s="150">
        <v>11360</v>
      </c>
      <c r="V150" s="150">
        <f t="shared" si="14"/>
        <v>0.17284768211920529</v>
      </c>
      <c r="W150" s="206" t="s">
        <v>652</v>
      </c>
      <c r="X150" s="146">
        <f>VLOOKUP($W150,GRADE!$B$5:$E$36,IF($E150&lt;=20,2,IF($E150&lt;=40,3,4)),FALSE)</f>
        <v>320</v>
      </c>
      <c r="Y150" s="146">
        <f>VLOOKUP($W150,GRADE!$B$5:$F$36,5,FALSE)</f>
        <v>490</v>
      </c>
      <c r="Z150" s="219">
        <f t="shared" si="15"/>
        <v>1</v>
      </c>
      <c r="AA150" s="144">
        <f t="shared" si="16"/>
        <v>21963.636363636364</v>
      </c>
      <c r="AB150" s="144">
        <f t="shared" si="17"/>
        <v>3756.2181818181816</v>
      </c>
      <c r="AC150" s="144">
        <f t="shared" si="18"/>
        <v>1495.5054545454545</v>
      </c>
      <c r="AD150" s="144">
        <f t="shared" si="19"/>
        <v>3514.4885477215762</v>
      </c>
      <c r="AE150" s="207">
        <f t="shared" si="20"/>
        <v>10224.617133774305</v>
      </c>
    </row>
    <row r="151" spans="1:31" ht="15" x14ac:dyDescent="0.25">
      <c r="A151" s="3" t="s">
        <v>613</v>
      </c>
      <c r="B151" s="150">
        <v>633.9</v>
      </c>
      <c r="C151" s="150">
        <v>474.6</v>
      </c>
      <c r="D151" s="150">
        <v>424</v>
      </c>
      <c r="E151" s="150">
        <v>77</v>
      </c>
      <c r="F151" s="150">
        <v>47.6</v>
      </c>
      <c r="G151" s="150">
        <v>20</v>
      </c>
      <c r="H151" s="150">
        <v>280.60000000000002</v>
      </c>
      <c r="I151" s="150">
        <v>809</v>
      </c>
      <c r="J151" s="150">
        <v>275191</v>
      </c>
      <c r="K151" s="150">
        <v>98138</v>
      </c>
      <c r="L151" s="150">
        <v>18.399999999999999</v>
      </c>
      <c r="M151" s="150">
        <v>11</v>
      </c>
      <c r="N151" s="150">
        <v>11597</v>
      </c>
      <c r="O151" s="150">
        <v>4629</v>
      </c>
      <c r="P151" s="150">
        <v>14258</v>
      </c>
      <c r="Q151" s="150">
        <v>7112</v>
      </c>
      <c r="R151" s="150">
        <v>0.84299999999999997</v>
      </c>
      <c r="S151" s="150">
        <v>5.43</v>
      </c>
      <c r="T151" s="150">
        <v>38.799999999999997</v>
      </c>
      <c r="U151" s="150">
        <v>13920</v>
      </c>
      <c r="V151" s="150">
        <f t="shared" si="14"/>
        <v>0.16509962917181709</v>
      </c>
      <c r="W151" s="206" t="s">
        <v>652</v>
      </c>
      <c r="X151" s="146">
        <f>VLOOKUP($W151,GRADE!$B$5:$E$36,IF($E151&lt;=20,2,IF($E151&lt;=40,3,4)),FALSE)</f>
        <v>320</v>
      </c>
      <c r="Y151" s="146">
        <f>VLOOKUP($W151,GRADE!$B$5:$F$36,5,FALSE)</f>
        <v>490</v>
      </c>
      <c r="Z151" s="219">
        <f t="shared" si="15"/>
        <v>1</v>
      </c>
      <c r="AA151" s="144">
        <f t="shared" si="16"/>
        <v>23534.545454545452</v>
      </c>
      <c r="AB151" s="144">
        <f t="shared" si="17"/>
        <v>4048.4072727272724</v>
      </c>
      <c r="AC151" s="144">
        <f t="shared" si="18"/>
        <v>1615.941818181818</v>
      </c>
      <c r="AD151" s="144">
        <f t="shared" si="19"/>
        <v>3794.2972617460568</v>
      </c>
      <c r="AE151" s="207">
        <f t="shared" si="20"/>
        <v>10966.88383331078</v>
      </c>
    </row>
    <row r="152" spans="1:31" ht="15" x14ac:dyDescent="0.25">
      <c r="A152" s="3" t="s">
        <v>614</v>
      </c>
      <c r="B152" s="150">
        <v>677</v>
      </c>
      <c r="C152" s="150">
        <v>483</v>
      </c>
      <c r="D152" s="150">
        <v>428</v>
      </c>
      <c r="E152" s="150">
        <v>81.5</v>
      </c>
      <c r="F152" s="150">
        <v>51.2</v>
      </c>
      <c r="G152" s="150">
        <v>15.2</v>
      </c>
      <c r="H152" s="150">
        <v>290</v>
      </c>
      <c r="I152" s="150">
        <v>863</v>
      </c>
      <c r="J152" s="150">
        <v>299400</v>
      </c>
      <c r="K152" s="150">
        <v>106800</v>
      </c>
      <c r="L152" s="150">
        <v>18.600000000000001</v>
      </c>
      <c r="M152" s="150">
        <v>11.1</v>
      </c>
      <c r="N152" s="150">
        <v>12400</v>
      </c>
      <c r="O152" s="150">
        <v>4992</v>
      </c>
      <c r="P152" s="150">
        <v>15340</v>
      </c>
      <c r="Q152" s="150">
        <v>7676</v>
      </c>
      <c r="R152" s="150">
        <v>0.84299999999999997</v>
      </c>
      <c r="S152" s="150">
        <v>5.21</v>
      </c>
      <c r="T152" s="150">
        <v>43.1</v>
      </c>
      <c r="U152" s="150">
        <v>16430</v>
      </c>
      <c r="V152" s="150">
        <f t="shared" si="14"/>
        <v>0.17205098493626883</v>
      </c>
      <c r="W152" s="206" t="s">
        <v>652</v>
      </c>
      <c r="X152" s="146">
        <f>VLOOKUP($W152,GRADE!$B$5:$E$36,IF($E152&lt;=20,2,IF($E152&lt;=40,3,4)),FALSE)</f>
        <v>320</v>
      </c>
      <c r="Y152" s="146">
        <f>VLOOKUP($W152,GRADE!$B$5:$F$36,5,FALSE)</f>
        <v>490</v>
      </c>
      <c r="Z152" s="219">
        <f t="shared" si="15"/>
        <v>1</v>
      </c>
      <c r="AA152" s="144">
        <f t="shared" si="16"/>
        <v>25105.454545454544</v>
      </c>
      <c r="AB152" s="144">
        <f t="shared" si="17"/>
        <v>4328.7272727272721</v>
      </c>
      <c r="AC152" s="144">
        <f t="shared" si="18"/>
        <v>1742.661818181818</v>
      </c>
      <c r="AD152" s="144">
        <f t="shared" si="19"/>
        <v>4153.4956267496054</v>
      </c>
      <c r="AE152" s="207">
        <f t="shared" si="20"/>
        <v>11717.313215925833</v>
      </c>
    </row>
    <row r="153" spans="1:31" ht="15" x14ac:dyDescent="0.25">
      <c r="A153" s="3" t="s">
        <v>615</v>
      </c>
      <c r="B153" s="150">
        <v>744</v>
      </c>
      <c r="C153" s="150">
        <v>498</v>
      </c>
      <c r="D153" s="150">
        <v>432</v>
      </c>
      <c r="E153" s="150">
        <v>88.9</v>
      </c>
      <c r="F153" s="150">
        <v>55.6</v>
      </c>
      <c r="G153" s="150">
        <v>15.2</v>
      </c>
      <c r="H153" s="150">
        <v>290</v>
      </c>
      <c r="I153" s="150">
        <v>948</v>
      </c>
      <c r="J153" s="150">
        <v>342100</v>
      </c>
      <c r="K153" s="150">
        <v>119900</v>
      </c>
      <c r="L153" s="150">
        <v>19</v>
      </c>
      <c r="M153" s="150">
        <v>11.2</v>
      </c>
      <c r="N153" s="150">
        <v>13740</v>
      </c>
      <c r="O153" s="150">
        <v>5552</v>
      </c>
      <c r="P153" s="150">
        <v>17170</v>
      </c>
      <c r="Q153" s="150">
        <v>8549</v>
      </c>
      <c r="R153" s="150">
        <v>0.84499999999999997</v>
      </c>
      <c r="S153" s="150">
        <v>4.88</v>
      </c>
      <c r="T153" s="150">
        <v>50.2</v>
      </c>
      <c r="U153" s="150">
        <v>21380</v>
      </c>
      <c r="V153" s="150">
        <f t="shared" si="14"/>
        <v>0.170084388185654</v>
      </c>
      <c r="W153" s="206" t="s">
        <v>652</v>
      </c>
      <c r="X153" s="146">
        <f>VLOOKUP($W153,GRADE!$B$5:$E$36,IF($E153&lt;=20,2,IF($E153&lt;=40,3,4)),FALSE)</f>
        <v>320</v>
      </c>
      <c r="Y153" s="146">
        <f>VLOOKUP($W153,GRADE!$B$5:$F$36,5,FALSE)</f>
        <v>490</v>
      </c>
      <c r="Z153" s="219">
        <f t="shared" si="15"/>
        <v>1</v>
      </c>
      <c r="AA153" s="144">
        <f t="shared" si="16"/>
        <v>27578.181818181816</v>
      </c>
      <c r="AB153" s="144">
        <f t="shared" si="17"/>
        <v>4796.5090909090914</v>
      </c>
      <c r="AC153" s="144">
        <f t="shared" si="18"/>
        <v>1938.1527272727269</v>
      </c>
      <c r="AD153" s="144">
        <f t="shared" si="19"/>
        <v>4650.5123297564251</v>
      </c>
      <c r="AE153" s="207">
        <f t="shared" si="20"/>
        <v>12900.667123301086</v>
      </c>
    </row>
    <row r="154" spans="1:31" ht="15" x14ac:dyDescent="0.25">
      <c r="A154" s="3" t="s">
        <v>616</v>
      </c>
      <c r="B154" s="150">
        <v>818</v>
      </c>
      <c r="C154" s="150">
        <v>514</v>
      </c>
      <c r="D154" s="150">
        <v>437</v>
      </c>
      <c r="E154" s="150">
        <v>97</v>
      </c>
      <c r="F154" s="150">
        <v>60.5</v>
      </c>
      <c r="G154" s="150">
        <v>15.2</v>
      </c>
      <c r="H154" s="150">
        <v>290</v>
      </c>
      <c r="I154" s="150">
        <v>1043</v>
      </c>
      <c r="J154" s="150">
        <v>392000</v>
      </c>
      <c r="K154" s="150">
        <v>135400</v>
      </c>
      <c r="L154" s="150">
        <v>19.399999999999999</v>
      </c>
      <c r="M154" s="150">
        <v>11.4</v>
      </c>
      <c r="N154" s="150">
        <v>15250</v>
      </c>
      <c r="O154" s="150">
        <v>6197</v>
      </c>
      <c r="P154" s="150">
        <v>19250</v>
      </c>
      <c r="Q154" s="150">
        <v>9552</v>
      </c>
      <c r="R154" s="150">
        <v>0.84599999999999997</v>
      </c>
      <c r="S154" s="150">
        <v>4.57</v>
      </c>
      <c r="T154" s="150">
        <v>58.9</v>
      </c>
      <c r="U154" s="150">
        <v>27810</v>
      </c>
      <c r="V154" s="150">
        <f t="shared" si="14"/>
        <v>0.16821668264621284</v>
      </c>
      <c r="W154" s="206" t="s">
        <v>652</v>
      </c>
      <c r="X154" s="146">
        <f>VLOOKUP($W154,GRADE!$B$5:$E$36,IF($E154&lt;=20,2,IF($E154&lt;=40,3,4)),FALSE)</f>
        <v>320</v>
      </c>
      <c r="Y154" s="146">
        <f>VLOOKUP($W154,GRADE!$B$5:$F$36,5,FALSE)</f>
        <v>490</v>
      </c>
      <c r="Z154" s="219">
        <f t="shared" si="15"/>
        <v>1</v>
      </c>
      <c r="AA154" s="144">
        <f t="shared" si="16"/>
        <v>30341.81818181818</v>
      </c>
      <c r="AB154" s="144">
        <f t="shared" si="17"/>
        <v>5323.6363636363631</v>
      </c>
      <c r="AC154" s="144">
        <f t="shared" si="18"/>
        <v>2163.3163636363633</v>
      </c>
      <c r="AD154" s="144">
        <f t="shared" si="19"/>
        <v>5222.9414751970298</v>
      </c>
      <c r="AE154" s="207">
        <f t="shared" si="20"/>
        <v>14239.011235304171</v>
      </c>
    </row>
    <row r="155" spans="1:31" ht="15" x14ac:dyDescent="0.25">
      <c r="A155" s="3" t="s">
        <v>617</v>
      </c>
      <c r="B155" s="150">
        <v>901</v>
      </c>
      <c r="C155" s="150">
        <v>531</v>
      </c>
      <c r="D155" s="150">
        <v>442</v>
      </c>
      <c r="E155" s="150">
        <v>106</v>
      </c>
      <c r="F155" s="150">
        <v>65.900000000000006</v>
      </c>
      <c r="G155" s="150">
        <v>15.2</v>
      </c>
      <c r="H155" s="150">
        <v>289</v>
      </c>
      <c r="I155" s="150">
        <v>1148</v>
      </c>
      <c r="J155" s="150">
        <v>449600</v>
      </c>
      <c r="K155" s="150">
        <v>152800</v>
      </c>
      <c r="L155" s="150">
        <v>19.8</v>
      </c>
      <c r="M155" s="150">
        <v>11.5</v>
      </c>
      <c r="N155" s="150">
        <v>16930</v>
      </c>
      <c r="O155" s="150">
        <v>6920</v>
      </c>
      <c r="P155" s="150">
        <v>21590</v>
      </c>
      <c r="Q155" s="150">
        <v>10680</v>
      </c>
      <c r="R155" s="150">
        <v>0.84799999999999998</v>
      </c>
      <c r="S155" s="150">
        <v>4.2699999999999996</v>
      </c>
      <c r="T155" s="150">
        <v>69</v>
      </c>
      <c r="U155" s="150">
        <v>36350</v>
      </c>
      <c r="V155" s="150">
        <f t="shared" si="14"/>
        <v>0.1658980836236934</v>
      </c>
      <c r="W155" s="206" t="s">
        <v>652</v>
      </c>
      <c r="X155" s="146">
        <f>VLOOKUP($W155,GRADE!$B$5:$E$36,IF($E155&lt;=20,2,IF($E155&lt;=40,3,4)),FALSE)</f>
        <v>320</v>
      </c>
      <c r="Y155" s="146">
        <f>VLOOKUP($W155,GRADE!$B$5:$F$36,5,FALSE)</f>
        <v>490</v>
      </c>
      <c r="Z155" s="219">
        <f t="shared" si="15"/>
        <v>1</v>
      </c>
      <c r="AA155" s="144">
        <f t="shared" si="16"/>
        <v>33396.363636363632</v>
      </c>
      <c r="AB155" s="144">
        <f t="shared" si="17"/>
        <v>5910.1090909090899</v>
      </c>
      <c r="AC155" s="144">
        <f t="shared" si="18"/>
        <v>2415.7090909090907</v>
      </c>
      <c r="AD155" s="144">
        <f t="shared" si="19"/>
        <v>5877.2829773747362</v>
      </c>
      <c r="AE155" s="207">
        <f t="shared" si="20"/>
        <v>15738.190436114819</v>
      </c>
    </row>
    <row r="156" spans="1:31" ht="15" x14ac:dyDescent="0.25">
      <c r="A156" s="3" t="s">
        <v>618</v>
      </c>
      <c r="B156" s="150">
        <v>990</v>
      </c>
      <c r="C156" s="150">
        <v>550</v>
      </c>
      <c r="D156" s="150">
        <v>448</v>
      </c>
      <c r="E156" s="150">
        <v>115</v>
      </c>
      <c r="F156" s="150">
        <v>71.900000000000006</v>
      </c>
      <c r="G156" s="150">
        <v>15.2</v>
      </c>
      <c r="H156" s="150">
        <v>290</v>
      </c>
      <c r="I156" s="150">
        <v>1262</v>
      </c>
      <c r="J156" s="150">
        <v>518600</v>
      </c>
      <c r="K156" s="150">
        <v>173000</v>
      </c>
      <c r="L156" s="150">
        <v>20.3</v>
      </c>
      <c r="M156" s="150">
        <v>11.7</v>
      </c>
      <c r="N156" s="150">
        <v>18860</v>
      </c>
      <c r="O156" s="150">
        <v>7729</v>
      </c>
      <c r="P156" s="150">
        <v>24270</v>
      </c>
      <c r="Q156" s="150">
        <v>11950</v>
      </c>
      <c r="R156" s="150">
        <v>0.85</v>
      </c>
      <c r="S156" s="150">
        <v>4.04</v>
      </c>
      <c r="T156" s="150">
        <v>81.8</v>
      </c>
      <c r="U156" s="150">
        <v>46890</v>
      </c>
      <c r="V156" s="150">
        <f t="shared" si="14"/>
        <v>0.16522187004754357</v>
      </c>
      <c r="W156" s="206" t="s">
        <v>652</v>
      </c>
      <c r="X156" s="146">
        <f>VLOOKUP($W156,GRADE!$B$5:$E$36,IF($E156&lt;=20,2,IF($E156&lt;=40,3,4)),FALSE)</f>
        <v>320</v>
      </c>
      <c r="Y156" s="146">
        <f>VLOOKUP($W156,GRADE!$B$5:$F$36,5,FALSE)</f>
        <v>490</v>
      </c>
      <c r="Z156" s="219">
        <f t="shared" si="15"/>
        <v>1</v>
      </c>
      <c r="AA156" s="144">
        <f t="shared" si="16"/>
        <v>36712.727272727272</v>
      </c>
      <c r="AB156" s="144">
        <f t="shared" si="17"/>
        <v>6583.8545454545447</v>
      </c>
      <c r="AC156" s="144">
        <f t="shared" si="18"/>
        <v>2698.1236363636358</v>
      </c>
      <c r="AD156" s="144">
        <f t="shared" si="19"/>
        <v>6641.8374967574546</v>
      </c>
      <c r="AE156" s="207">
        <f t="shared" si="20"/>
        <v>17306.231778123358</v>
      </c>
    </row>
    <row r="157" spans="1:31" ht="15" x14ac:dyDescent="0.25">
      <c r="A157" s="3" t="s">
        <v>619</v>
      </c>
      <c r="B157" s="150">
        <v>1086</v>
      </c>
      <c r="C157" s="150">
        <v>569</v>
      </c>
      <c r="D157" s="150">
        <v>454</v>
      </c>
      <c r="E157" s="150">
        <v>125</v>
      </c>
      <c r="F157" s="150">
        <v>78</v>
      </c>
      <c r="G157" s="150">
        <v>15.2</v>
      </c>
      <c r="H157" s="150">
        <v>289</v>
      </c>
      <c r="I157" s="150">
        <v>1384</v>
      </c>
      <c r="J157" s="150">
        <v>595000</v>
      </c>
      <c r="K157" s="150">
        <v>195500</v>
      </c>
      <c r="L157" s="150">
        <v>20.7</v>
      </c>
      <c r="M157" s="150">
        <v>11.9</v>
      </c>
      <c r="N157" s="150">
        <v>20910</v>
      </c>
      <c r="O157" s="150">
        <v>8623</v>
      </c>
      <c r="P157" s="150">
        <v>27180</v>
      </c>
      <c r="Q157" s="150">
        <v>13340</v>
      </c>
      <c r="R157" s="150">
        <v>0.85099999999999998</v>
      </c>
      <c r="S157" s="150">
        <v>3.8</v>
      </c>
      <c r="T157" s="150">
        <v>96.4</v>
      </c>
      <c r="U157" s="150">
        <v>60390</v>
      </c>
      <c r="V157" s="150">
        <f t="shared" si="14"/>
        <v>0.16287572254335261</v>
      </c>
      <c r="W157" s="206" t="s">
        <v>652</v>
      </c>
      <c r="X157" s="146">
        <f>VLOOKUP($W157,GRADE!$B$5:$E$36,IF($E157&lt;=20,2,IF($E157&lt;=40,3,4)),FALSE)</f>
        <v>320</v>
      </c>
      <c r="Y157" s="146">
        <f>VLOOKUP($W157,GRADE!$B$5:$F$36,5,FALSE)</f>
        <v>490</v>
      </c>
      <c r="Z157" s="219">
        <f t="shared" si="15"/>
        <v>1</v>
      </c>
      <c r="AA157" s="144">
        <f t="shared" si="16"/>
        <v>40261.818181818177</v>
      </c>
      <c r="AB157" s="144">
        <f t="shared" si="17"/>
        <v>7299.4909090909077</v>
      </c>
      <c r="AC157" s="144">
        <f t="shared" si="18"/>
        <v>3010.2109090909089</v>
      </c>
      <c r="AD157" s="144">
        <f t="shared" si="19"/>
        <v>7454.2428064506094</v>
      </c>
      <c r="AE157" s="207">
        <f t="shared" si="20"/>
        <v>19063.056160879281</v>
      </c>
    </row>
    <row r="158" spans="1:31" ht="15" x14ac:dyDescent="0.25">
      <c r="A158" s="3" t="s">
        <v>620</v>
      </c>
      <c r="B158" s="150">
        <v>1202</v>
      </c>
      <c r="C158" s="150">
        <v>580</v>
      </c>
      <c r="D158" s="150">
        <v>471</v>
      </c>
      <c r="E158" s="150">
        <v>130</v>
      </c>
      <c r="F158" s="150">
        <v>95</v>
      </c>
      <c r="G158" s="150">
        <v>15.2</v>
      </c>
      <c r="H158" s="150">
        <v>290</v>
      </c>
      <c r="I158" s="150">
        <v>1530</v>
      </c>
      <c r="J158" s="150">
        <v>663600</v>
      </c>
      <c r="K158" s="150">
        <v>228700</v>
      </c>
      <c r="L158" s="150">
        <v>20.830000000000002</v>
      </c>
      <c r="M158" s="150">
        <v>12.23</v>
      </c>
      <c r="N158" s="150">
        <v>22882.799999999999</v>
      </c>
      <c r="O158" s="150">
        <v>9711.2999999999993</v>
      </c>
      <c r="P158" s="150">
        <v>30020</v>
      </c>
      <c r="Q158" s="150">
        <v>15150</v>
      </c>
      <c r="R158" s="150">
        <v>0.84199999999999997</v>
      </c>
      <c r="S158" s="150">
        <v>3.59</v>
      </c>
      <c r="T158" s="150">
        <v>76.3</v>
      </c>
      <c r="U158" s="150">
        <v>79230</v>
      </c>
      <c r="V158" s="150">
        <f t="shared" si="14"/>
        <v>0.18006535947712418</v>
      </c>
      <c r="W158" s="206" t="s">
        <v>652</v>
      </c>
      <c r="X158" s="146">
        <f>VLOOKUP($W158,GRADE!$B$5:$E$36,IF($E158&lt;=20,2,IF($E158&lt;=40,3,4)),FALSE)</f>
        <v>320</v>
      </c>
      <c r="Y158" s="146">
        <f>VLOOKUP($W158,GRADE!$B$5:$F$36,5,FALSE)</f>
        <v>490</v>
      </c>
      <c r="Z158" s="219">
        <f t="shared" si="15"/>
        <v>1</v>
      </c>
      <c r="AA158" s="144">
        <f t="shared" si="16"/>
        <v>44509.090909090904</v>
      </c>
      <c r="AB158" s="144">
        <f t="shared" si="17"/>
        <v>7988.1774545454518</v>
      </c>
      <c r="AC158" s="144">
        <f t="shared" si="18"/>
        <v>3390.1265454545451</v>
      </c>
      <c r="AD158" s="144">
        <f t="shared" si="19"/>
        <v>9254.3999512286191</v>
      </c>
      <c r="AE158" s="207">
        <f t="shared" si="20"/>
        <v>20567.945880716092</v>
      </c>
    </row>
    <row r="159" spans="1:31" ht="15" x14ac:dyDescent="0.25">
      <c r="A159" s="3" t="s">
        <v>621</v>
      </c>
      <c r="B159" s="150">
        <v>1299</v>
      </c>
      <c r="C159" s="150">
        <v>600</v>
      </c>
      <c r="D159" s="150">
        <v>476</v>
      </c>
      <c r="E159" s="150">
        <v>140</v>
      </c>
      <c r="F159" s="150">
        <v>100</v>
      </c>
      <c r="G159" s="150">
        <v>15.2</v>
      </c>
      <c r="H159" s="150">
        <v>290</v>
      </c>
      <c r="I159" s="150">
        <v>1650</v>
      </c>
      <c r="J159" s="150">
        <v>754600</v>
      </c>
      <c r="K159" s="150">
        <v>254400</v>
      </c>
      <c r="L159" s="150">
        <v>21.39</v>
      </c>
      <c r="M159" s="150">
        <v>12.42</v>
      </c>
      <c r="N159" s="150">
        <v>25153.3</v>
      </c>
      <c r="O159" s="150">
        <v>10689.1</v>
      </c>
      <c r="P159" s="150">
        <v>33250</v>
      </c>
      <c r="Q159" s="150">
        <v>16670</v>
      </c>
      <c r="R159" s="150">
        <v>0.84599999999999997</v>
      </c>
      <c r="S159" s="150">
        <v>3.42</v>
      </c>
      <c r="T159" s="150">
        <v>94.5</v>
      </c>
      <c r="U159" s="150">
        <v>98140</v>
      </c>
      <c r="V159" s="150">
        <f t="shared" si="14"/>
        <v>0.17575757575757575</v>
      </c>
      <c r="W159" s="206" t="s">
        <v>652</v>
      </c>
      <c r="X159" s="146">
        <f>VLOOKUP($W159,GRADE!$B$5:$E$36,IF($E159&lt;=20,2,IF($E159&lt;=40,3,4)),FALSE)</f>
        <v>320</v>
      </c>
      <c r="Y159" s="146">
        <f>VLOOKUP($W159,GRADE!$B$5:$F$36,5,FALSE)</f>
        <v>490</v>
      </c>
      <c r="Z159" s="219">
        <f t="shared" si="15"/>
        <v>1</v>
      </c>
      <c r="AA159" s="144">
        <f t="shared" si="16"/>
        <v>47999.999999999993</v>
      </c>
      <c r="AB159" s="144">
        <f t="shared" si="17"/>
        <v>8780.7883636363622</v>
      </c>
      <c r="AC159" s="144">
        <f t="shared" si="18"/>
        <v>3731.4676363636358</v>
      </c>
      <c r="AD159" s="144">
        <f t="shared" si="19"/>
        <v>10077.386516764376</v>
      </c>
      <c r="AE159" s="207">
        <f t="shared" si="20"/>
        <v>22385.234582572601</v>
      </c>
    </row>
  </sheetData>
  <autoFilter ref="A1:U113">
    <sortState ref="A2:U113">
      <sortCondition ref="B1:B113"/>
    </sortState>
  </autoFilter>
  <pageMargins left="0.7" right="0.7" top="0.75" bottom="0.75" header="0.3" footer="0.3"/>
  <pageSetup paperSize="9" orientation="portrait" horizontalDpi="30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GRADE!$B$18:$B$36</xm:f>
          </x14:formula1>
          <xm:sqref>W2:W159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L196"/>
  <sheetViews>
    <sheetView tabSelected="1" zoomScale="85" zoomScaleNormal="85" workbookViewId="0">
      <pane xSplit="1" ySplit="1" topLeftCell="B123" activePane="bottomRight" state="frozen"/>
      <selection activeCell="I29" sqref="I29"/>
      <selection pane="topRight" activeCell="I29" sqref="I29"/>
      <selection pane="bottomLeft" activeCell="I29" sqref="I29"/>
      <selection pane="bottomRight" activeCell="M125" sqref="M125"/>
    </sheetView>
  </sheetViews>
  <sheetFormatPr defaultRowHeight="15" x14ac:dyDescent="0.25"/>
  <cols>
    <col min="1" max="1" width="5.28515625" style="1" customWidth="1"/>
    <col min="2" max="2" width="37.28515625" style="60" customWidth="1"/>
    <col min="3" max="3" width="10.5703125" style="1" customWidth="1"/>
    <col min="4" max="4" width="8" style="1" customWidth="1"/>
    <col min="5" max="5" width="28.28515625" style="35" customWidth="1"/>
    <col min="6" max="6" width="17.85546875" style="1" customWidth="1"/>
    <col min="7" max="7" width="11" style="1" customWidth="1"/>
    <col min="8" max="16384" width="9.140625" style="1"/>
  </cols>
  <sheetData>
    <row r="1" spans="1:12" s="2" customFormat="1" ht="30" x14ac:dyDescent="0.25">
      <c r="A1" s="8" t="s">
        <v>0</v>
      </c>
      <c r="B1" s="9" t="s">
        <v>1</v>
      </c>
      <c r="C1" s="9" t="s">
        <v>3</v>
      </c>
      <c r="D1" s="9" t="s">
        <v>2</v>
      </c>
      <c r="E1" s="9" t="s">
        <v>210</v>
      </c>
      <c r="F1" s="10" t="s">
        <v>21</v>
      </c>
      <c r="G1" s="2" t="s">
        <v>28</v>
      </c>
    </row>
    <row r="2" spans="1:12" x14ac:dyDescent="0.25">
      <c r="A2" s="11">
        <v>1</v>
      </c>
      <c r="B2" s="59" t="s">
        <v>9</v>
      </c>
      <c r="C2" s="4"/>
      <c r="D2" s="4"/>
      <c r="E2" s="36"/>
      <c r="F2" s="12"/>
      <c r="G2" s="1" t="s">
        <v>39</v>
      </c>
    </row>
    <row r="3" spans="1:12" x14ac:dyDescent="0.25">
      <c r="A3" s="32"/>
      <c r="B3" s="68" t="s">
        <v>128</v>
      </c>
      <c r="C3" s="5"/>
      <c r="D3" s="5"/>
      <c r="E3" s="37">
        <v>1</v>
      </c>
      <c r="F3" s="6"/>
      <c r="G3" s="1" t="s">
        <v>40</v>
      </c>
    </row>
    <row r="4" spans="1:12" x14ac:dyDescent="0.25">
      <c r="A4" s="7"/>
      <c r="B4" s="68" t="s">
        <v>10</v>
      </c>
      <c r="C4" s="5" t="s">
        <v>11</v>
      </c>
      <c r="D4" s="5" t="s">
        <v>12</v>
      </c>
      <c r="E4" s="31">
        <f>I184</f>
        <v>-60</v>
      </c>
      <c r="F4" s="6" t="s">
        <v>129</v>
      </c>
      <c r="G4" s="1" t="s">
        <v>40</v>
      </c>
    </row>
    <row r="5" spans="1:12" ht="17.25" x14ac:dyDescent="0.25">
      <c r="A5" s="7"/>
      <c r="B5" s="68" t="s">
        <v>631</v>
      </c>
      <c r="C5" s="5" t="s">
        <v>377</v>
      </c>
      <c r="D5" s="5" t="s">
        <v>12</v>
      </c>
      <c r="E5" s="31">
        <f>I185</f>
        <v>-11.25</v>
      </c>
      <c r="F5" s="6" t="s">
        <v>633</v>
      </c>
      <c r="G5" s="1" t="s">
        <v>40</v>
      </c>
    </row>
    <row r="6" spans="1:12" ht="17.25" x14ac:dyDescent="0.25">
      <c r="A6" s="7"/>
      <c r="B6" s="68" t="s">
        <v>632</v>
      </c>
      <c r="C6" s="5" t="s">
        <v>378</v>
      </c>
      <c r="D6" s="5" t="s">
        <v>12</v>
      </c>
      <c r="E6" s="31">
        <f>I186</f>
        <v>-15</v>
      </c>
      <c r="F6" s="6" t="s">
        <v>634</v>
      </c>
      <c r="G6" s="1" t="s">
        <v>40</v>
      </c>
    </row>
    <row r="7" spans="1:12" x14ac:dyDescent="0.25">
      <c r="A7" s="7"/>
      <c r="B7" s="68" t="s">
        <v>15</v>
      </c>
      <c r="C7" s="5" t="s">
        <v>16</v>
      </c>
      <c r="D7" s="5" t="s">
        <v>7</v>
      </c>
      <c r="E7" s="31">
        <v>-1</v>
      </c>
      <c r="F7" s="6"/>
      <c r="G7" s="1" t="s">
        <v>40</v>
      </c>
    </row>
    <row r="8" spans="1:12" x14ac:dyDescent="0.25">
      <c r="A8" s="7"/>
      <c r="B8" s="68" t="s">
        <v>17</v>
      </c>
      <c r="C8" s="5" t="s">
        <v>379</v>
      </c>
      <c r="D8" s="5" t="s">
        <v>7</v>
      </c>
      <c r="E8" s="31">
        <f>I188</f>
        <v>-22</v>
      </c>
      <c r="F8" s="6" t="s">
        <v>635</v>
      </c>
      <c r="G8" s="1" t="s">
        <v>40</v>
      </c>
    </row>
    <row r="9" spans="1:12" x14ac:dyDescent="0.25">
      <c r="A9" s="7"/>
      <c r="B9" s="68" t="s">
        <v>19</v>
      </c>
      <c r="C9" s="5" t="s">
        <v>374</v>
      </c>
      <c r="D9" s="5" t="s">
        <v>7</v>
      </c>
      <c r="E9" s="31">
        <f>I189</f>
        <v>-8</v>
      </c>
      <c r="F9" s="6" t="s">
        <v>636</v>
      </c>
      <c r="G9" s="1" t="s">
        <v>40</v>
      </c>
    </row>
    <row r="10" spans="1:12" x14ac:dyDescent="0.25">
      <c r="A10" s="7"/>
      <c r="B10" s="68"/>
      <c r="C10" s="5"/>
      <c r="D10" s="5"/>
      <c r="E10" s="38"/>
      <c r="F10" s="6"/>
    </row>
    <row r="11" spans="1:12" x14ac:dyDescent="0.25">
      <c r="A11" s="11">
        <v>2</v>
      </c>
      <c r="B11" s="59" t="s">
        <v>24</v>
      </c>
      <c r="C11" s="4"/>
      <c r="D11" s="4"/>
      <c r="E11" s="36"/>
      <c r="F11" s="12"/>
    </row>
    <row r="12" spans="1:12" x14ac:dyDescent="0.25">
      <c r="A12" s="7"/>
      <c r="B12" s="68" t="s">
        <v>4</v>
      </c>
      <c r="C12" s="5" t="s">
        <v>5</v>
      </c>
      <c r="D12" s="5" t="s">
        <v>8</v>
      </c>
      <c r="E12" s="39">
        <v>3000</v>
      </c>
      <c r="F12" s="6"/>
      <c r="G12" s="1" t="s">
        <v>40</v>
      </c>
    </row>
    <row r="13" spans="1:12" x14ac:dyDescent="0.25">
      <c r="A13" s="7"/>
      <c r="B13" s="68" t="s">
        <v>232</v>
      </c>
      <c r="C13" s="5" t="s">
        <v>169</v>
      </c>
      <c r="D13" s="5" t="s">
        <v>236</v>
      </c>
      <c r="E13" s="39">
        <v>0.85</v>
      </c>
      <c r="F13" s="6"/>
      <c r="G13" s="1" t="s">
        <v>40</v>
      </c>
      <c r="J13"/>
      <c r="K13"/>
      <c r="L13"/>
    </row>
    <row r="14" spans="1:12" x14ac:dyDescent="0.25">
      <c r="A14" s="7"/>
      <c r="B14" s="68" t="s">
        <v>233</v>
      </c>
      <c r="C14" s="5" t="s">
        <v>168</v>
      </c>
      <c r="D14" s="5" t="s">
        <v>236</v>
      </c>
      <c r="E14" s="39">
        <v>0.85</v>
      </c>
      <c r="F14" s="6"/>
      <c r="G14" s="1" t="s">
        <v>40</v>
      </c>
      <c r="J14"/>
      <c r="K14"/>
      <c r="L14"/>
    </row>
    <row r="15" spans="1:12" x14ac:dyDescent="0.25">
      <c r="A15" s="7"/>
      <c r="B15" s="68" t="s">
        <v>234</v>
      </c>
      <c r="C15" s="5" t="s">
        <v>260</v>
      </c>
      <c r="D15" s="5" t="s">
        <v>8</v>
      </c>
      <c r="E15" s="47">
        <f>E13*E12</f>
        <v>2550</v>
      </c>
      <c r="F15" s="6"/>
      <c r="J15"/>
      <c r="K15"/>
      <c r="L15"/>
    </row>
    <row r="16" spans="1:12" x14ac:dyDescent="0.25">
      <c r="A16" s="7"/>
      <c r="B16" s="68" t="s">
        <v>235</v>
      </c>
      <c r="C16" s="5" t="s">
        <v>261</v>
      </c>
      <c r="D16" s="5" t="s">
        <v>8</v>
      </c>
      <c r="E16" s="47">
        <f>E14*E12</f>
        <v>2550</v>
      </c>
      <c r="F16" s="6"/>
    </row>
    <row r="17" spans="1:7" x14ac:dyDescent="0.25">
      <c r="A17" s="7"/>
      <c r="B17" s="68"/>
      <c r="C17" s="5"/>
      <c r="D17" s="5"/>
      <c r="E17" s="38"/>
      <c r="F17" s="6"/>
    </row>
    <row r="18" spans="1:7" x14ac:dyDescent="0.25">
      <c r="A18" s="11">
        <v>3</v>
      </c>
      <c r="B18" s="59" t="s">
        <v>637</v>
      </c>
      <c r="C18" s="4"/>
      <c r="D18" s="4"/>
      <c r="E18" s="36"/>
      <c r="F18" s="12"/>
    </row>
    <row r="19" spans="1:7" x14ac:dyDescent="0.25">
      <c r="A19" s="7"/>
      <c r="B19" s="68" t="s">
        <v>217</v>
      </c>
      <c r="C19" s="5"/>
      <c r="D19" s="5"/>
      <c r="E19" s="31" t="s">
        <v>719</v>
      </c>
      <c r="F19" s="6" t="s">
        <v>630</v>
      </c>
      <c r="G19" s="1" t="s">
        <v>40</v>
      </c>
    </row>
    <row r="20" spans="1:7" x14ac:dyDescent="0.25">
      <c r="A20" s="7"/>
      <c r="B20" s="68" t="s">
        <v>22</v>
      </c>
      <c r="C20" s="5" t="s">
        <v>30</v>
      </c>
      <c r="D20" s="5" t="s">
        <v>8</v>
      </c>
      <c r="E20" s="23">
        <f>VLOOKUP($E$19,'NB-LIB'!$A$2:$E$15,3,FALSE)</f>
        <v>165.1</v>
      </c>
      <c r="F20" s="6" t="s">
        <v>705</v>
      </c>
      <c r="G20" s="1" t="s">
        <v>40</v>
      </c>
    </row>
    <row r="21" spans="1:7" x14ac:dyDescent="0.25">
      <c r="A21" s="7"/>
      <c r="B21" s="68" t="s">
        <v>23</v>
      </c>
      <c r="C21" s="5" t="s">
        <v>31</v>
      </c>
      <c r="D21" s="5" t="s">
        <v>8</v>
      </c>
      <c r="E21" s="23">
        <f>VLOOKUP($E$19,'NB-LIB'!$A$2:$E$15,5,FALSE)</f>
        <v>4.5</v>
      </c>
      <c r="F21" s="6" t="s">
        <v>705</v>
      </c>
      <c r="G21" s="1" t="s">
        <v>40</v>
      </c>
    </row>
    <row r="22" spans="1:7" x14ac:dyDescent="0.25">
      <c r="A22" s="7"/>
      <c r="B22" s="68" t="s">
        <v>44</v>
      </c>
      <c r="C22" s="5" t="s">
        <v>45</v>
      </c>
      <c r="D22" s="5" t="s">
        <v>48</v>
      </c>
      <c r="E22" s="40">
        <f>VLOOKUP($E$19,'NB-LIB'!$A$2:$W$15,22,FALSE)</f>
        <v>350</v>
      </c>
      <c r="F22" s="6" t="s">
        <v>705</v>
      </c>
      <c r="G22" s="1" t="s">
        <v>40</v>
      </c>
    </row>
    <row r="23" spans="1:7" x14ac:dyDescent="0.25">
      <c r="A23" s="7"/>
      <c r="B23" s="68" t="s">
        <v>46</v>
      </c>
      <c r="C23" s="5" t="s">
        <v>47</v>
      </c>
      <c r="D23" s="5" t="s">
        <v>48</v>
      </c>
      <c r="E23" s="40">
        <f>VLOOKUP($E$19,'NB-LIB'!$A$2:$W$15,23,FALSE)</f>
        <v>490</v>
      </c>
      <c r="F23" s="6" t="s">
        <v>705</v>
      </c>
      <c r="G23" s="1" t="s">
        <v>40</v>
      </c>
    </row>
    <row r="24" spans="1:7" x14ac:dyDescent="0.25">
      <c r="A24" s="7"/>
      <c r="B24" s="68" t="s">
        <v>77</v>
      </c>
      <c r="C24" s="5" t="s">
        <v>78</v>
      </c>
      <c r="D24" s="5" t="s">
        <v>48</v>
      </c>
      <c r="E24" s="53">
        <v>210000</v>
      </c>
      <c r="F24" s="6"/>
      <c r="G24" s="1" t="s">
        <v>40</v>
      </c>
    </row>
    <row r="25" spans="1:7" x14ac:dyDescent="0.25">
      <c r="A25" s="7"/>
      <c r="B25" s="68" t="s">
        <v>270</v>
      </c>
      <c r="C25" s="5" t="s">
        <v>271</v>
      </c>
      <c r="D25" s="5" t="s">
        <v>236</v>
      </c>
      <c r="E25" s="31">
        <v>0.99</v>
      </c>
      <c r="F25" s="6"/>
      <c r="G25" s="1" t="s">
        <v>40</v>
      </c>
    </row>
    <row r="26" spans="1:7" x14ac:dyDescent="0.25">
      <c r="A26" s="7"/>
      <c r="B26" s="68" t="s">
        <v>29</v>
      </c>
      <c r="C26" s="5" t="s">
        <v>32</v>
      </c>
      <c r="D26" s="5" t="s">
        <v>8</v>
      </c>
      <c r="E26" s="23">
        <f>$E$20-2*$E$21</f>
        <v>156.1</v>
      </c>
      <c r="F26" s="6"/>
      <c r="G26" s="23"/>
    </row>
    <row r="27" spans="1:7" x14ac:dyDescent="0.25">
      <c r="A27" s="7"/>
      <c r="B27" s="68" t="s">
        <v>33</v>
      </c>
      <c r="C27" s="5" t="s">
        <v>6</v>
      </c>
      <c r="D27" s="5" t="s">
        <v>34</v>
      </c>
      <c r="E27" s="23">
        <f>PI()/4*($E$20^2-($E$20-2*$E$21)^2)</f>
        <v>2270.429010749343</v>
      </c>
      <c r="F27" s="6"/>
      <c r="G27" s="23"/>
    </row>
    <row r="28" spans="1:7" x14ac:dyDescent="0.25">
      <c r="A28" s="7"/>
      <c r="B28" s="68" t="s">
        <v>414</v>
      </c>
      <c r="C28" s="5" t="s">
        <v>221</v>
      </c>
      <c r="D28" s="5" t="s">
        <v>237</v>
      </c>
      <c r="E28" s="23">
        <f>$E$27/10^6*7850</f>
        <v>17.822867734382342</v>
      </c>
      <c r="F28" s="6"/>
      <c r="G28" s="23"/>
    </row>
    <row r="29" spans="1:7" x14ac:dyDescent="0.25">
      <c r="A29" s="7"/>
      <c r="B29" s="68" t="s">
        <v>93</v>
      </c>
      <c r="C29" s="5" t="s">
        <v>37</v>
      </c>
      <c r="D29" s="5" t="s">
        <v>35</v>
      </c>
      <c r="E29" s="40">
        <f>PI()/64*($E$20^4-($E$20-2*$E$21)^4)</f>
        <v>7325712.3233948238</v>
      </c>
      <c r="F29" s="6"/>
      <c r="G29" s="40"/>
    </row>
    <row r="30" spans="1:7" x14ac:dyDescent="0.25">
      <c r="A30" s="7"/>
      <c r="B30" s="68" t="s">
        <v>94</v>
      </c>
      <c r="C30" s="5" t="s">
        <v>38</v>
      </c>
      <c r="D30" s="5" t="s">
        <v>8</v>
      </c>
      <c r="E30" s="23">
        <f>SQRT($E$29/$E$27)</f>
        <v>56.802959870063106</v>
      </c>
      <c r="F30" s="6"/>
      <c r="G30" s="23"/>
    </row>
    <row r="31" spans="1:7" x14ac:dyDescent="0.25">
      <c r="A31" s="7"/>
      <c r="B31" s="68" t="s">
        <v>243</v>
      </c>
      <c r="C31" s="5" t="s">
        <v>92</v>
      </c>
      <c r="D31" s="5" t="s">
        <v>36</v>
      </c>
      <c r="E31" s="40">
        <f>PI()/32*($E$20^4-($E$20-2*$E$21)^4)/$E$20</f>
        <v>88742.729538398838</v>
      </c>
      <c r="F31" s="6"/>
      <c r="G31" s="40"/>
    </row>
    <row r="32" spans="1:7" x14ac:dyDescent="0.25">
      <c r="A32" s="7"/>
      <c r="B32" s="68" t="s">
        <v>242</v>
      </c>
      <c r="C32" s="5" t="s">
        <v>95</v>
      </c>
      <c r="D32" s="5" t="s">
        <v>36</v>
      </c>
      <c r="E32" s="40">
        <f>($E$20^3-$E$26^3)/6</f>
        <v>116095.99499999995</v>
      </c>
      <c r="F32" s="6"/>
      <c r="G32" s="40"/>
    </row>
    <row r="33" spans="1:8" x14ac:dyDescent="0.25">
      <c r="A33" s="7"/>
      <c r="B33" s="68" t="s">
        <v>638</v>
      </c>
      <c r="C33" s="14" t="s">
        <v>639</v>
      </c>
      <c r="D33" s="5" t="s">
        <v>236</v>
      </c>
      <c r="E33" s="23">
        <f>(2*$E$27/PI())/$E$27</f>
        <v>0.63661977236758138</v>
      </c>
      <c r="F33" s="6"/>
      <c r="G33" s="23"/>
    </row>
    <row r="34" spans="1:8" x14ac:dyDescent="0.25">
      <c r="A34" s="7"/>
      <c r="B34" s="68"/>
      <c r="C34" s="5"/>
      <c r="D34" s="5"/>
      <c r="E34" s="23"/>
      <c r="F34" s="6"/>
    </row>
    <row r="35" spans="1:8" x14ac:dyDescent="0.25">
      <c r="A35" s="11">
        <v>4</v>
      </c>
      <c r="B35" s="59" t="s">
        <v>42</v>
      </c>
      <c r="C35" s="4"/>
      <c r="D35" s="4"/>
      <c r="E35" s="36"/>
      <c r="F35" s="12"/>
    </row>
    <row r="36" spans="1:8" x14ac:dyDescent="0.25">
      <c r="A36" s="15"/>
      <c r="B36" s="68" t="s">
        <v>64</v>
      </c>
      <c r="C36" s="5"/>
      <c r="D36" s="5"/>
      <c r="E36" s="41"/>
      <c r="F36" s="6" t="s">
        <v>83</v>
      </c>
      <c r="H36"/>
    </row>
    <row r="37" spans="1:8" ht="30" x14ac:dyDescent="0.25">
      <c r="A37" s="17"/>
      <c r="B37" s="22" t="s">
        <v>99</v>
      </c>
      <c r="C37" s="21" t="s">
        <v>65</v>
      </c>
      <c r="D37" s="17"/>
      <c r="E37" s="42">
        <v>1.1000000000000001</v>
      </c>
      <c r="F37" s="18"/>
      <c r="H37"/>
    </row>
    <row r="38" spans="1:8" ht="30" x14ac:dyDescent="0.25">
      <c r="A38" s="17"/>
      <c r="B38" s="22" t="s">
        <v>66</v>
      </c>
      <c r="C38" s="21" t="s">
        <v>67</v>
      </c>
      <c r="D38" s="17"/>
      <c r="E38" s="42">
        <v>1.25</v>
      </c>
      <c r="F38" s="18"/>
      <c r="H38"/>
    </row>
    <row r="39" spans="1:8" x14ac:dyDescent="0.25">
      <c r="A39" s="17"/>
      <c r="B39" s="22" t="s">
        <v>68</v>
      </c>
      <c r="C39" s="17"/>
      <c r="D39" s="17"/>
      <c r="E39" s="42"/>
      <c r="F39" s="18"/>
      <c r="H39"/>
    </row>
    <row r="40" spans="1:8" x14ac:dyDescent="0.25">
      <c r="A40" s="17"/>
      <c r="B40" s="105" t="s">
        <v>69</v>
      </c>
      <c r="C40" s="21" t="s">
        <v>73</v>
      </c>
      <c r="D40" s="17"/>
      <c r="E40" s="42">
        <v>1.25</v>
      </c>
      <c r="F40" s="18"/>
      <c r="H40"/>
    </row>
    <row r="41" spans="1:8" x14ac:dyDescent="0.25">
      <c r="A41" s="17"/>
      <c r="B41" s="105" t="s">
        <v>70</v>
      </c>
      <c r="C41" s="21" t="s">
        <v>74</v>
      </c>
      <c r="D41" s="17"/>
      <c r="E41" s="42">
        <v>1.25</v>
      </c>
      <c r="F41" s="18"/>
      <c r="H41"/>
    </row>
    <row r="42" spans="1:8" x14ac:dyDescent="0.25">
      <c r="A42" s="19"/>
      <c r="B42" s="105" t="s">
        <v>71</v>
      </c>
      <c r="C42" s="21" t="s">
        <v>75</v>
      </c>
      <c r="D42" s="17"/>
      <c r="E42" s="42">
        <v>1.25</v>
      </c>
      <c r="F42" s="18"/>
      <c r="H42"/>
    </row>
    <row r="43" spans="1:8" x14ac:dyDescent="0.25">
      <c r="A43" s="19"/>
      <c r="B43" s="105" t="s">
        <v>72</v>
      </c>
      <c r="C43" s="21" t="s">
        <v>76</v>
      </c>
      <c r="D43" s="17"/>
      <c r="E43" s="42">
        <v>1.25</v>
      </c>
      <c r="F43" s="18"/>
      <c r="H43"/>
    </row>
    <row r="44" spans="1:8" x14ac:dyDescent="0.25">
      <c r="A44" s="20"/>
      <c r="B44" s="68"/>
      <c r="C44" s="17"/>
      <c r="D44" s="17"/>
      <c r="E44" s="43"/>
      <c r="F44" s="18"/>
      <c r="H44"/>
    </row>
    <row r="45" spans="1:8" x14ac:dyDescent="0.25">
      <c r="A45" s="11">
        <v>5</v>
      </c>
      <c r="B45" s="59" t="s">
        <v>41</v>
      </c>
      <c r="C45" s="4"/>
      <c r="D45" s="4"/>
      <c r="E45" s="36"/>
      <c r="F45" s="12"/>
      <c r="H45"/>
    </row>
    <row r="46" spans="1:8" x14ac:dyDescent="0.25">
      <c r="A46" s="13" t="str">
        <f>$A$45&amp;"A"</f>
        <v>5A</v>
      </c>
      <c r="B46" s="67" t="s">
        <v>79</v>
      </c>
      <c r="C46" s="5"/>
      <c r="D46" s="5"/>
      <c r="E46" s="23"/>
      <c r="F46" s="6"/>
      <c r="H46"/>
    </row>
    <row r="47" spans="1:8" ht="36" customHeight="1" x14ac:dyDescent="0.25">
      <c r="A47" s="310"/>
      <c r="B47" s="311" t="s">
        <v>175</v>
      </c>
      <c r="C47" s="96" t="s">
        <v>81</v>
      </c>
      <c r="D47" s="96" t="s">
        <v>12</v>
      </c>
      <c r="E47" s="312"/>
      <c r="F47" s="313" t="s">
        <v>86</v>
      </c>
      <c r="H47"/>
    </row>
    <row r="48" spans="1:8" x14ac:dyDescent="0.25">
      <c r="A48" s="310"/>
      <c r="B48" s="311"/>
      <c r="C48" s="96" t="s">
        <v>81</v>
      </c>
      <c r="D48" s="96" t="s">
        <v>12</v>
      </c>
      <c r="E48" s="312">
        <f>E27*E22/E37/1000</f>
        <v>722.40923069297264</v>
      </c>
      <c r="F48" s="313"/>
      <c r="H48"/>
    </row>
    <row r="49" spans="1:8" ht="30" x14ac:dyDescent="0.25">
      <c r="A49" s="310"/>
      <c r="B49" s="311" t="s">
        <v>176</v>
      </c>
      <c r="C49" s="96" t="s">
        <v>177</v>
      </c>
      <c r="D49" s="96" t="s">
        <v>12</v>
      </c>
      <c r="E49" s="312"/>
      <c r="F49" s="313" t="s">
        <v>181</v>
      </c>
      <c r="H49"/>
    </row>
    <row r="50" spans="1:8" x14ac:dyDescent="0.25">
      <c r="A50" s="310"/>
      <c r="B50" s="311"/>
      <c r="C50" s="96" t="s">
        <v>177</v>
      </c>
      <c r="D50" s="96" t="s">
        <v>12</v>
      </c>
      <c r="E50" s="312">
        <f>0.9*(E25*E27)*E23/E38/10^3</f>
        <v>792.99728144244455</v>
      </c>
      <c r="F50" s="313"/>
      <c r="H50"/>
    </row>
    <row r="51" spans="1:8" x14ac:dyDescent="0.25">
      <c r="A51" s="310"/>
      <c r="B51" s="311" t="s">
        <v>80</v>
      </c>
      <c r="C51" s="96" t="s">
        <v>178</v>
      </c>
      <c r="D51" s="96" t="s">
        <v>12</v>
      </c>
      <c r="E51" s="312" t="s">
        <v>179</v>
      </c>
      <c r="F51" s="313" t="s">
        <v>182</v>
      </c>
      <c r="H51"/>
    </row>
    <row r="52" spans="1:8" x14ac:dyDescent="0.25">
      <c r="A52" s="7"/>
      <c r="B52" s="69" t="s">
        <v>80</v>
      </c>
      <c r="C52" s="24" t="s">
        <v>178</v>
      </c>
      <c r="D52" s="24" t="s">
        <v>12</v>
      </c>
      <c r="E52" s="44">
        <f>MIN(E48,E50)</f>
        <v>722.40923069297264</v>
      </c>
      <c r="F52" s="6"/>
      <c r="G52" s="27"/>
      <c r="H52"/>
    </row>
    <row r="53" spans="1:8" x14ac:dyDescent="0.25">
      <c r="A53" s="7"/>
      <c r="B53" s="33"/>
      <c r="C53" s="62" t="s">
        <v>172</v>
      </c>
      <c r="D53" s="65"/>
      <c r="E53" s="64">
        <f>IF(E4&lt;=0,0,ABS(E4/E52))</f>
        <v>0</v>
      </c>
      <c r="F53" s="55"/>
      <c r="H53"/>
    </row>
    <row r="54" spans="1:8" x14ac:dyDescent="0.25">
      <c r="A54" s="7"/>
      <c r="B54" s="33"/>
      <c r="C54" s="5"/>
      <c r="D54" s="5"/>
      <c r="E54" s="28" t="str">
        <f>IF(E4&lt;=0,"NOT APPLICABLE",IF(E53&lt;=1,"PASS","FAIL"))</f>
        <v>NOT APPLICABLE</v>
      </c>
      <c r="F54" s="6"/>
      <c r="H54"/>
    </row>
    <row r="55" spans="1:8" x14ac:dyDescent="0.25">
      <c r="A55" s="7"/>
      <c r="B55" s="33"/>
      <c r="C55" s="5"/>
      <c r="D55" s="5"/>
      <c r="E55" s="28"/>
      <c r="F55" s="6"/>
      <c r="H55"/>
    </row>
    <row r="56" spans="1:8" x14ac:dyDescent="0.25">
      <c r="A56" s="13" t="str">
        <f>$A$45&amp;"B"</f>
        <v>5B</v>
      </c>
      <c r="B56" s="67" t="s">
        <v>43</v>
      </c>
      <c r="C56" s="5"/>
      <c r="D56" s="5"/>
      <c r="E56" s="23"/>
      <c r="F56" s="6"/>
      <c r="H56"/>
    </row>
    <row r="57" spans="1:8" x14ac:dyDescent="0.25">
      <c r="A57" s="7"/>
      <c r="B57" s="33" t="s">
        <v>58</v>
      </c>
      <c r="C57" s="5" t="s">
        <v>59</v>
      </c>
      <c r="D57" s="5"/>
      <c r="E57" s="35" t="s">
        <v>257</v>
      </c>
      <c r="F57" s="6" t="s">
        <v>88</v>
      </c>
      <c r="G57" s="27"/>
      <c r="H57"/>
    </row>
    <row r="58" spans="1:8" x14ac:dyDescent="0.25">
      <c r="A58" s="7"/>
      <c r="B58" s="33"/>
      <c r="C58" s="5" t="s">
        <v>258</v>
      </c>
      <c r="D58" s="5"/>
      <c r="E58" s="23">
        <f>E15/E30</f>
        <v>44.892026856225989</v>
      </c>
      <c r="F58" s="6"/>
      <c r="G58" s="27"/>
      <c r="H58"/>
    </row>
    <row r="59" spans="1:8" x14ac:dyDescent="0.25">
      <c r="A59" s="7"/>
      <c r="B59" s="33"/>
      <c r="C59" s="5" t="s">
        <v>259</v>
      </c>
      <c r="D59" s="5"/>
      <c r="E59" s="23">
        <f>E16/E30</f>
        <v>44.892026856225989</v>
      </c>
      <c r="F59" s="6"/>
      <c r="G59" s="27"/>
      <c r="H59"/>
    </row>
    <row r="60" spans="1:8" ht="35.25" customHeight="1" x14ac:dyDescent="0.25">
      <c r="A60" s="7"/>
      <c r="B60" s="33" t="s">
        <v>173</v>
      </c>
      <c r="C60" s="5" t="s">
        <v>174</v>
      </c>
      <c r="D60" s="5" t="s">
        <v>48</v>
      </c>
      <c r="E60" s="23"/>
      <c r="F60" s="6" t="s">
        <v>88</v>
      </c>
      <c r="H60"/>
    </row>
    <row r="61" spans="1:8" x14ac:dyDescent="0.25">
      <c r="A61" s="7"/>
      <c r="B61" s="33"/>
      <c r="C61" s="5" t="s">
        <v>262</v>
      </c>
      <c r="D61" s="5" t="s">
        <v>48</v>
      </c>
      <c r="E61" s="23">
        <f>(PI()^2*E24)/E58^2</f>
        <v>1028.4439128127001</v>
      </c>
      <c r="F61" s="6"/>
      <c r="H61"/>
    </row>
    <row r="62" spans="1:8" x14ac:dyDescent="0.25">
      <c r="A62" s="7"/>
      <c r="B62" s="33"/>
      <c r="C62" s="5" t="s">
        <v>263</v>
      </c>
      <c r="D62" s="5" t="s">
        <v>48</v>
      </c>
      <c r="E62" s="27">
        <f>(PI()^2*E24)/E59^2</f>
        <v>1028.4439128127001</v>
      </c>
      <c r="F62" s="6"/>
      <c r="G62" s="27"/>
      <c r="H62"/>
    </row>
    <row r="63" spans="1:8" ht="30" x14ac:dyDescent="0.25">
      <c r="A63" s="7"/>
      <c r="B63" s="33" t="s">
        <v>56</v>
      </c>
      <c r="C63" s="14" t="s">
        <v>57</v>
      </c>
      <c r="D63" s="5" t="s">
        <v>236</v>
      </c>
      <c r="E63" s="23"/>
      <c r="F63" s="6" t="s">
        <v>88</v>
      </c>
      <c r="H63"/>
    </row>
    <row r="64" spans="1:8" x14ac:dyDescent="0.25">
      <c r="A64" s="7"/>
      <c r="B64" s="33"/>
      <c r="C64" s="14" t="s">
        <v>167</v>
      </c>
      <c r="D64" s="5" t="s">
        <v>236</v>
      </c>
      <c r="E64" s="47">
        <f>SQRT(E22/E61)</f>
        <v>0.58336949567826146</v>
      </c>
      <c r="F64" s="6"/>
      <c r="H64"/>
    </row>
    <row r="65" spans="1:9" x14ac:dyDescent="0.25">
      <c r="A65" s="7"/>
      <c r="B65" s="33"/>
      <c r="C65" s="14" t="s">
        <v>166</v>
      </c>
      <c r="D65" s="5" t="s">
        <v>236</v>
      </c>
      <c r="E65" s="47">
        <f>SQRT(E22/E62)</f>
        <v>0.58336949567826146</v>
      </c>
      <c r="F65" s="6"/>
      <c r="H65"/>
    </row>
    <row r="66" spans="1:9" ht="30" x14ac:dyDescent="0.25">
      <c r="A66" s="7"/>
      <c r="B66" s="33" t="s">
        <v>60</v>
      </c>
      <c r="C66" s="14" t="s">
        <v>61</v>
      </c>
      <c r="D66" s="5" t="s">
        <v>236</v>
      </c>
      <c r="E66" s="23">
        <v>0.34</v>
      </c>
      <c r="F66" s="16" t="s">
        <v>180</v>
      </c>
      <c r="H66"/>
    </row>
    <row r="67" spans="1:9" ht="20.25" customHeight="1" x14ac:dyDescent="0.25">
      <c r="A67" s="7"/>
      <c r="B67" s="33"/>
      <c r="C67" s="21" t="s">
        <v>415</v>
      </c>
      <c r="D67" s="5" t="s">
        <v>236</v>
      </c>
      <c r="E67" s="23"/>
      <c r="F67" s="6" t="s">
        <v>88</v>
      </c>
      <c r="H67"/>
    </row>
    <row r="68" spans="1:9" ht="20.25" customHeight="1" x14ac:dyDescent="0.25">
      <c r="A68" s="7"/>
      <c r="B68" s="33"/>
      <c r="C68" s="21" t="s">
        <v>428</v>
      </c>
      <c r="D68" s="5" t="s">
        <v>236</v>
      </c>
      <c r="E68" s="47">
        <f>0.5*(1+E66*(E64-0.2)+E64^2)</f>
        <v>0.73533279850925903</v>
      </c>
      <c r="F68" s="6"/>
      <c r="H68"/>
    </row>
    <row r="69" spans="1:9" ht="18.75" customHeight="1" x14ac:dyDescent="0.25">
      <c r="A69" s="7"/>
      <c r="B69" s="33"/>
      <c r="C69" s="21" t="s">
        <v>429</v>
      </c>
      <c r="D69" s="5" t="s">
        <v>236</v>
      </c>
      <c r="E69" s="27">
        <f>0.5*(1+E66*(E65-0.2)+E65^2)</f>
        <v>0.73533279850925903</v>
      </c>
      <c r="F69" s="6"/>
      <c r="H69"/>
    </row>
    <row r="70" spans="1:9" ht="33.75" customHeight="1" x14ac:dyDescent="0.25">
      <c r="A70" s="7"/>
      <c r="B70" s="33" t="s">
        <v>62</v>
      </c>
      <c r="C70" s="14" t="s">
        <v>63</v>
      </c>
      <c r="D70" s="5" t="s">
        <v>236</v>
      </c>
      <c r="E70" s="23"/>
      <c r="F70" s="6" t="s">
        <v>88</v>
      </c>
      <c r="H70"/>
    </row>
    <row r="71" spans="1:9" ht="30" x14ac:dyDescent="0.25">
      <c r="A71" s="7"/>
      <c r="B71" s="100" t="s">
        <v>640</v>
      </c>
      <c r="C71" s="154" t="s">
        <v>265</v>
      </c>
      <c r="D71" s="15" t="s">
        <v>236</v>
      </c>
      <c r="E71" s="155">
        <f>1/(E68+(E68^2-E64^2)^0.5)</f>
        <v>0.84531776938793446</v>
      </c>
      <c r="F71" s="6"/>
      <c r="H71"/>
    </row>
    <row r="72" spans="1:9" ht="30" x14ac:dyDescent="0.25">
      <c r="A72" s="7"/>
      <c r="B72" s="100" t="s">
        <v>641</v>
      </c>
      <c r="C72" s="154" t="s">
        <v>264</v>
      </c>
      <c r="D72" s="15"/>
      <c r="E72" s="155">
        <f>1/(E69+(E69^2-E65^2)^0.5)</f>
        <v>0.84531776938793446</v>
      </c>
      <c r="F72" s="6"/>
      <c r="H72"/>
    </row>
    <row r="73" spans="1:9" ht="18.75" customHeight="1" x14ac:dyDescent="0.25">
      <c r="A73" s="310"/>
      <c r="B73" s="311" t="s">
        <v>54</v>
      </c>
      <c r="C73" s="96" t="s">
        <v>55</v>
      </c>
      <c r="D73" s="96" t="s">
        <v>48</v>
      </c>
      <c r="E73" s="312"/>
      <c r="F73" s="313" t="s">
        <v>87</v>
      </c>
      <c r="H73"/>
    </row>
    <row r="74" spans="1:9" x14ac:dyDescent="0.25">
      <c r="A74" s="310"/>
      <c r="B74" s="311"/>
      <c r="C74" s="96" t="s">
        <v>266</v>
      </c>
      <c r="D74" s="96" t="s">
        <v>48</v>
      </c>
      <c r="E74" s="312">
        <f>MIN(E71*E22/E37,E22/E37)</f>
        <v>268.96474480525183</v>
      </c>
      <c r="F74" s="313"/>
      <c r="H74"/>
    </row>
    <row r="75" spans="1:9" x14ac:dyDescent="0.25">
      <c r="A75" s="310"/>
      <c r="B75" s="311"/>
      <c r="C75" s="96" t="s">
        <v>267</v>
      </c>
      <c r="D75" s="96" t="s">
        <v>48</v>
      </c>
      <c r="E75" s="312">
        <f>MIN(E72*E22/E37,E22/E37)</f>
        <v>268.96474480525183</v>
      </c>
      <c r="F75" s="313"/>
      <c r="H75"/>
    </row>
    <row r="76" spans="1:9" x14ac:dyDescent="0.25">
      <c r="A76" s="310"/>
      <c r="B76" s="311" t="s">
        <v>52</v>
      </c>
      <c r="C76" s="96" t="s">
        <v>53</v>
      </c>
      <c r="D76" s="96" t="s">
        <v>34</v>
      </c>
      <c r="E76" s="312">
        <f>E27</f>
        <v>2270.429010749343</v>
      </c>
      <c r="F76" s="313" t="s">
        <v>87</v>
      </c>
      <c r="H76"/>
    </row>
    <row r="77" spans="1:9" x14ac:dyDescent="0.25">
      <c r="A77" s="310"/>
      <c r="B77" s="311" t="s">
        <v>49</v>
      </c>
      <c r="C77" s="96" t="s">
        <v>50</v>
      </c>
      <c r="D77" s="96" t="s">
        <v>12</v>
      </c>
      <c r="E77" s="312" t="s">
        <v>51</v>
      </c>
      <c r="F77" s="313" t="s">
        <v>87</v>
      </c>
      <c r="H77"/>
    </row>
    <row r="78" spans="1:9" x14ac:dyDescent="0.25">
      <c r="A78" s="310"/>
      <c r="B78" s="311"/>
      <c r="C78" s="96" t="s">
        <v>269</v>
      </c>
      <c r="D78" s="96" t="s">
        <v>12</v>
      </c>
      <c r="E78" s="312">
        <f>E76*E74/10^3</f>
        <v>610.6653594746374</v>
      </c>
      <c r="F78" s="313"/>
      <c r="H78"/>
    </row>
    <row r="79" spans="1:9" x14ac:dyDescent="0.25">
      <c r="A79" s="310"/>
      <c r="B79" s="311"/>
      <c r="C79" s="96" t="s">
        <v>268</v>
      </c>
      <c r="D79" s="96" t="s">
        <v>12</v>
      </c>
      <c r="E79" s="312">
        <f>E76*E75/10^3</f>
        <v>610.6653594746374</v>
      </c>
      <c r="F79" s="313"/>
      <c r="H79"/>
    </row>
    <row r="80" spans="1:9" x14ac:dyDescent="0.25">
      <c r="A80" s="7"/>
      <c r="B80" s="69" t="s">
        <v>49</v>
      </c>
      <c r="C80" s="24" t="s">
        <v>50</v>
      </c>
      <c r="D80" s="24" t="s">
        <v>12</v>
      </c>
      <c r="E80" s="44">
        <f>MIN(E78,E79)</f>
        <v>610.6653594746374</v>
      </c>
      <c r="F80" s="6"/>
      <c r="G80" s="27"/>
      <c r="H80"/>
      <c r="I80" s="54"/>
    </row>
    <row r="81" spans="1:8" x14ac:dyDescent="0.25">
      <c r="A81" s="7"/>
      <c r="B81" s="33"/>
      <c r="C81" s="62" t="s">
        <v>172</v>
      </c>
      <c r="D81" s="63"/>
      <c r="E81" s="64">
        <f>IF(E4&lt;=0,ABS(E4)/E80,0)</f>
        <v>9.8253485430414303E-2</v>
      </c>
      <c r="F81" s="6"/>
      <c r="H81"/>
    </row>
    <row r="82" spans="1:8" x14ac:dyDescent="0.25">
      <c r="A82" s="7"/>
      <c r="B82" s="33"/>
      <c r="C82" s="5"/>
      <c r="D82" s="5"/>
      <c r="E82" s="28" t="str">
        <f>IF(E4&gt;0,"NOT APPLICABLE",IF(E81&lt;=1,"PASS","FAIL"))</f>
        <v>PASS</v>
      </c>
      <c r="F82" s="6"/>
      <c r="H82"/>
    </row>
    <row r="83" spans="1:8" x14ac:dyDescent="0.25">
      <c r="A83" s="7"/>
      <c r="B83" s="33"/>
      <c r="C83" s="5"/>
      <c r="D83" s="5"/>
      <c r="E83" s="23"/>
      <c r="F83" s="6"/>
      <c r="H83"/>
    </row>
    <row r="84" spans="1:8" x14ac:dyDescent="0.25">
      <c r="A84" s="7"/>
      <c r="B84" s="33"/>
      <c r="C84" s="5"/>
      <c r="D84" s="5"/>
      <c r="E84" s="23"/>
      <c r="F84" s="6"/>
      <c r="H84"/>
    </row>
    <row r="85" spans="1:8" x14ac:dyDescent="0.25">
      <c r="A85" s="13" t="str">
        <f>$A$45&amp;"C"</f>
        <v>5C</v>
      </c>
      <c r="B85" s="67" t="s">
        <v>82</v>
      </c>
      <c r="C85" s="5"/>
      <c r="D85" s="5"/>
      <c r="E85" s="23"/>
      <c r="F85" s="6"/>
      <c r="H85"/>
    </row>
    <row r="86" spans="1:8" x14ac:dyDescent="0.25">
      <c r="A86" s="314"/>
      <c r="B86" s="311" t="s">
        <v>89</v>
      </c>
      <c r="C86" s="96" t="s">
        <v>90</v>
      </c>
      <c r="D86" s="96"/>
      <c r="E86" s="312">
        <f>E20/E21</f>
        <v>36.68888888888889</v>
      </c>
      <c r="F86" s="313" t="s">
        <v>84</v>
      </c>
      <c r="H86"/>
    </row>
    <row r="87" spans="1:8" ht="33.75" customHeight="1" x14ac:dyDescent="0.25">
      <c r="A87" s="314"/>
      <c r="B87" s="311"/>
      <c r="C87" s="315" t="s">
        <v>91</v>
      </c>
      <c r="D87" s="96"/>
      <c r="E87" s="312"/>
      <c r="F87" s="313" t="s">
        <v>84</v>
      </c>
      <c r="H87"/>
    </row>
    <row r="88" spans="1:8" x14ac:dyDescent="0.25">
      <c r="A88" s="314"/>
      <c r="B88" s="311"/>
      <c r="C88" s="315" t="s">
        <v>91</v>
      </c>
      <c r="D88" s="96"/>
      <c r="E88" s="312">
        <f>SQRT(250/E22)</f>
        <v>0.84515425472851657</v>
      </c>
      <c r="F88" s="313"/>
      <c r="H88"/>
    </row>
    <row r="89" spans="1:8" x14ac:dyDescent="0.25">
      <c r="A89" s="310"/>
      <c r="B89" s="311" t="s">
        <v>85</v>
      </c>
      <c r="C89" s="96" t="s">
        <v>277</v>
      </c>
      <c r="D89" s="96"/>
      <c r="E89" s="312" t="str">
        <f>IF(E86&lt;=(42*E88^2),"Plastic",IF(E86&lt;=(52*E88^2),"Compact",IF(E86&lt;=(146*E88^2),"Semi-compact","Slender")))</f>
        <v>Compact</v>
      </c>
      <c r="F89" s="313" t="s">
        <v>84</v>
      </c>
      <c r="H89"/>
    </row>
    <row r="90" spans="1:8" x14ac:dyDescent="0.25">
      <c r="A90" s="310"/>
      <c r="B90" s="311"/>
      <c r="C90" s="315" t="s">
        <v>96</v>
      </c>
      <c r="D90" s="96"/>
      <c r="E90" s="312">
        <f>IF(E86&lt;=(42*E88^2),1,IF(E86&lt;=(52*E88^2),2,IF(E86&lt;=(146*E88^2),3,4)))</f>
        <v>2</v>
      </c>
      <c r="F90" s="313"/>
      <c r="H90"/>
    </row>
    <row r="91" spans="1:8" ht="42" customHeight="1" x14ac:dyDescent="0.25">
      <c r="A91" s="310"/>
      <c r="B91" s="311" t="s">
        <v>97</v>
      </c>
      <c r="C91" s="96" t="s">
        <v>98</v>
      </c>
      <c r="D91" s="96" t="s">
        <v>7</v>
      </c>
      <c r="E91" s="312"/>
      <c r="F91" s="313" t="s">
        <v>183</v>
      </c>
      <c r="H91"/>
    </row>
    <row r="92" spans="1:8" x14ac:dyDescent="0.25">
      <c r="A92" s="7"/>
      <c r="B92" s="69" t="s">
        <v>97</v>
      </c>
      <c r="C92" s="24" t="s">
        <v>98</v>
      </c>
      <c r="D92" s="24" t="s">
        <v>7</v>
      </c>
      <c r="E92" s="44">
        <f>MIN(E90*E32*E22/E37,1.2*E31*E22/E37)/10^6</f>
        <v>33.883587641934099</v>
      </c>
      <c r="F92" s="6"/>
      <c r="G92" s="87"/>
      <c r="H92"/>
    </row>
    <row r="93" spans="1:8" ht="30" x14ac:dyDescent="0.25">
      <c r="A93" s="26"/>
      <c r="B93" s="69" t="s">
        <v>110</v>
      </c>
      <c r="C93" s="24" t="s">
        <v>280</v>
      </c>
      <c r="D93" s="24" t="s">
        <v>7</v>
      </c>
      <c r="E93" s="44">
        <f>E92</f>
        <v>33.883587641934099</v>
      </c>
      <c r="F93" s="6"/>
      <c r="G93" s="27"/>
      <c r="H93"/>
    </row>
    <row r="94" spans="1:8" x14ac:dyDescent="0.25">
      <c r="A94" s="26"/>
      <c r="B94" s="33"/>
      <c r="C94" s="62" t="s">
        <v>172</v>
      </c>
      <c r="D94" s="65"/>
      <c r="E94" s="64">
        <f>ABS(E8)/E93</f>
        <v>0.64928189519025281</v>
      </c>
      <c r="F94" s="6"/>
      <c r="H94"/>
    </row>
    <row r="95" spans="1:8" x14ac:dyDescent="0.25">
      <c r="A95" s="26"/>
      <c r="B95" s="33"/>
      <c r="C95" s="5"/>
      <c r="D95" s="5"/>
      <c r="E95" s="28" t="str">
        <f>IF(E94&lt;=1,"PASS","FAIL")</f>
        <v>PASS</v>
      </c>
      <c r="F95" s="6"/>
      <c r="H95"/>
    </row>
    <row r="96" spans="1:8" ht="30" x14ac:dyDescent="0.25">
      <c r="A96" s="26"/>
      <c r="B96" s="69" t="s">
        <v>111</v>
      </c>
      <c r="C96" s="24" t="s">
        <v>281</v>
      </c>
      <c r="D96" s="24" t="s">
        <v>7</v>
      </c>
      <c r="E96" s="44">
        <f>E92</f>
        <v>33.883587641934099</v>
      </c>
      <c r="F96" s="6"/>
      <c r="G96" s="27"/>
      <c r="H96"/>
    </row>
    <row r="97" spans="1:8" x14ac:dyDescent="0.25">
      <c r="A97" s="26"/>
      <c r="B97" s="33"/>
      <c r="C97" s="62" t="s">
        <v>172</v>
      </c>
      <c r="D97" s="65"/>
      <c r="E97" s="64">
        <f>ABS(E9)/E96</f>
        <v>0.2361025073419101</v>
      </c>
      <c r="F97" s="6"/>
      <c r="H97"/>
    </row>
    <row r="98" spans="1:8" x14ac:dyDescent="0.25">
      <c r="A98" s="26"/>
      <c r="B98" s="33"/>
      <c r="C98" s="5"/>
      <c r="D98" s="5"/>
      <c r="E98" s="28" t="str">
        <f>IF(E97&lt;=1,"PASS","FAIL")</f>
        <v>PASS</v>
      </c>
      <c r="F98" s="6"/>
      <c r="H98"/>
    </row>
    <row r="99" spans="1:8" x14ac:dyDescent="0.25">
      <c r="A99" s="7"/>
      <c r="B99" s="33"/>
      <c r="C99" s="5"/>
      <c r="D99" s="5"/>
      <c r="E99" s="23"/>
      <c r="F99" s="6"/>
      <c r="H99"/>
    </row>
    <row r="100" spans="1:8" x14ac:dyDescent="0.25">
      <c r="A100" s="13" t="str">
        <f>$A$45&amp;"D"</f>
        <v>5D</v>
      </c>
      <c r="B100" s="67" t="s">
        <v>100</v>
      </c>
      <c r="C100" s="5"/>
      <c r="D100" s="5"/>
      <c r="E100" s="23"/>
      <c r="F100" s="6"/>
      <c r="H100"/>
    </row>
    <row r="101" spans="1:8" x14ac:dyDescent="0.25">
      <c r="A101" s="314"/>
      <c r="B101" s="311" t="s">
        <v>103</v>
      </c>
      <c r="C101" s="96" t="s">
        <v>104</v>
      </c>
      <c r="D101" s="96" t="s">
        <v>34</v>
      </c>
      <c r="E101" s="312" t="s">
        <v>995</v>
      </c>
      <c r="F101" s="313" t="s">
        <v>184</v>
      </c>
      <c r="H101"/>
    </row>
    <row r="102" spans="1:8" x14ac:dyDescent="0.25">
      <c r="A102" s="314"/>
      <c r="B102" s="311"/>
      <c r="C102" s="96" t="s">
        <v>104</v>
      </c>
      <c r="D102" s="96" t="s">
        <v>34</v>
      </c>
      <c r="E102" s="312">
        <f>2*E27/PI()</f>
        <v>1445.3999999999996</v>
      </c>
      <c r="F102" s="313"/>
      <c r="H102"/>
    </row>
    <row r="103" spans="1:8" x14ac:dyDescent="0.25">
      <c r="A103" s="314"/>
      <c r="B103" s="311" t="s">
        <v>289</v>
      </c>
      <c r="C103" s="96" t="s">
        <v>272</v>
      </c>
      <c r="D103" s="96" t="s">
        <v>236</v>
      </c>
      <c r="E103" s="312">
        <f>E86</f>
        <v>36.68888888888889</v>
      </c>
      <c r="F103" s="313" t="s">
        <v>288</v>
      </c>
      <c r="G103" s="27">
        <f>67*E88</f>
        <v>56.625335066810614</v>
      </c>
      <c r="H103"/>
    </row>
    <row r="104" spans="1:8" ht="30" x14ac:dyDescent="0.25">
      <c r="A104" s="314"/>
      <c r="B104" s="311"/>
      <c r="C104" s="96"/>
      <c r="D104" s="96"/>
      <c r="E104" s="316" t="str">
        <f>IF(E103&lt;=67*E88,"D/Tw&lt;=67e, Webs not susceptible to web buckling","D/Tw&gt;67e, Webs are susceptible to web buckling")</f>
        <v>D/Tw&lt;=67e, Webs not susceptible to web buckling</v>
      </c>
      <c r="F104" s="313"/>
      <c r="H104"/>
    </row>
    <row r="105" spans="1:8" ht="33" customHeight="1" x14ac:dyDescent="0.25">
      <c r="A105" s="314"/>
      <c r="B105" s="311" t="s">
        <v>101</v>
      </c>
      <c r="C105" s="96" t="s">
        <v>102</v>
      </c>
      <c r="D105" s="96" t="s">
        <v>12</v>
      </c>
      <c r="E105" s="312"/>
      <c r="F105" s="313" t="s">
        <v>185</v>
      </c>
      <c r="H105"/>
    </row>
    <row r="106" spans="1:8" x14ac:dyDescent="0.25">
      <c r="A106" s="7"/>
      <c r="B106" s="69" t="s">
        <v>101</v>
      </c>
      <c r="C106" s="24" t="s">
        <v>102</v>
      </c>
      <c r="D106" s="24" t="s">
        <v>12</v>
      </c>
      <c r="E106" s="44">
        <f>IF(E103&lt;=67*E88,E102*E22/SQRT(3)/E37/1000,0)</f>
        <v>265.52338880030879</v>
      </c>
      <c r="F106" s="6"/>
      <c r="G106" s="87"/>
      <c r="H106" s="27">
        <f>0.6*E106</f>
        <v>159.31403328018527</v>
      </c>
    </row>
    <row r="107" spans="1:8" ht="30" x14ac:dyDescent="0.25">
      <c r="A107" s="26"/>
      <c r="B107" s="69" t="s">
        <v>376</v>
      </c>
      <c r="C107" s="24" t="s">
        <v>286</v>
      </c>
      <c r="D107" s="24" t="s">
        <v>12</v>
      </c>
      <c r="E107" s="44">
        <f>E106</f>
        <v>265.52338880030879</v>
      </c>
      <c r="F107" s="6"/>
      <c r="G107" s="27"/>
      <c r="H107"/>
    </row>
    <row r="108" spans="1:8" x14ac:dyDescent="0.25">
      <c r="A108" s="26"/>
      <c r="B108" s="33"/>
      <c r="C108" s="62" t="s">
        <v>172</v>
      </c>
      <c r="D108" s="65"/>
      <c r="E108" s="64">
        <f>ABS(E5)/E107</f>
        <v>4.2369148913133023E-2</v>
      </c>
      <c r="F108" s="6"/>
      <c r="H108"/>
    </row>
    <row r="109" spans="1:8" x14ac:dyDescent="0.25">
      <c r="A109" s="26"/>
      <c r="B109" s="33"/>
      <c r="C109" s="5"/>
      <c r="D109" s="5"/>
      <c r="E109" s="28" t="str">
        <f>IF(E108&lt;=1,"PASS","FAIL")</f>
        <v>PASS</v>
      </c>
      <c r="F109" s="6"/>
      <c r="H109"/>
    </row>
    <row r="110" spans="1:8" ht="30" x14ac:dyDescent="0.25">
      <c r="A110" s="26"/>
      <c r="B110" s="69" t="s">
        <v>375</v>
      </c>
      <c r="C110" s="24" t="s">
        <v>287</v>
      </c>
      <c r="D110" s="24" t="s">
        <v>12</v>
      </c>
      <c r="E110" s="44">
        <f>E106</f>
        <v>265.52338880030879</v>
      </c>
      <c r="F110" s="6"/>
      <c r="G110" s="27"/>
      <c r="H110"/>
    </row>
    <row r="111" spans="1:8" x14ac:dyDescent="0.25">
      <c r="A111" s="26"/>
      <c r="B111" s="33"/>
      <c r="C111" s="62" t="s">
        <v>172</v>
      </c>
      <c r="D111" s="65"/>
      <c r="E111" s="64">
        <f>ABS(E6)/E110</f>
        <v>5.6492198550844031E-2</v>
      </c>
      <c r="F111" s="6"/>
      <c r="H111"/>
    </row>
    <row r="112" spans="1:8" x14ac:dyDescent="0.25">
      <c r="A112" s="7"/>
      <c r="B112" s="33"/>
      <c r="C112" s="5"/>
      <c r="D112" s="5"/>
      <c r="E112" s="28" t="str">
        <f>IF(E111&lt;=1,"PASS","FAIL")</f>
        <v>PASS</v>
      </c>
      <c r="F112" s="6"/>
      <c r="H112"/>
    </row>
    <row r="113" spans="1:8" x14ac:dyDescent="0.25">
      <c r="A113" s="7"/>
      <c r="B113" s="33"/>
      <c r="C113" s="5"/>
      <c r="D113" s="5"/>
      <c r="E113" s="25"/>
      <c r="F113" s="6"/>
      <c r="H113"/>
    </row>
    <row r="114" spans="1:8" x14ac:dyDescent="0.25">
      <c r="A114" s="11">
        <v>6</v>
      </c>
      <c r="B114" s="59" t="s">
        <v>105</v>
      </c>
      <c r="C114" s="4"/>
      <c r="D114" s="4"/>
      <c r="E114" s="36"/>
      <c r="F114" s="12"/>
      <c r="H114"/>
    </row>
    <row r="115" spans="1:8" x14ac:dyDescent="0.25">
      <c r="A115" s="13" t="str">
        <f>$A$114&amp;"A"</f>
        <v>6A</v>
      </c>
      <c r="B115" s="67" t="s">
        <v>106</v>
      </c>
      <c r="C115" s="5"/>
      <c r="D115" s="5"/>
      <c r="E115" s="23"/>
      <c r="F115" s="6" t="s">
        <v>186</v>
      </c>
      <c r="H115"/>
    </row>
    <row r="116" spans="1:8" x14ac:dyDescent="0.25">
      <c r="A116" s="13"/>
      <c r="B116" s="33"/>
      <c r="C116" s="5" t="s">
        <v>112</v>
      </c>
      <c r="D116" s="5"/>
      <c r="E116" s="23">
        <f>ABS(IF(ABS(MIN(E5,E6))&gt;MAX(E5,E6),MIN(E5,E6),MAX(E5,E6)))/E106</f>
        <v>5.6492198550844031E-2</v>
      </c>
      <c r="F116" s="6" t="s">
        <v>108</v>
      </c>
      <c r="H116"/>
    </row>
    <row r="117" spans="1:8" x14ac:dyDescent="0.25">
      <c r="A117" s="13"/>
      <c r="B117" s="33"/>
      <c r="C117" s="5"/>
      <c r="D117" s="5"/>
      <c r="E117" s="23" t="str">
        <f>IF(E116&lt;=0.6,"V/Vd &lt;= 0.6","V/Vd &gt; 0.6")</f>
        <v>V/Vd &lt;= 0.6</v>
      </c>
      <c r="F117" s="6"/>
      <c r="H117"/>
    </row>
    <row r="118" spans="1:8" ht="39" customHeight="1" x14ac:dyDescent="0.25">
      <c r="A118" s="7"/>
      <c r="B118" s="33"/>
      <c r="C118" s="14" t="s">
        <v>109</v>
      </c>
      <c r="D118" s="5"/>
      <c r="E118" s="23"/>
      <c r="F118" s="6" t="s">
        <v>108</v>
      </c>
      <c r="H118"/>
    </row>
    <row r="119" spans="1:8" x14ac:dyDescent="0.25">
      <c r="A119" s="7"/>
      <c r="B119" s="33"/>
      <c r="C119" s="14" t="s">
        <v>109</v>
      </c>
      <c r="D119" s="5"/>
      <c r="E119" s="23">
        <f>IF(E116&lt;=0.6,0,(2*E116/E106-1)^2)</f>
        <v>0</v>
      </c>
      <c r="F119" s="6"/>
      <c r="H119" s="331" t="s">
        <v>1003</v>
      </c>
    </row>
    <row r="120" spans="1:8" x14ac:dyDescent="0.25">
      <c r="A120" s="7"/>
      <c r="B120" s="33" t="s">
        <v>130</v>
      </c>
      <c r="C120" s="5" t="s">
        <v>131</v>
      </c>
      <c r="D120" s="5" t="s">
        <v>34</v>
      </c>
      <c r="E120" s="47">
        <f>E27-E102</f>
        <v>825.02901074934334</v>
      </c>
      <c r="F120" s="6"/>
      <c r="G120" s="34">
        <f>E120/E27</f>
        <v>0.36338022763241867</v>
      </c>
    </row>
    <row r="121" spans="1:8" x14ac:dyDescent="0.25">
      <c r="A121" s="7"/>
      <c r="B121" s="33" t="s">
        <v>430</v>
      </c>
      <c r="C121" s="5" t="s">
        <v>132</v>
      </c>
      <c r="D121" s="5" t="s">
        <v>8</v>
      </c>
      <c r="E121" s="23">
        <f>(-(-E20)-SQRT((-E20)^2-4*1*(E120/PI())))/(2*1)</f>
        <v>1.6062688684908011</v>
      </c>
      <c r="F121" s="6"/>
    </row>
    <row r="122" spans="1:8" x14ac:dyDescent="0.25">
      <c r="A122" s="7"/>
      <c r="B122" s="33" t="s">
        <v>135</v>
      </c>
      <c r="C122" s="5" t="s">
        <v>136</v>
      </c>
      <c r="D122" s="5" t="s">
        <v>36</v>
      </c>
      <c r="E122" s="40">
        <f>PI()/32*(E20^4-(E20-2*E121)^4)/E20</f>
        <v>33396.909779898182</v>
      </c>
      <c r="F122" s="6"/>
    </row>
    <row r="123" spans="1:8" x14ac:dyDescent="0.25">
      <c r="A123" s="7"/>
      <c r="B123" s="33" t="s">
        <v>113</v>
      </c>
      <c r="C123" s="5" t="s">
        <v>114</v>
      </c>
      <c r="D123" s="5" t="s">
        <v>36</v>
      </c>
      <c r="E123" s="40">
        <f>(E20^3-(E20-2*E121)^3)/6</f>
        <v>42937.269744760975</v>
      </c>
      <c r="F123" s="6"/>
    </row>
    <row r="124" spans="1:8" ht="30" x14ac:dyDescent="0.25">
      <c r="A124" s="7"/>
      <c r="B124" s="33" t="s">
        <v>133</v>
      </c>
      <c r="C124" s="1" t="s">
        <v>134</v>
      </c>
      <c r="D124" s="1" t="s">
        <v>7</v>
      </c>
      <c r="E124" s="46">
        <f>MIN(E90*E123*E22/E37,1.2*E122*E22/E37)/10^6</f>
        <v>12.751547370506577</v>
      </c>
      <c r="F124" s="6" t="s">
        <v>108</v>
      </c>
    </row>
    <row r="125" spans="1:8" ht="82.5" customHeight="1" x14ac:dyDescent="0.25">
      <c r="A125" s="7"/>
      <c r="B125" s="33" t="s">
        <v>137</v>
      </c>
      <c r="C125" s="5" t="s">
        <v>107</v>
      </c>
      <c r="D125" s="5" t="s">
        <v>7</v>
      </c>
      <c r="E125" s="23"/>
      <c r="F125" s="6" t="s">
        <v>108</v>
      </c>
    </row>
    <row r="126" spans="1:8" x14ac:dyDescent="0.25">
      <c r="A126" s="7"/>
      <c r="B126" s="69" t="s">
        <v>218</v>
      </c>
      <c r="C126" s="24" t="s">
        <v>107</v>
      </c>
      <c r="D126" s="24" t="s">
        <v>7</v>
      </c>
      <c r="E126" s="44">
        <f>IF(E90&lt;=2,MIN(E92-E119*(E92-E124),1.2*E31*E22/E37/10^6),IF(E90&lt;=3,E31*E22/E37/10^6,0))</f>
        <v>33.883587641934099</v>
      </c>
      <c r="F126" s="6"/>
    </row>
    <row r="127" spans="1:8" ht="30" x14ac:dyDescent="0.25">
      <c r="A127" s="7"/>
      <c r="B127" s="69" t="s">
        <v>219</v>
      </c>
      <c r="C127" s="24" t="s">
        <v>214</v>
      </c>
      <c r="D127" s="24" t="s">
        <v>7</v>
      </c>
      <c r="E127" s="44">
        <f>IF(ABS(E5)/E107&lt;=0.6,E93,E126)</f>
        <v>33.883587641934099</v>
      </c>
      <c r="F127" s="6"/>
    </row>
    <row r="128" spans="1:8" x14ac:dyDescent="0.25">
      <c r="A128" s="7"/>
      <c r="B128" s="58"/>
      <c r="C128" s="62" t="s">
        <v>172</v>
      </c>
      <c r="D128" s="65"/>
      <c r="E128" s="64">
        <f>ABS(E8)/E127</f>
        <v>0.64928189519025281</v>
      </c>
      <c r="F128" s="6"/>
    </row>
    <row r="129" spans="1:6" x14ac:dyDescent="0.25">
      <c r="A129" s="7"/>
      <c r="B129" s="58"/>
      <c r="C129" s="5"/>
      <c r="D129" s="5"/>
      <c r="E129" s="28" t="str">
        <f>IF(E128&lt;=1,"PASS","FAIL")</f>
        <v>PASS</v>
      </c>
      <c r="F129" s="6"/>
    </row>
    <row r="130" spans="1:6" ht="30" x14ac:dyDescent="0.25">
      <c r="A130" s="7"/>
      <c r="B130" s="69" t="s">
        <v>220</v>
      </c>
      <c r="C130" s="24" t="s">
        <v>215</v>
      </c>
      <c r="D130" s="24" t="s">
        <v>7</v>
      </c>
      <c r="E130" s="44">
        <f>IF(ABS(E6)/E110&lt;=0.6,E96,E126)</f>
        <v>33.883587641934099</v>
      </c>
      <c r="F130" s="6"/>
    </row>
    <row r="131" spans="1:6" x14ac:dyDescent="0.25">
      <c r="A131" s="5"/>
      <c r="B131" s="58"/>
      <c r="C131" s="62" t="s">
        <v>172</v>
      </c>
      <c r="D131" s="65"/>
      <c r="E131" s="64">
        <f>ABS(E9)/E130</f>
        <v>0.2361025073419101</v>
      </c>
      <c r="F131" s="6"/>
    </row>
    <row r="132" spans="1:6" x14ac:dyDescent="0.25">
      <c r="A132" s="5"/>
      <c r="B132" s="58"/>
      <c r="C132" s="5"/>
      <c r="D132" s="5"/>
      <c r="E132" s="28" t="str">
        <f>IF(E131&lt;=1,"PASS","FAIL")</f>
        <v>PASS</v>
      </c>
      <c r="F132" s="6"/>
    </row>
    <row r="133" spans="1:6" x14ac:dyDescent="0.25">
      <c r="A133"/>
      <c r="B133" s="33"/>
      <c r="E133" s="38"/>
      <c r="F133" s="6"/>
    </row>
    <row r="134" spans="1:6" x14ac:dyDescent="0.25">
      <c r="A134" s="13" t="str">
        <f>$A$114&amp;"B"</f>
        <v>6B</v>
      </c>
      <c r="B134" s="67" t="s">
        <v>138</v>
      </c>
      <c r="C134" s="5"/>
      <c r="D134" s="5"/>
      <c r="E134" s="23"/>
      <c r="F134" s="6" t="s">
        <v>187</v>
      </c>
    </row>
    <row r="135" spans="1:6" x14ac:dyDescent="0.25">
      <c r="B135" s="33"/>
      <c r="C135" s="1" t="s">
        <v>143</v>
      </c>
      <c r="E135" s="35" t="s">
        <v>144</v>
      </c>
      <c r="F135" s="6"/>
    </row>
    <row r="136" spans="1:6" x14ac:dyDescent="0.25">
      <c r="B136" s="33"/>
      <c r="C136" s="1" t="s">
        <v>143</v>
      </c>
      <c r="E136" s="45">
        <f>ABS(E4)/IF(E4&gt;0,E52,E80)</f>
        <v>9.8253485430414303E-2</v>
      </c>
      <c r="F136" s="6"/>
    </row>
    <row r="137" spans="1:6" ht="45" x14ac:dyDescent="0.25">
      <c r="A137"/>
      <c r="B137" s="33" t="s">
        <v>145</v>
      </c>
      <c r="C137" s="1" t="s">
        <v>142</v>
      </c>
      <c r="D137" s="1" t="s">
        <v>7</v>
      </c>
      <c r="E137" s="38"/>
      <c r="F137" s="18" t="s">
        <v>188</v>
      </c>
    </row>
    <row r="138" spans="1:6" ht="14.25" customHeight="1" x14ac:dyDescent="0.25">
      <c r="B138" s="33"/>
      <c r="C138" s="1" t="s">
        <v>141</v>
      </c>
      <c r="D138" s="1" t="s">
        <v>7</v>
      </c>
      <c r="E138" s="46">
        <f>MIN(1.04*E127*(1-E136^1.7),E127)</f>
        <v>33.883587641934099</v>
      </c>
      <c r="F138" s="6"/>
    </row>
    <row r="139" spans="1:6" x14ac:dyDescent="0.25">
      <c r="B139" s="33"/>
      <c r="C139" s="1" t="s">
        <v>146</v>
      </c>
      <c r="D139" s="1" t="s">
        <v>7</v>
      </c>
      <c r="E139" s="46">
        <f>MIN(1.04*E130*(1-E136^1.7),E130)</f>
        <v>33.883587641934099</v>
      </c>
      <c r="F139" s="6"/>
    </row>
    <row r="140" spans="1:6" x14ac:dyDescent="0.25">
      <c r="B140" s="33"/>
      <c r="C140" s="48" t="s">
        <v>147</v>
      </c>
      <c r="E140" s="45">
        <v>2</v>
      </c>
      <c r="F140" s="6" t="s">
        <v>149</v>
      </c>
    </row>
    <row r="141" spans="1:6" x14ac:dyDescent="0.25">
      <c r="B141" s="33"/>
      <c r="C141" s="49" t="s">
        <v>148</v>
      </c>
      <c r="E141" s="45">
        <v>2</v>
      </c>
      <c r="F141" s="6" t="s">
        <v>149</v>
      </c>
    </row>
    <row r="142" spans="1:6" ht="48" customHeight="1" x14ac:dyDescent="0.25">
      <c r="A142"/>
      <c r="B142" s="33"/>
      <c r="C142" s="1" t="s">
        <v>139</v>
      </c>
      <c r="E142" s="38"/>
      <c r="F142" s="6" t="s">
        <v>189</v>
      </c>
    </row>
    <row r="143" spans="1:6" x14ac:dyDescent="0.25">
      <c r="A143"/>
      <c r="B143" s="70" t="s">
        <v>199</v>
      </c>
      <c r="C143" s="62" t="s">
        <v>139</v>
      </c>
      <c r="D143" s="65"/>
      <c r="E143" s="64">
        <f>(ABS(E9)/E139)^E140+(ABS(E8)/E138)^E141</f>
        <v>0.4773113733949832</v>
      </c>
      <c r="F143" s="80" t="str">
        <f>FIXED((ABS(E9)/E139)^E140,2)&amp;" + "&amp;FIXED((ABS(E8)/E138)^E141,2)</f>
        <v>0.06 + 0.42</v>
      </c>
    </row>
    <row r="144" spans="1:6" x14ac:dyDescent="0.25">
      <c r="A144"/>
      <c r="B144" s="33"/>
      <c r="E144" s="28" t="str">
        <f>IF(E143&lt;=1,"PASS","FAIL")</f>
        <v>PASS</v>
      </c>
      <c r="F144" s="6"/>
    </row>
    <row r="145" spans="1:11" x14ac:dyDescent="0.25">
      <c r="A145"/>
      <c r="B145" s="33"/>
      <c r="E145" s="38"/>
      <c r="F145" s="6"/>
    </row>
    <row r="146" spans="1:11" ht="40.5" customHeight="1" x14ac:dyDescent="0.25">
      <c r="A146"/>
      <c r="B146" s="33"/>
      <c r="C146" s="1" t="s">
        <v>140</v>
      </c>
      <c r="E146" s="38"/>
      <c r="F146" s="16" t="s">
        <v>211</v>
      </c>
      <c r="I146" s="30"/>
    </row>
    <row r="147" spans="1:11" x14ac:dyDescent="0.25">
      <c r="B147" s="70" t="s">
        <v>199</v>
      </c>
      <c r="C147" s="62" t="s">
        <v>140</v>
      </c>
      <c r="D147" s="65"/>
      <c r="E147" s="64">
        <f>(ABS(E4)/IF(E4&gt;0,E52,E80))+ABS(E9)/E130+ABS(E8)/E127</f>
        <v>0.98363788796257723</v>
      </c>
      <c r="F147" s="80" t="str">
        <f>FIXED(ABS(E4)/IF(E4&gt;0,E52,E80),2)&amp;" + "&amp;FIXED(ABS(E9)/E130,2)&amp;" + "&amp;FIXED(ABS(E8)/E127,2)</f>
        <v>0.10 + 0.24 + 0.65</v>
      </c>
    </row>
    <row r="148" spans="1:11" x14ac:dyDescent="0.25">
      <c r="B148" s="33"/>
      <c r="E148" s="28" t="str">
        <f>IF(E147&lt;=1,"PASS","FAIL")</f>
        <v>PASS</v>
      </c>
      <c r="F148" s="6"/>
    </row>
    <row r="149" spans="1:11" x14ac:dyDescent="0.25">
      <c r="B149" s="33"/>
      <c r="F149" s="6"/>
    </row>
    <row r="150" spans="1:11" ht="30" x14ac:dyDescent="0.25">
      <c r="A150" s="13" t="str">
        <f>$A$114&amp;"C"</f>
        <v>6C</v>
      </c>
      <c r="B150" s="67" t="s">
        <v>150</v>
      </c>
      <c r="C150" s="5"/>
      <c r="D150" s="5"/>
      <c r="E150" s="23"/>
      <c r="F150" s="6" t="s">
        <v>190</v>
      </c>
      <c r="G150" s="1" t="s">
        <v>155</v>
      </c>
      <c r="H150"/>
      <c r="I150" s="81"/>
      <c r="J150" s="81"/>
      <c r="K150" s="81"/>
    </row>
    <row r="151" spans="1:11" x14ac:dyDescent="0.25">
      <c r="B151" s="33"/>
      <c r="C151" s="49" t="s">
        <v>153</v>
      </c>
      <c r="E151" s="35">
        <f>IF(E4&gt;0,0.8,0)</f>
        <v>0</v>
      </c>
      <c r="F151" s="6">
        <v>1</v>
      </c>
    </row>
    <row r="152" spans="1:11" ht="30" x14ac:dyDescent="0.25">
      <c r="B152" s="33" t="s">
        <v>151</v>
      </c>
      <c r="C152" s="1" t="s">
        <v>152</v>
      </c>
      <c r="D152" s="1" t="s">
        <v>7</v>
      </c>
      <c r="F152" s="6" t="s">
        <v>190</v>
      </c>
    </row>
    <row r="153" spans="1:11" x14ac:dyDescent="0.25">
      <c r="B153" s="33"/>
      <c r="C153" s="1" t="s">
        <v>152</v>
      </c>
      <c r="D153" s="1" t="s">
        <v>7</v>
      </c>
      <c r="E153" s="45">
        <f>IF(E4&lt;=0,E92,IF(ABS(MIN(E8,E9))&gt;MAX(E8,E9),ABS(MIN(E8,E9)),ABS(MAX(E8,E9)))-(E151*E4*E31/E27)/10^6)</f>
        <v>33.883587641934099</v>
      </c>
      <c r="F153" s="6"/>
    </row>
    <row r="154" spans="1:11" ht="54" customHeight="1" x14ac:dyDescent="0.25">
      <c r="B154" s="33"/>
      <c r="C154" s="1" t="s">
        <v>156</v>
      </c>
      <c r="E154" s="45"/>
      <c r="F154" s="6"/>
    </row>
    <row r="155" spans="1:11" x14ac:dyDescent="0.25">
      <c r="B155" s="33"/>
      <c r="C155" s="62" t="s">
        <v>156</v>
      </c>
      <c r="D155" s="65"/>
      <c r="E155" s="64">
        <f>IF(E4&lt;=0,0,MAX((-E151*(E4*10^3/E27)/(E92*10^6/E31))+(ABS(E9)/E96)+(ABS(E8)/E93),0))</f>
        <v>0</v>
      </c>
      <c r="F155" s="80" t="str">
        <f>IF(E4&lt;=0,"",FIXED((-E151*(E4*10^3/E27)/(E92*10^6/E31)),2)&amp;" + "&amp;FIXED((ABS(E9)/E96),2)&amp;" + "&amp;FIXED((ABS(E8)/E93),2))</f>
        <v/>
      </c>
    </row>
    <row r="156" spans="1:11" x14ac:dyDescent="0.25">
      <c r="B156" s="33"/>
      <c r="E156" s="28" t="str">
        <f>IF(E4&lt;=0,"NOT APPLICABLE",IF(E155&lt;=1,"PASS","FAIL"))</f>
        <v>NOT APPLICABLE</v>
      </c>
      <c r="F156" s="6"/>
    </row>
    <row r="157" spans="1:11" x14ac:dyDescent="0.25">
      <c r="B157" s="33"/>
      <c r="F157" s="6"/>
    </row>
    <row r="158" spans="1:11" ht="30" x14ac:dyDescent="0.25">
      <c r="A158" s="13" t="str">
        <f>$A$114&amp;"D"</f>
        <v>6D</v>
      </c>
      <c r="B158" s="67" t="s">
        <v>154</v>
      </c>
      <c r="C158" s="5"/>
      <c r="D158" s="5"/>
      <c r="E158" s="23"/>
      <c r="F158" s="6" t="s">
        <v>191</v>
      </c>
      <c r="H158"/>
    </row>
    <row r="159" spans="1:11" x14ac:dyDescent="0.25">
      <c r="B159" s="33" t="s">
        <v>163</v>
      </c>
      <c r="C159" s="1" t="s">
        <v>158</v>
      </c>
      <c r="E159" s="45">
        <f>IF(ABS(E9)&gt;0.1*E92,0.9,1)</f>
        <v>0.9</v>
      </c>
      <c r="F159" s="6" t="s">
        <v>160</v>
      </c>
      <c r="G159" s="1">
        <f>IF(ABS(E9)&gt;0.1*E92,0.9,1)</f>
        <v>0.9</v>
      </c>
    </row>
    <row r="160" spans="1:11" x14ac:dyDescent="0.25">
      <c r="B160" s="33" t="s">
        <v>163</v>
      </c>
      <c r="C160" s="1" t="s">
        <v>159</v>
      </c>
      <c r="E160" s="45">
        <f>IF(ABS(E9)&gt;0.1*E92,0.9,1)</f>
        <v>0.9</v>
      </c>
      <c r="F160" s="6" t="s">
        <v>160</v>
      </c>
      <c r="G160" s="1">
        <f>IF(ABS(E8)&gt;0.1*E92,0.9,1)</f>
        <v>0.9</v>
      </c>
    </row>
    <row r="161" spans="2:8" ht="30" x14ac:dyDescent="0.25">
      <c r="B161" s="33" t="s">
        <v>164</v>
      </c>
      <c r="C161" s="1" t="s">
        <v>165</v>
      </c>
      <c r="E161" s="45">
        <f>E160</f>
        <v>0.9</v>
      </c>
      <c r="F161" s="6" t="s">
        <v>160</v>
      </c>
      <c r="G161" s="27">
        <f>E160</f>
        <v>0.9</v>
      </c>
    </row>
    <row r="162" spans="2:8" x14ac:dyDescent="0.25">
      <c r="B162" s="33"/>
      <c r="C162" s="1" t="s">
        <v>161</v>
      </c>
      <c r="E162" s="46">
        <f>IF(E4&gt;0,0,ABS(E4)/E79)</f>
        <v>9.8253485430414303E-2</v>
      </c>
      <c r="F162" s="6"/>
    </row>
    <row r="163" spans="2:8" x14ac:dyDescent="0.25">
      <c r="B163" s="33"/>
      <c r="C163" s="1" t="s">
        <v>162</v>
      </c>
      <c r="E163" s="46">
        <f>IF(E4&gt;0,0,ABS(E4)/E78)</f>
        <v>9.8253485430414303E-2</v>
      </c>
      <c r="F163" s="6"/>
    </row>
    <row r="164" spans="2:8" ht="30" x14ac:dyDescent="0.25">
      <c r="B164" s="33" t="s">
        <v>56</v>
      </c>
      <c r="C164" s="14" t="s">
        <v>166</v>
      </c>
      <c r="E164" s="46">
        <f>E65</f>
        <v>0.58336949567826146</v>
      </c>
      <c r="F164" s="6"/>
    </row>
    <row r="165" spans="2:8" ht="30" x14ac:dyDescent="0.25">
      <c r="B165" s="33" t="s">
        <v>56</v>
      </c>
      <c r="C165" s="14" t="s">
        <v>167</v>
      </c>
      <c r="E165" s="46">
        <f>E64</f>
        <v>0.58336949567826146</v>
      </c>
      <c r="F165" s="6"/>
    </row>
    <row r="166" spans="2:8" ht="30" x14ac:dyDescent="0.25">
      <c r="B166" s="33" t="s">
        <v>56</v>
      </c>
      <c r="C166" s="14" t="s">
        <v>171</v>
      </c>
      <c r="E166" s="46">
        <f>MAX(E164:E165)</f>
        <v>0.58336949567826146</v>
      </c>
      <c r="F166" s="6"/>
    </row>
    <row r="167" spans="2:8" x14ac:dyDescent="0.25">
      <c r="B167" s="33"/>
      <c r="C167" s="1" t="s">
        <v>168</v>
      </c>
      <c r="F167" s="6" t="s">
        <v>191</v>
      </c>
    </row>
    <row r="168" spans="2:8" x14ac:dyDescent="0.25">
      <c r="B168" s="33"/>
      <c r="C168" s="1" t="s">
        <v>168</v>
      </c>
      <c r="E168" s="56">
        <f>MIN(1+(E164-0.2)*E162,1+0.8*E162)</f>
        <v>1.0376673891580894</v>
      </c>
      <c r="F168" s="6"/>
    </row>
    <row r="169" spans="2:8" x14ac:dyDescent="0.25">
      <c r="B169" s="33"/>
      <c r="C169" s="1" t="s">
        <v>169</v>
      </c>
      <c r="F169" s="6" t="s">
        <v>191</v>
      </c>
    </row>
    <row r="170" spans="2:8" x14ac:dyDescent="0.25">
      <c r="B170" s="33"/>
      <c r="C170" s="1" t="s">
        <v>169</v>
      </c>
      <c r="E170" s="56">
        <f>MIN(1+(E165-0.2)*E163,1+0.8*E163)</f>
        <v>1.0376673891580894</v>
      </c>
      <c r="F170" s="6"/>
    </row>
    <row r="171" spans="2:8" ht="68.25" customHeight="1" x14ac:dyDescent="0.25">
      <c r="B171" s="33"/>
      <c r="C171" s="1" t="s">
        <v>170</v>
      </c>
      <c r="F171" s="6" t="s">
        <v>191</v>
      </c>
    </row>
    <row r="172" spans="2:8" x14ac:dyDescent="0.25">
      <c r="B172" s="33"/>
      <c r="C172" s="1" t="s">
        <v>170</v>
      </c>
      <c r="E172" s="56">
        <f>MAX(1-(0.1*E166*E162)/(E161-0.25),1-(0.1*E162)/(E161-0.25))</f>
        <v>0.99118183288551198</v>
      </c>
      <c r="F172" s="6"/>
    </row>
    <row r="173" spans="2:8" x14ac:dyDescent="0.25">
      <c r="B173" s="33"/>
      <c r="F173" s="6"/>
    </row>
    <row r="174" spans="2:8" ht="50.25" customHeight="1" x14ac:dyDescent="0.25">
      <c r="B174" s="33"/>
      <c r="C174" s="1" t="s">
        <v>157</v>
      </c>
      <c r="F174" s="6" t="s">
        <v>191</v>
      </c>
    </row>
    <row r="175" spans="2:8" x14ac:dyDescent="0.25">
      <c r="B175" s="70" t="s">
        <v>199</v>
      </c>
      <c r="C175" s="62" t="s">
        <v>157</v>
      </c>
      <c r="D175" s="65"/>
      <c r="E175" s="64">
        <f>IF(E4&gt;0,0,(ABS(E4)/E80))+(E168*E159*ABS(E9)/E96)+(E172*ABS(E8)/E93)</f>
        <v>0.96230618949491065</v>
      </c>
      <c r="F175" s="80" t="str">
        <f>IF(E4&gt;0,0,FIXED((ABS(E4)/E80),2))&amp;" + "&amp;FIXED((E168*E159*ABS(E9)/E96),2)&amp;" + "&amp;FIXED((E172*ABS(E8)/E93),2)</f>
        <v>0.10 + 0.22 + 0.64</v>
      </c>
      <c r="G175" s="57"/>
      <c r="H175" s="57"/>
    </row>
    <row r="176" spans="2:8" x14ac:dyDescent="0.25">
      <c r="B176" s="33"/>
      <c r="E176" s="28" t="str">
        <f>IF(E175&lt;=1,"PASS","FAIL")</f>
        <v>PASS</v>
      </c>
      <c r="F176" s="6"/>
    </row>
    <row r="177" spans="1:11" x14ac:dyDescent="0.25">
      <c r="B177" s="33"/>
      <c r="F177" s="6"/>
    </row>
    <row r="178" spans="1:11" ht="68.25" customHeight="1" x14ac:dyDescent="0.25">
      <c r="B178" s="33"/>
      <c r="C178" s="1" t="s">
        <v>203</v>
      </c>
      <c r="F178" s="6" t="s">
        <v>191</v>
      </c>
    </row>
    <row r="179" spans="1:11" x14ac:dyDescent="0.25">
      <c r="B179" s="70" t="s">
        <v>199</v>
      </c>
      <c r="C179" s="62" t="s">
        <v>203</v>
      </c>
      <c r="D179" s="65"/>
      <c r="E179" s="64">
        <f>IF(E4&gt;0,0,(ABS(E4)/E80))+(0.6*E168*E159*ABS(E9)/E96)+(E170*E160*ABS(E8)/E93)</f>
        <v>0.83691604061739722</v>
      </c>
      <c r="F179" s="80" t="str">
        <f>IF(E4&gt;0,0,FIXED((ABS(E4)/E80),2))&amp;" + "&amp;FIXED((0.6*E168*E159*ABS(E9)/E96),2)&amp;" + "&amp;FIXED((E170*E160*ABS(E8)/E93),2)</f>
        <v>0.10 + 0.13 + 0.61</v>
      </c>
    </row>
    <row r="180" spans="1:11" x14ac:dyDescent="0.25">
      <c r="B180" s="33"/>
      <c r="E180" s="28" t="str">
        <f>IF(E179&lt;=1,"PASS","FAIL")</f>
        <v>PASS</v>
      </c>
      <c r="F180" s="6"/>
    </row>
    <row r="181" spans="1:11" x14ac:dyDescent="0.25">
      <c r="A181" s="71"/>
      <c r="B181" s="72"/>
      <c r="C181" s="73"/>
      <c r="D181" s="73"/>
      <c r="E181" s="74"/>
      <c r="F181" s="75"/>
    </row>
    <row r="182" spans="1:11" ht="15.75" thickBot="1" x14ac:dyDescent="0.3">
      <c r="A182" s="50">
        <v>7</v>
      </c>
      <c r="B182" s="66" t="s">
        <v>192</v>
      </c>
      <c r="D182" s="82" t="s">
        <v>172</v>
      </c>
      <c r="E182" s="83" t="s">
        <v>216</v>
      </c>
      <c r="F182" s="6"/>
    </row>
    <row r="183" spans="1:11" x14ac:dyDescent="0.25">
      <c r="B183" s="76" t="s">
        <v>193</v>
      </c>
      <c r="C183" s="77" t="s">
        <v>209</v>
      </c>
      <c r="D183" s="78">
        <f>E53</f>
        <v>0</v>
      </c>
      <c r="E183" s="79" t="str">
        <f>E54</f>
        <v>NOT APPLICABLE</v>
      </c>
      <c r="F183" s="6"/>
      <c r="H183" s="93" t="s">
        <v>309</v>
      </c>
      <c r="I183" s="94" t="s">
        <v>308</v>
      </c>
      <c r="J183" s="95" t="s">
        <v>307</v>
      </c>
    </row>
    <row r="184" spans="1:11" x14ac:dyDescent="0.25">
      <c r="B184" s="76" t="s">
        <v>200</v>
      </c>
      <c r="C184" s="77" t="s">
        <v>208</v>
      </c>
      <c r="D184" s="78">
        <f>E81</f>
        <v>9.8253485430414303E-2</v>
      </c>
      <c r="E184" s="79" t="str">
        <f>E82</f>
        <v>PASS</v>
      </c>
      <c r="F184" s="6"/>
      <c r="H184" s="84" t="s">
        <v>11</v>
      </c>
      <c r="I184" s="77">
        <v>-60</v>
      </c>
      <c r="J184" s="89">
        <f>IF(E4&lt;=0,E80,E52)</f>
        <v>610.6653594746374</v>
      </c>
      <c r="K184" s="145"/>
    </row>
    <row r="185" spans="1:11" x14ac:dyDescent="0.25">
      <c r="B185" s="76" t="s">
        <v>194</v>
      </c>
      <c r="C185" s="77" t="s">
        <v>204</v>
      </c>
      <c r="D185" s="78">
        <f>E94</f>
        <v>0.64928189519025281</v>
      </c>
      <c r="E185" s="79" t="str">
        <f>E95</f>
        <v>PASS</v>
      </c>
      <c r="F185" s="6"/>
      <c r="H185" s="84" t="s">
        <v>377</v>
      </c>
      <c r="I185" s="77">
        <v>-11.25</v>
      </c>
      <c r="J185" s="89">
        <f>E107</f>
        <v>265.52338880030879</v>
      </c>
      <c r="K185" s="88">
        <f>J185*0.6</f>
        <v>159.31403328018527</v>
      </c>
    </row>
    <row r="186" spans="1:11" x14ac:dyDescent="0.25">
      <c r="B186" s="76" t="s">
        <v>195</v>
      </c>
      <c r="C186" s="77" t="s">
        <v>205</v>
      </c>
      <c r="D186" s="78">
        <f>E97</f>
        <v>0.2361025073419101</v>
      </c>
      <c r="E186" s="79" t="str">
        <f>E98</f>
        <v>PASS</v>
      </c>
      <c r="F186" s="6"/>
      <c r="H186" s="84" t="s">
        <v>378</v>
      </c>
      <c r="I186" s="77">
        <v>-15</v>
      </c>
      <c r="J186" s="89">
        <f>E110</f>
        <v>265.52338880030879</v>
      </c>
      <c r="K186" s="88">
        <f>J186*0.6</f>
        <v>159.31403328018527</v>
      </c>
    </row>
    <row r="187" spans="1:11" x14ac:dyDescent="0.25">
      <c r="B187" s="76" t="s">
        <v>196</v>
      </c>
      <c r="C187" s="77" t="s">
        <v>206</v>
      </c>
      <c r="D187" s="78">
        <f>E108</f>
        <v>4.2369148913133023E-2</v>
      </c>
      <c r="E187" s="79" t="str">
        <f>E109</f>
        <v>PASS</v>
      </c>
      <c r="F187" s="6"/>
      <c r="H187" s="84" t="s">
        <v>16</v>
      </c>
      <c r="I187" s="77">
        <v>0</v>
      </c>
      <c r="J187" s="89">
        <v>0</v>
      </c>
      <c r="K187" s="145"/>
    </row>
    <row r="188" spans="1:11" x14ac:dyDescent="0.25">
      <c r="B188" s="76" t="s">
        <v>197</v>
      </c>
      <c r="C188" s="77" t="s">
        <v>207</v>
      </c>
      <c r="D188" s="78">
        <f>E111</f>
        <v>5.6492198550844031E-2</v>
      </c>
      <c r="E188" s="79" t="str">
        <f>E112</f>
        <v>PASS</v>
      </c>
      <c r="F188" s="6"/>
      <c r="H188" s="84" t="s">
        <v>379</v>
      </c>
      <c r="I188" s="77">
        <v>-22</v>
      </c>
      <c r="J188" s="89">
        <f>E93</f>
        <v>33.883587641934099</v>
      </c>
      <c r="K188" s="145"/>
    </row>
    <row r="189" spans="1:11" ht="15.75" thickBot="1" x14ac:dyDescent="0.3">
      <c r="B189" s="76" t="s">
        <v>198</v>
      </c>
      <c r="C189" s="77" t="s">
        <v>139</v>
      </c>
      <c r="D189" s="78">
        <f>E143</f>
        <v>0.4773113733949832</v>
      </c>
      <c r="E189" s="79" t="str">
        <f>E144</f>
        <v>PASS</v>
      </c>
      <c r="F189" s="6"/>
      <c r="H189" s="90" t="s">
        <v>374</v>
      </c>
      <c r="I189" s="91">
        <v>-8</v>
      </c>
      <c r="J189" s="92">
        <f>E96</f>
        <v>33.883587641934099</v>
      </c>
      <c r="K189" s="145"/>
    </row>
    <row r="190" spans="1:11" x14ac:dyDescent="0.25">
      <c r="B190" s="76" t="s">
        <v>201</v>
      </c>
      <c r="C190" s="77" t="s">
        <v>140</v>
      </c>
      <c r="D190" s="78">
        <f>E147</f>
        <v>0.98363788796257723</v>
      </c>
      <c r="E190" s="79" t="str">
        <f>E148</f>
        <v>PASS</v>
      </c>
      <c r="F190" s="6"/>
    </row>
    <row r="191" spans="1:11" x14ac:dyDescent="0.25">
      <c r="B191" s="76" t="s">
        <v>202</v>
      </c>
      <c r="C191" s="77" t="s">
        <v>156</v>
      </c>
      <c r="D191" s="78">
        <f>E155</f>
        <v>0</v>
      </c>
      <c r="E191" s="79" t="str">
        <f>E156</f>
        <v>NOT APPLICABLE</v>
      </c>
      <c r="F191" s="6"/>
    </row>
    <row r="192" spans="1:11" x14ac:dyDescent="0.25">
      <c r="B192" s="76" t="s">
        <v>212</v>
      </c>
      <c r="C192" s="77" t="s">
        <v>157</v>
      </c>
      <c r="D192" s="78">
        <f>E175</f>
        <v>0.96230618949491065</v>
      </c>
      <c r="E192" s="79" t="str">
        <f>E176</f>
        <v>PASS</v>
      </c>
      <c r="F192" s="6"/>
    </row>
    <row r="193" spans="1:9" x14ac:dyDescent="0.25">
      <c r="B193" s="76" t="s">
        <v>213</v>
      </c>
      <c r="C193" s="77" t="s">
        <v>203</v>
      </c>
      <c r="D193" s="78">
        <f>E179</f>
        <v>0.83691604061739722</v>
      </c>
      <c r="E193" s="79" t="str">
        <f>E180</f>
        <v>PASS</v>
      </c>
      <c r="F193" s="6"/>
      <c r="I193" s="29"/>
    </row>
    <row r="194" spans="1:9" x14ac:dyDescent="0.25">
      <c r="F194" s="6"/>
    </row>
    <row r="195" spans="1:9" ht="15.75" thickBot="1" x14ac:dyDescent="0.3">
      <c r="F195" s="6"/>
    </row>
    <row r="196" spans="1:9" x14ac:dyDescent="0.25">
      <c r="A196" s="51"/>
      <c r="B196" s="61"/>
      <c r="C196" s="51"/>
      <c r="D196" s="51"/>
      <c r="E196" s="52"/>
      <c r="F196" s="51"/>
    </row>
  </sheetData>
  <conditionalFormatting sqref="E95 E183:E193">
    <cfRule type="containsText" dxfId="203" priority="43" operator="containsText" text="NOT APPLICABLE">
      <formula>NOT(ISERROR(SEARCH("NOT APPLICABLE",E95)))</formula>
    </cfRule>
    <cfRule type="containsText" dxfId="202" priority="44" operator="containsText" text="FAIL">
      <formula>NOT(ISERROR(SEARCH("FAIL",E95)))</formula>
    </cfRule>
    <cfRule type="containsText" dxfId="201" priority="45" operator="containsText" text="PASS">
      <formula>NOT(ISERROR(SEARCH("PASS",E95)))</formula>
    </cfRule>
  </conditionalFormatting>
  <conditionalFormatting sqref="E82">
    <cfRule type="containsText" dxfId="200" priority="37" operator="containsText" text="NOT APPLICABLE">
      <formula>NOT(ISERROR(SEARCH("NOT APPLICABLE",E82)))</formula>
    </cfRule>
    <cfRule type="containsText" dxfId="199" priority="38" operator="containsText" text="FAIL">
      <formula>NOT(ISERROR(SEARCH("FAIL",E82)))</formula>
    </cfRule>
    <cfRule type="containsText" dxfId="198" priority="39" operator="containsText" text="PASS">
      <formula>NOT(ISERROR(SEARCH("PASS",E82)))</formula>
    </cfRule>
  </conditionalFormatting>
  <conditionalFormatting sqref="E180">
    <cfRule type="containsText" dxfId="197" priority="31" operator="containsText" text="NOT APPLICABLE">
      <formula>NOT(ISERROR(SEARCH("NOT APPLICABLE",E180)))</formula>
    </cfRule>
    <cfRule type="containsText" dxfId="196" priority="32" operator="containsText" text="FAIL">
      <formula>NOT(ISERROR(SEARCH("FAIL",E180)))</formula>
    </cfRule>
    <cfRule type="containsText" dxfId="195" priority="33" operator="containsText" text="PASS">
      <formula>NOT(ISERROR(SEARCH("PASS",E180)))</formula>
    </cfRule>
  </conditionalFormatting>
  <conditionalFormatting sqref="E54:E55">
    <cfRule type="containsText" dxfId="194" priority="40" operator="containsText" text="NOT APPLICABLE">
      <formula>NOT(ISERROR(SEARCH("NOT APPLICABLE",E54)))</formula>
    </cfRule>
    <cfRule type="containsText" dxfId="193" priority="41" operator="containsText" text="FAIL">
      <formula>NOT(ISERROR(SEARCH("FAIL",E54)))</formula>
    </cfRule>
    <cfRule type="containsText" dxfId="192" priority="42" operator="containsText" text="PASS">
      <formula>NOT(ISERROR(SEARCH("PASS",E54)))</formula>
    </cfRule>
  </conditionalFormatting>
  <conditionalFormatting sqref="E176">
    <cfRule type="containsText" dxfId="191" priority="34" operator="containsText" text="NOT APPLICABLE">
      <formula>NOT(ISERROR(SEARCH("NOT APPLICABLE",E176)))</formula>
    </cfRule>
    <cfRule type="containsText" dxfId="190" priority="35" operator="containsText" text="FAIL">
      <formula>NOT(ISERROR(SEARCH("FAIL",E176)))</formula>
    </cfRule>
    <cfRule type="containsText" dxfId="189" priority="36" operator="containsText" text="PASS">
      <formula>NOT(ISERROR(SEARCH("PASS",E176)))</formula>
    </cfRule>
  </conditionalFormatting>
  <conditionalFormatting sqref="D183:D193">
    <cfRule type="expression" dxfId="188" priority="25">
      <formula>D183=0</formula>
    </cfRule>
    <cfRule type="expression" dxfId="187" priority="26">
      <formula>D183&lt;=1</formula>
    </cfRule>
    <cfRule type="expression" dxfId="186" priority="27">
      <formula>D183&gt;1</formula>
    </cfRule>
  </conditionalFormatting>
  <conditionalFormatting sqref="E156">
    <cfRule type="containsText" dxfId="185" priority="22" operator="containsText" text="NOT APPLICABLE">
      <formula>NOT(ISERROR(SEARCH("NOT APPLICABLE",E156)))</formula>
    </cfRule>
    <cfRule type="containsText" dxfId="184" priority="23" operator="containsText" text="FAIL">
      <formula>NOT(ISERROR(SEARCH("FAIL",E156)))</formula>
    </cfRule>
    <cfRule type="containsText" dxfId="183" priority="24" operator="containsText" text="PASS">
      <formula>NOT(ISERROR(SEARCH("PASS",E156)))</formula>
    </cfRule>
  </conditionalFormatting>
  <conditionalFormatting sqref="E98">
    <cfRule type="containsText" dxfId="182" priority="19" operator="containsText" text="NOT APPLICABLE">
      <formula>NOT(ISERROR(SEARCH("NOT APPLICABLE",E98)))</formula>
    </cfRule>
    <cfRule type="containsText" dxfId="181" priority="20" operator="containsText" text="FAIL">
      <formula>NOT(ISERROR(SEARCH("FAIL",E98)))</formula>
    </cfRule>
    <cfRule type="containsText" dxfId="180" priority="21" operator="containsText" text="PASS">
      <formula>NOT(ISERROR(SEARCH("PASS",E98)))</formula>
    </cfRule>
  </conditionalFormatting>
  <conditionalFormatting sqref="E109">
    <cfRule type="containsText" dxfId="179" priority="16" operator="containsText" text="NOT APPLICABLE">
      <formula>NOT(ISERROR(SEARCH("NOT APPLICABLE",E109)))</formula>
    </cfRule>
    <cfRule type="containsText" dxfId="178" priority="17" operator="containsText" text="FAIL">
      <formula>NOT(ISERROR(SEARCH("FAIL",E109)))</formula>
    </cfRule>
    <cfRule type="containsText" dxfId="177" priority="18" operator="containsText" text="PASS">
      <formula>NOT(ISERROR(SEARCH("PASS",E109)))</formula>
    </cfRule>
  </conditionalFormatting>
  <conditionalFormatting sqref="E112">
    <cfRule type="containsText" dxfId="176" priority="13" operator="containsText" text="NOT APPLICABLE">
      <formula>NOT(ISERROR(SEARCH("NOT APPLICABLE",E112)))</formula>
    </cfRule>
    <cfRule type="containsText" dxfId="175" priority="14" operator="containsText" text="FAIL">
      <formula>NOT(ISERROR(SEARCH("FAIL",E112)))</formula>
    </cfRule>
    <cfRule type="containsText" dxfId="174" priority="15" operator="containsText" text="PASS">
      <formula>NOT(ISERROR(SEARCH("PASS",E112)))</formula>
    </cfRule>
  </conditionalFormatting>
  <conditionalFormatting sqref="E129">
    <cfRule type="containsText" dxfId="173" priority="10" operator="containsText" text="NOT APPLICABLE">
      <formula>NOT(ISERROR(SEARCH("NOT APPLICABLE",E129)))</formula>
    </cfRule>
    <cfRule type="containsText" dxfId="172" priority="11" operator="containsText" text="FAIL">
      <formula>NOT(ISERROR(SEARCH("FAIL",E129)))</formula>
    </cfRule>
    <cfRule type="containsText" dxfId="171" priority="12" operator="containsText" text="PASS">
      <formula>NOT(ISERROR(SEARCH("PASS",E129)))</formula>
    </cfRule>
  </conditionalFormatting>
  <conditionalFormatting sqref="E132">
    <cfRule type="containsText" dxfId="170" priority="7" operator="containsText" text="NOT APPLICABLE">
      <formula>NOT(ISERROR(SEARCH("NOT APPLICABLE",E132)))</formula>
    </cfRule>
    <cfRule type="containsText" dxfId="169" priority="8" operator="containsText" text="FAIL">
      <formula>NOT(ISERROR(SEARCH("FAIL",E132)))</formula>
    </cfRule>
    <cfRule type="containsText" dxfId="168" priority="9" operator="containsText" text="PASS">
      <formula>NOT(ISERROR(SEARCH("PASS",E132)))</formula>
    </cfRule>
  </conditionalFormatting>
  <conditionalFormatting sqref="E144">
    <cfRule type="containsText" dxfId="167" priority="4" operator="containsText" text="NOT APPLICABLE">
      <formula>NOT(ISERROR(SEARCH("NOT APPLICABLE",E144)))</formula>
    </cfRule>
    <cfRule type="containsText" dxfId="166" priority="5" operator="containsText" text="FAIL">
      <formula>NOT(ISERROR(SEARCH("FAIL",E144)))</formula>
    </cfRule>
    <cfRule type="containsText" dxfId="165" priority="6" operator="containsText" text="PASS">
      <formula>NOT(ISERROR(SEARCH("PASS",E144)))</formula>
    </cfRule>
  </conditionalFormatting>
  <conditionalFormatting sqref="E148">
    <cfRule type="containsText" dxfId="164" priority="1" operator="containsText" text="NOT APPLICABLE">
      <formula>NOT(ISERROR(SEARCH("NOT APPLICABLE",E148)))</formula>
    </cfRule>
    <cfRule type="containsText" dxfId="163" priority="2" operator="containsText" text="FAIL">
      <formula>NOT(ISERROR(SEARCH("FAIL",E148)))</formula>
    </cfRule>
    <cfRule type="containsText" dxfId="162" priority="3" operator="containsText" text="PASS">
      <formula>NOT(ISERROR(SEARCH("PASS",E148)))</formula>
    </cfRule>
  </conditionalFormatting>
  <pageMargins left="0.7" right="0.7" top="0.75" bottom="0.75" header="0.3" footer="0.3"/>
  <pageSetup paperSize="9" orientation="portrait" horizontalDpi="300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'NB-LIB'!$A$2:$A$15</xm:f>
          </x14:formula1>
          <xm:sqref>E19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5" tint="-0.249977111117893"/>
  </sheetPr>
  <dimension ref="A1:L214"/>
  <sheetViews>
    <sheetView zoomScale="85" zoomScaleNormal="85" workbookViewId="0">
      <pane xSplit="1" ySplit="1" topLeftCell="B2" activePane="bottomRight" state="frozen"/>
      <selection activeCell="J93" sqref="J93"/>
      <selection pane="topRight" activeCell="J93" sqref="J93"/>
      <selection pane="bottomLeft" activeCell="J93" sqref="J93"/>
      <selection pane="bottomRight" activeCell="E173" sqref="E173"/>
    </sheetView>
  </sheetViews>
  <sheetFormatPr defaultRowHeight="15" x14ac:dyDescent="0.25"/>
  <cols>
    <col min="1" max="1" width="5.28515625" style="1" customWidth="1"/>
    <col min="2" max="2" width="37.28515625" style="60" customWidth="1"/>
    <col min="3" max="3" width="10.5703125" style="1" customWidth="1"/>
    <col min="4" max="4" width="8" style="1" customWidth="1"/>
    <col min="5" max="5" width="28.28515625" style="35" customWidth="1"/>
    <col min="6" max="6" width="17.85546875" style="1" customWidth="1"/>
    <col min="7" max="7" width="13.7109375" style="1" customWidth="1"/>
    <col min="8" max="9" width="9.140625" style="1"/>
    <col min="10" max="10" width="9" style="1" customWidth="1"/>
    <col min="11" max="16384" width="9.140625" style="1"/>
  </cols>
  <sheetData>
    <row r="1" spans="1:12" s="2" customFormat="1" ht="30" x14ac:dyDescent="0.25">
      <c r="A1" s="8" t="s">
        <v>0</v>
      </c>
      <c r="B1" s="9" t="s">
        <v>1</v>
      </c>
      <c r="C1" s="9" t="s">
        <v>3</v>
      </c>
      <c r="D1" s="9" t="s">
        <v>2</v>
      </c>
      <c r="E1" s="9" t="s">
        <v>210</v>
      </c>
      <c r="F1" s="10" t="s">
        <v>21</v>
      </c>
      <c r="G1" s="2" t="s">
        <v>28</v>
      </c>
    </row>
    <row r="2" spans="1:12" x14ac:dyDescent="0.25">
      <c r="A2" s="11">
        <v>1</v>
      </c>
      <c r="B2" s="59" t="s">
        <v>9</v>
      </c>
      <c r="C2" s="4"/>
      <c r="D2" s="4"/>
      <c r="E2" s="36"/>
      <c r="F2" s="12"/>
      <c r="G2" s="1" t="s">
        <v>39</v>
      </c>
    </row>
    <row r="3" spans="1:12" x14ac:dyDescent="0.25">
      <c r="A3" s="32"/>
      <c r="B3" s="68" t="s">
        <v>128</v>
      </c>
      <c r="C3" s="5"/>
      <c r="D3" s="5"/>
      <c r="E3" s="37">
        <v>1</v>
      </c>
      <c r="F3" s="6"/>
      <c r="G3" s="1" t="s">
        <v>40</v>
      </c>
    </row>
    <row r="4" spans="1:12" x14ac:dyDescent="0.25">
      <c r="A4" s="7"/>
      <c r="B4" s="68" t="s">
        <v>10</v>
      </c>
      <c r="C4" s="5" t="s">
        <v>11</v>
      </c>
      <c r="D4" s="5" t="s">
        <v>12</v>
      </c>
      <c r="E4" s="31">
        <f t="shared" ref="E4:E9" si="0">I201</f>
        <v>-86.25</v>
      </c>
      <c r="F4" s="6" t="s">
        <v>129</v>
      </c>
      <c r="G4" s="1" t="s">
        <v>40</v>
      </c>
    </row>
    <row r="5" spans="1:12" ht="17.25" x14ac:dyDescent="0.25">
      <c r="A5" s="7"/>
      <c r="B5" s="68" t="s">
        <v>631</v>
      </c>
      <c r="C5" s="5" t="s">
        <v>377</v>
      </c>
      <c r="D5" s="5" t="s">
        <v>12</v>
      </c>
      <c r="E5" s="31">
        <f t="shared" si="0"/>
        <v>-11.25</v>
      </c>
      <c r="F5" s="6" t="s">
        <v>633</v>
      </c>
      <c r="G5" s="1" t="s">
        <v>40</v>
      </c>
    </row>
    <row r="6" spans="1:12" ht="17.25" x14ac:dyDescent="0.25">
      <c r="A6" s="7"/>
      <c r="B6" s="68" t="s">
        <v>632</v>
      </c>
      <c r="C6" s="5" t="s">
        <v>378</v>
      </c>
      <c r="D6" s="5" t="s">
        <v>12</v>
      </c>
      <c r="E6" s="31">
        <f t="shared" si="0"/>
        <v>-15</v>
      </c>
      <c r="F6" s="6" t="s">
        <v>634</v>
      </c>
      <c r="G6" s="1" t="s">
        <v>40</v>
      </c>
    </row>
    <row r="7" spans="1:12" x14ac:dyDescent="0.25">
      <c r="A7" s="7"/>
      <c r="B7" s="68" t="s">
        <v>15</v>
      </c>
      <c r="C7" s="5" t="s">
        <v>16</v>
      </c>
      <c r="D7" s="5" t="s">
        <v>7</v>
      </c>
      <c r="E7" s="31">
        <f t="shared" si="0"/>
        <v>0</v>
      </c>
      <c r="F7" s="6"/>
      <c r="G7" s="1" t="s">
        <v>40</v>
      </c>
    </row>
    <row r="8" spans="1:12" x14ac:dyDescent="0.25">
      <c r="A8" s="7"/>
      <c r="B8" s="68" t="s">
        <v>17</v>
      </c>
      <c r="C8" s="5" t="s">
        <v>379</v>
      </c>
      <c r="D8" s="5" t="s">
        <v>7</v>
      </c>
      <c r="E8" s="31">
        <f t="shared" si="0"/>
        <v>-15</v>
      </c>
      <c r="F8" s="6" t="s">
        <v>635</v>
      </c>
      <c r="G8" s="1" t="s">
        <v>40</v>
      </c>
      <c r="J8"/>
      <c r="K8"/>
      <c r="L8"/>
    </row>
    <row r="9" spans="1:12" x14ac:dyDescent="0.25">
      <c r="A9" s="7"/>
      <c r="B9" s="68" t="s">
        <v>19</v>
      </c>
      <c r="C9" s="5" t="s">
        <v>374</v>
      </c>
      <c r="D9" s="5" t="s">
        <v>7</v>
      </c>
      <c r="E9" s="31">
        <f t="shared" si="0"/>
        <v>-12</v>
      </c>
      <c r="F9" s="6" t="s">
        <v>636</v>
      </c>
      <c r="G9" s="1" t="s">
        <v>40</v>
      </c>
      <c r="J9"/>
      <c r="K9"/>
      <c r="L9"/>
    </row>
    <row r="10" spans="1:12" x14ac:dyDescent="0.25">
      <c r="A10" s="7"/>
      <c r="B10" s="68"/>
      <c r="C10" s="5"/>
      <c r="D10" s="5"/>
      <c r="E10" s="38"/>
      <c r="F10" s="6"/>
      <c r="J10"/>
      <c r="K10"/>
      <c r="L10"/>
    </row>
    <row r="11" spans="1:12" x14ac:dyDescent="0.25">
      <c r="A11" s="11">
        <v>2</v>
      </c>
      <c r="B11" s="59" t="s">
        <v>24</v>
      </c>
      <c r="C11" s="4"/>
      <c r="D11" s="4"/>
      <c r="E11" s="36"/>
      <c r="F11" s="12"/>
      <c r="J11"/>
      <c r="K11"/>
      <c r="L11"/>
    </row>
    <row r="12" spans="1:12" x14ac:dyDescent="0.25">
      <c r="A12" s="7"/>
      <c r="B12" s="68" t="s">
        <v>4</v>
      </c>
      <c r="C12" s="5" t="s">
        <v>5</v>
      </c>
      <c r="D12" s="5" t="s">
        <v>8</v>
      </c>
      <c r="E12" s="39">
        <v>4000</v>
      </c>
      <c r="F12" s="6"/>
      <c r="G12" s="1" t="s">
        <v>40</v>
      </c>
      <c r="J12"/>
      <c r="K12"/>
      <c r="L12"/>
    </row>
    <row r="13" spans="1:12" x14ac:dyDescent="0.25">
      <c r="A13" s="7"/>
      <c r="B13" s="68" t="s">
        <v>232</v>
      </c>
      <c r="C13" s="5" t="s">
        <v>169</v>
      </c>
      <c r="D13" s="5" t="s">
        <v>236</v>
      </c>
      <c r="E13" s="39">
        <v>1</v>
      </c>
      <c r="F13" s="6"/>
      <c r="G13" s="1" t="s">
        <v>40</v>
      </c>
      <c r="J13"/>
      <c r="K13"/>
      <c r="L13"/>
    </row>
    <row r="14" spans="1:12" x14ac:dyDescent="0.25">
      <c r="A14" s="7"/>
      <c r="B14" s="68" t="s">
        <v>233</v>
      </c>
      <c r="C14" s="5" t="s">
        <v>168</v>
      </c>
      <c r="D14" s="5" t="s">
        <v>236</v>
      </c>
      <c r="E14" s="39">
        <v>1</v>
      </c>
      <c r="F14" s="6"/>
      <c r="G14" s="1" t="s">
        <v>40</v>
      </c>
      <c r="J14"/>
      <c r="K14"/>
      <c r="L14"/>
    </row>
    <row r="15" spans="1:12" x14ac:dyDescent="0.25">
      <c r="A15" s="7"/>
      <c r="B15" s="68" t="s">
        <v>234</v>
      </c>
      <c r="C15" s="5" t="s">
        <v>260</v>
      </c>
      <c r="D15" s="5" t="s">
        <v>8</v>
      </c>
      <c r="E15" s="47">
        <f>E13*E12</f>
        <v>4000</v>
      </c>
      <c r="F15" s="6"/>
      <c r="J15"/>
      <c r="K15"/>
      <c r="L15"/>
    </row>
    <row r="16" spans="1:12" x14ac:dyDescent="0.25">
      <c r="A16" s="7"/>
      <c r="B16" s="68" t="s">
        <v>235</v>
      </c>
      <c r="C16" s="5" t="s">
        <v>261</v>
      </c>
      <c r="D16" s="5" t="s">
        <v>8</v>
      </c>
      <c r="E16" s="47">
        <f>E14*E12</f>
        <v>4000</v>
      </c>
      <c r="F16" s="6"/>
    </row>
    <row r="17" spans="1:12" x14ac:dyDescent="0.25">
      <c r="A17" s="7"/>
      <c r="B17" s="68"/>
      <c r="C17" s="5"/>
      <c r="D17" s="5"/>
      <c r="E17" s="38"/>
      <c r="F17" s="6"/>
      <c r="J17"/>
      <c r="K17"/>
      <c r="L17"/>
    </row>
    <row r="18" spans="1:12" x14ac:dyDescent="0.25">
      <c r="A18" s="11">
        <v>3</v>
      </c>
      <c r="B18" s="59" t="s">
        <v>637</v>
      </c>
      <c r="C18" s="4"/>
      <c r="D18" s="4"/>
      <c r="E18" s="36"/>
      <c r="F18" s="12"/>
      <c r="J18"/>
      <c r="K18"/>
      <c r="L18"/>
    </row>
    <row r="19" spans="1:12" x14ac:dyDescent="0.25">
      <c r="A19" s="7"/>
      <c r="B19" s="68" t="s">
        <v>217</v>
      </c>
      <c r="C19" s="5"/>
      <c r="D19" s="5"/>
      <c r="E19" s="31" t="s">
        <v>447</v>
      </c>
      <c r="F19" s="6" t="s">
        <v>630</v>
      </c>
      <c r="G19" s="1" t="s">
        <v>40</v>
      </c>
      <c r="J19"/>
      <c r="K19"/>
      <c r="L19"/>
    </row>
    <row r="20" spans="1:12" x14ac:dyDescent="0.25">
      <c r="A20" s="7"/>
      <c r="B20" s="68" t="s">
        <v>225</v>
      </c>
      <c r="C20" s="5" t="s">
        <v>223</v>
      </c>
      <c r="D20" s="5" t="s">
        <v>8</v>
      </c>
      <c r="E20" s="23">
        <f>VLOOKUP($E$19,'RHS-LIB'!$A$2:$E$19,3,FALSE)</f>
        <v>200</v>
      </c>
      <c r="F20" s="6" t="s">
        <v>705</v>
      </c>
      <c r="G20" s="1" t="s">
        <v>40</v>
      </c>
      <c r="J20">
        <f>E20-2*E23</f>
        <v>190</v>
      </c>
      <c r="K20"/>
      <c r="L20"/>
    </row>
    <row r="21" spans="1:12" x14ac:dyDescent="0.25">
      <c r="A21" s="7"/>
      <c r="B21" s="68" t="s">
        <v>226</v>
      </c>
      <c r="C21" s="5" t="s">
        <v>229</v>
      </c>
      <c r="D21" s="5" t="s">
        <v>8</v>
      </c>
      <c r="E21" s="23">
        <f>VLOOKUP($E$19,'RHS-LIB'!$A$2:$E$19,4,FALSE)</f>
        <v>100</v>
      </c>
      <c r="F21" s="6" t="s">
        <v>705</v>
      </c>
      <c r="G21" s="1" t="s">
        <v>40</v>
      </c>
      <c r="J21">
        <f>E21-2*E22</f>
        <v>90</v>
      </c>
      <c r="K21"/>
      <c r="L21"/>
    </row>
    <row r="22" spans="1:12" x14ac:dyDescent="0.25">
      <c r="A22" s="7"/>
      <c r="B22" s="68" t="s">
        <v>227</v>
      </c>
      <c r="C22" s="5" t="s">
        <v>230</v>
      </c>
      <c r="D22" s="5" t="s">
        <v>8</v>
      </c>
      <c r="E22" s="23">
        <f>VLOOKUP($E$19,'RHS-LIB'!$A$2:$E$19,5,FALSE)</f>
        <v>5</v>
      </c>
      <c r="F22" s="6" t="s">
        <v>705</v>
      </c>
      <c r="G22" s="1" t="s">
        <v>40</v>
      </c>
      <c r="J22"/>
      <c r="K22"/>
      <c r="L22"/>
    </row>
    <row r="23" spans="1:12" x14ac:dyDescent="0.25">
      <c r="A23" s="7"/>
      <c r="B23" s="68" t="s">
        <v>228</v>
      </c>
      <c r="C23" s="5" t="s">
        <v>231</v>
      </c>
      <c r="D23" s="5" t="s">
        <v>8</v>
      </c>
      <c r="E23" s="23">
        <f>VLOOKUP($E$19,'RHS-LIB'!$A$2:$E$19,5,FALSE)</f>
        <v>5</v>
      </c>
      <c r="F23" s="6" t="s">
        <v>705</v>
      </c>
      <c r="G23" s="1" t="s">
        <v>40</v>
      </c>
      <c r="J23"/>
      <c r="K23"/>
      <c r="L23"/>
    </row>
    <row r="24" spans="1:12" x14ac:dyDescent="0.25">
      <c r="A24" s="7"/>
      <c r="B24" s="68" t="s">
        <v>44</v>
      </c>
      <c r="C24" s="5" t="s">
        <v>45</v>
      </c>
      <c r="D24" s="5" t="s">
        <v>48</v>
      </c>
      <c r="E24" s="40">
        <f>VLOOKUP($E$19,'RHS-LIB'!$A$2:$W$19,22,FALSE)</f>
        <v>350</v>
      </c>
      <c r="F24" s="6" t="s">
        <v>705</v>
      </c>
      <c r="G24" s="1" t="s">
        <v>40</v>
      </c>
      <c r="J24"/>
      <c r="K24"/>
      <c r="L24"/>
    </row>
    <row r="25" spans="1:12" x14ac:dyDescent="0.25">
      <c r="A25" s="7"/>
      <c r="B25" s="68" t="s">
        <v>46</v>
      </c>
      <c r="C25" s="5" t="s">
        <v>47</v>
      </c>
      <c r="D25" s="5" t="s">
        <v>48</v>
      </c>
      <c r="E25" s="40">
        <f>VLOOKUP($E$19,'RHS-LIB'!$A$2:$W$19,23,FALSE)</f>
        <v>490</v>
      </c>
      <c r="F25" s="6" t="s">
        <v>705</v>
      </c>
      <c r="G25" s="1" t="s">
        <v>40</v>
      </c>
      <c r="J25"/>
      <c r="K25"/>
      <c r="L25"/>
    </row>
    <row r="26" spans="1:12" x14ac:dyDescent="0.25">
      <c r="A26" s="7"/>
      <c r="B26" s="68" t="s">
        <v>77</v>
      </c>
      <c r="C26" s="5" t="s">
        <v>78</v>
      </c>
      <c r="D26" s="5" t="s">
        <v>48</v>
      </c>
      <c r="E26" s="53">
        <v>210000</v>
      </c>
      <c r="F26" s="6"/>
      <c r="G26" s="1" t="s">
        <v>40</v>
      </c>
      <c r="J26"/>
      <c r="K26"/>
      <c r="L26"/>
    </row>
    <row r="27" spans="1:12" x14ac:dyDescent="0.25">
      <c r="A27" s="7"/>
      <c r="B27" s="68" t="s">
        <v>270</v>
      </c>
      <c r="C27" s="5" t="s">
        <v>271</v>
      </c>
      <c r="D27" s="5" t="s">
        <v>236</v>
      </c>
      <c r="E27" s="31">
        <v>0.99</v>
      </c>
      <c r="F27" s="6"/>
      <c r="G27" s="1" t="s">
        <v>40</v>
      </c>
      <c r="J27"/>
      <c r="K27"/>
      <c r="L27"/>
    </row>
    <row r="28" spans="1:12" x14ac:dyDescent="0.25">
      <c r="A28" s="7"/>
      <c r="B28" s="68" t="s">
        <v>33</v>
      </c>
      <c r="C28" s="5" t="s">
        <v>6</v>
      </c>
      <c r="D28" s="5" t="s">
        <v>34</v>
      </c>
      <c r="E28" s="23">
        <f>VLOOKUP($E$19,'RHS-LIB'!$A$2:$F$19,6,FALSE)*10^2</f>
        <v>2835.6194490192343</v>
      </c>
      <c r="F28" s="6" t="s">
        <v>705</v>
      </c>
      <c r="G28" s="23">
        <f>(2*$E$21*$E$22)+(2*($E$20-2*$E$22)*$E$23)</f>
        <v>2900</v>
      </c>
    </row>
    <row r="29" spans="1:12" x14ac:dyDescent="0.25">
      <c r="A29" s="7"/>
      <c r="B29" s="68" t="s">
        <v>256</v>
      </c>
      <c r="C29" s="5" t="s">
        <v>221</v>
      </c>
      <c r="D29" s="5" t="s">
        <v>237</v>
      </c>
      <c r="E29" s="23">
        <f>VLOOKUP($E$19,'RHS-LIB'!$A$2:$G$19,7,FALSE)</f>
        <v>22.259612674800991</v>
      </c>
      <c r="F29" s="6" t="s">
        <v>705</v>
      </c>
      <c r="G29" s="23">
        <f>$E$28/10^6*7850</f>
        <v>22.259612674800991</v>
      </c>
    </row>
    <row r="30" spans="1:12" x14ac:dyDescent="0.25">
      <c r="A30" s="7"/>
      <c r="B30" s="68" t="s">
        <v>238</v>
      </c>
      <c r="C30" s="5" t="s">
        <v>248</v>
      </c>
      <c r="D30" s="5" t="s">
        <v>35</v>
      </c>
      <c r="E30" s="40">
        <f>VLOOKUP($E$19,'RHS-LIB'!$A$2:$H$19,8,FALSE)*10^4</f>
        <v>14590947.311504319</v>
      </c>
      <c r="F30" s="6" t="s">
        <v>705</v>
      </c>
      <c r="G30" s="40">
        <f>($E$21*$E$20^3/12)-(($E$21-2*$E$23)*($E$20-2*$E$22)^3/12)</f>
        <v>15224166.666666664</v>
      </c>
    </row>
    <row r="31" spans="1:12" x14ac:dyDescent="0.25">
      <c r="A31" s="7"/>
      <c r="B31" s="68" t="s">
        <v>239</v>
      </c>
      <c r="C31" s="5" t="s">
        <v>249</v>
      </c>
      <c r="D31" s="5" t="s">
        <v>35</v>
      </c>
      <c r="E31" s="40">
        <f>VLOOKUP($E$19,'RHS-LIB'!$A$2:$I$19,9,FALSE)*10^4</f>
        <v>4965754.2262126263</v>
      </c>
      <c r="F31" s="6" t="s">
        <v>705</v>
      </c>
      <c r="G31" s="40">
        <f>($E$20*$E$21^3/12)-(($E$20-2*$E$22)*($E$21-2*$E$23)^3/12)</f>
        <v>5124166.666666666</v>
      </c>
    </row>
    <row r="32" spans="1:12" x14ac:dyDescent="0.25">
      <c r="A32" s="7"/>
      <c r="B32" s="68" t="s">
        <v>240</v>
      </c>
      <c r="C32" s="5" t="s">
        <v>250</v>
      </c>
      <c r="D32" s="5" t="s">
        <v>8</v>
      </c>
      <c r="E32" s="23">
        <f>VLOOKUP($E$19,'RHS-LIB'!$A$2:$J$19,10,FALSE)*10</f>
        <v>71.732798030480353</v>
      </c>
      <c r="F32" s="6" t="s">
        <v>705</v>
      </c>
      <c r="G32" s="23">
        <f>SQRT($E$30/$E$28)</f>
        <v>71.732798030480353</v>
      </c>
    </row>
    <row r="33" spans="1:8" x14ac:dyDescent="0.25">
      <c r="A33" s="7"/>
      <c r="B33" s="68" t="s">
        <v>241</v>
      </c>
      <c r="C33" s="5" t="s">
        <v>251</v>
      </c>
      <c r="D33" s="5" t="s">
        <v>8</v>
      </c>
      <c r="E33" s="23">
        <f>VLOOKUP($E$19,'RHS-LIB'!$A$2:$K$19,11,FALSE)*10</f>
        <v>41.847415127245561</v>
      </c>
      <c r="F33" s="6" t="s">
        <v>705</v>
      </c>
      <c r="G33" s="23">
        <f>SQRT($E$31/$E$28)</f>
        <v>41.847415127245554</v>
      </c>
    </row>
    <row r="34" spans="1:8" x14ac:dyDescent="0.25">
      <c r="A34" s="7"/>
      <c r="B34" s="68" t="s">
        <v>244</v>
      </c>
      <c r="C34" s="5" t="s">
        <v>252</v>
      </c>
      <c r="D34" s="5" t="s">
        <v>36</v>
      </c>
      <c r="E34" s="40">
        <f>VLOOKUP($E$19,'RHS-LIB'!$A$2:$L$19,12,FALSE)*10^3</f>
        <v>145909.47311504319</v>
      </c>
      <c r="F34" s="6" t="s">
        <v>705</v>
      </c>
      <c r="G34" s="40">
        <f>(($E$21*$E$20^3)-(($E$21-2*$E$23)*($E$20-2*$E$22)^3))/(6*$E$20)</f>
        <v>152241.66666666666</v>
      </c>
    </row>
    <row r="35" spans="1:8" x14ac:dyDescent="0.25">
      <c r="A35" s="7"/>
      <c r="B35" s="68" t="s">
        <v>245</v>
      </c>
      <c r="C35" s="5" t="s">
        <v>253</v>
      </c>
      <c r="D35" s="5" t="s">
        <v>36</v>
      </c>
      <c r="E35" s="40">
        <f>VLOOKUP($E$19,'RHS-LIB'!$A$2:$M$19,13,FALSE)*10^3</f>
        <v>99315.084524252525</v>
      </c>
      <c r="F35" s="6" t="s">
        <v>705</v>
      </c>
      <c r="G35" s="40">
        <f>(($E$20*$E$21^3)-(($E$20-2*$E$22)*($E$21-2*$E$23)^3))/(6*$E$21)</f>
        <v>102483.33333333333</v>
      </c>
    </row>
    <row r="36" spans="1:8" x14ac:dyDescent="0.25">
      <c r="A36" s="7"/>
      <c r="B36" s="68" t="s">
        <v>246</v>
      </c>
      <c r="C36" s="5" t="s">
        <v>247</v>
      </c>
      <c r="D36" s="5" t="s">
        <v>36</v>
      </c>
      <c r="E36" s="40">
        <f>VLOOKUP($E$19,'RHS-LIB'!$A$2:$N$19,14,FALSE)*10^3</f>
        <v>181372.41707839776</v>
      </c>
      <c r="F36" s="6" t="s">
        <v>705</v>
      </c>
      <c r="G36" s="40">
        <f>($E$21*$E$20^2/4)-(($E$21-2*$E$23)*($E$20-2*$E$22)^2/4)</f>
        <v>187750</v>
      </c>
    </row>
    <row r="37" spans="1:8" x14ac:dyDescent="0.25">
      <c r="A37" s="7"/>
      <c r="B37" s="68" t="s">
        <v>255</v>
      </c>
      <c r="C37" s="5" t="s">
        <v>254</v>
      </c>
      <c r="D37" s="5" t="s">
        <v>36</v>
      </c>
      <c r="E37" s="40">
        <f>VLOOKUP($E$19,'RHS-LIB'!$A$2:$O$19,15,FALSE)*10^3</f>
        <v>112091.44462743605</v>
      </c>
      <c r="F37" s="6" t="s">
        <v>705</v>
      </c>
      <c r="G37" s="40">
        <f>($E$20*$E$21^2/4)-(($E$20-2*$E$22)*($E$21-2*$E$23)^2/4)</f>
        <v>115250</v>
      </c>
    </row>
    <row r="38" spans="1:8" x14ac:dyDescent="0.25">
      <c r="A38" s="7"/>
      <c r="B38" s="68" t="s">
        <v>638</v>
      </c>
      <c r="C38" s="14" t="s">
        <v>639</v>
      </c>
      <c r="D38" s="5" t="s">
        <v>236</v>
      </c>
      <c r="E38" s="23">
        <f>($E$28*$E$20/($E$21+$E$20))/$E$28</f>
        <v>0.66666666666666663</v>
      </c>
      <c r="F38" s="6"/>
      <c r="G38" s="23">
        <f>($E$28*$E$20/($E$21+$E$20))/$E$28</f>
        <v>0.66666666666666663</v>
      </c>
    </row>
    <row r="39" spans="1:8" x14ac:dyDescent="0.25">
      <c r="A39" s="7"/>
      <c r="B39" s="68"/>
      <c r="C39" s="5"/>
      <c r="D39" s="5"/>
      <c r="E39" s="23"/>
      <c r="F39" s="6"/>
    </row>
    <row r="40" spans="1:8" x14ac:dyDescent="0.25">
      <c r="A40" s="11">
        <v>3</v>
      </c>
      <c r="B40" s="59" t="s">
        <v>42</v>
      </c>
      <c r="C40" s="4"/>
      <c r="D40" s="4"/>
      <c r="E40" s="36"/>
      <c r="F40" s="12"/>
    </row>
    <row r="41" spans="1:8" x14ac:dyDescent="0.25">
      <c r="A41" s="15"/>
      <c r="B41" s="68" t="s">
        <v>64</v>
      </c>
      <c r="C41" s="5"/>
      <c r="D41" s="5"/>
      <c r="E41" s="41"/>
      <c r="F41" s="6" t="s">
        <v>83</v>
      </c>
      <c r="H41"/>
    </row>
    <row r="42" spans="1:8" ht="30" x14ac:dyDescent="0.25">
      <c r="A42" s="17"/>
      <c r="B42" s="22" t="s">
        <v>99</v>
      </c>
      <c r="C42" s="21" t="s">
        <v>65</v>
      </c>
      <c r="D42" s="17"/>
      <c r="E42" s="42">
        <v>1.1000000000000001</v>
      </c>
      <c r="F42" s="18"/>
      <c r="H42"/>
    </row>
    <row r="43" spans="1:8" ht="30" x14ac:dyDescent="0.25">
      <c r="A43" s="17"/>
      <c r="B43" s="22" t="s">
        <v>66</v>
      </c>
      <c r="C43" s="21" t="s">
        <v>67</v>
      </c>
      <c r="D43" s="17"/>
      <c r="E43" s="42">
        <v>1.25</v>
      </c>
      <c r="F43" s="18"/>
      <c r="H43"/>
    </row>
    <row r="44" spans="1:8" x14ac:dyDescent="0.25">
      <c r="A44" s="17"/>
      <c r="B44" s="22" t="s">
        <v>68</v>
      </c>
      <c r="C44" s="17"/>
      <c r="D44" s="17"/>
      <c r="E44" s="42"/>
      <c r="F44" s="18"/>
      <c r="H44"/>
    </row>
    <row r="45" spans="1:8" x14ac:dyDescent="0.25">
      <c r="A45" s="17"/>
      <c r="B45" s="105" t="s">
        <v>69</v>
      </c>
      <c r="C45" s="21" t="s">
        <v>73</v>
      </c>
      <c r="D45" s="17"/>
      <c r="E45" s="42">
        <v>1.25</v>
      </c>
      <c r="F45" s="18"/>
      <c r="H45"/>
    </row>
    <row r="46" spans="1:8" x14ac:dyDescent="0.25">
      <c r="A46" s="17"/>
      <c r="B46" s="105" t="s">
        <v>70</v>
      </c>
      <c r="C46" s="21" t="s">
        <v>74</v>
      </c>
      <c r="D46" s="17"/>
      <c r="E46" s="42">
        <v>1.25</v>
      </c>
      <c r="F46" s="18"/>
      <c r="H46"/>
    </row>
    <row r="47" spans="1:8" x14ac:dyDescent="0.25">
      <c r="A47" s="19"/>
      <c r="B47" s="105" t="s">
        <v>71</v>
      </c>
      <c r="C47" s="21" t="s">
        <v>75</v>
      </c>
      <c r="D47" s="17"/>
      <c r="E47" s="42">
        <v>1.25</v>
      </c>
      <c r="F47" s="18"/>
      <c r="H47"/>
    </row>
    <row r="48" spans="1:8" x14ac:dyDescent="0.25">
      <c r="A48" s="19"/>
      <c r="B48" s="105" t="s">
        <v>72</v>
      </c>
      <c r="C48" s="21" t="s">
        <v>76</v>
      </c>
      <c r="D48" s="17"/>
      <c r="E48" s="42">
        <v>1.25</v>
      </c>
      <c r="F48" s="18"/>
      <c r="H48"/>
    </row>
    <row r="49" spans="1:8" x14ac:dyDescent="0.25">
      <c r="A49" s="20"/>
      <c r="B49" s="68"/>
      <c r="C49" s="17"/>
      <c r="D49" s="17"/>
      <c r="E49" s="43"/>
      <c r="F49" s="18"/>
      <c r="H49"/>
    </row>
    <row r="50" spans="1:8" x14ac:dyDescent="0.25">
      <c r="A50" s="11">
        <v>4</v>
      </c>
      <c r="B50" s="59" t="s">
        <v>41</v>
      </c>
      <c r="C50" s="4"/>
      <c r="D50" s="4"/>
      <c r="E50" s="36"/>
      <c r="F50" s="12"/>
      <c r="H50"/>
    </row>
    <row r="51" spans="1:8" x14ac:dyDescent="0.25">
      <c r="A51" s="13" t="str">
        <f>$A$50&amp;"A"</f>
        <v>4A</v>
      </c>
      <c r="B51" s="67" t="s">
        <v>79</v>
      </c>
      <c r="C51" s="5"/>
      <c r="D51" s="5"/>
      <c r="E51" s="23"/>
      <c r="F51" s="6"/>
      <c r="H51"/>
    </row>
    <row r="52" spans="1:8" ht="36" customHeight="1" x14ac:dyDescent="0.25">
      <c r="A52" s="310"/>
      <c r="B52" s="311" t="s">
        <v>175</v>
      </c>
      <c r="C52" s="96" t="s">
        <v>81</v>
      </c>
      <c r="D52" s="96" t="s">
        <v>12</v>
      </c>
      <c r="E52" s="312"/>
      <c r="F52" s="313" t="s">
        <v>86</v>
      </c>
      <c r="H52"/>
    </row>
    <row r="53" spans="1:8" x14ac:dyDescent="0.25">
      <c r="A53" s="310"/>
      <c r="B53" s="311"/>
      <c r="C53" s="96" t="s">
        <v>81</v>
      </c>
      <c r="D53" s="96" t="s">
        <v>12</v>
      </c>
      <c r="E53" s="312">
        <f>E28*E24/E42/1000</f>
        <v>902.24255196066542</v>
      </c>
      <c r="F53" s="313"/>
      <c r="H53"/>
    </row>
    <row r="54" spans="1:8" ht="30" x14ac:dyDescent="0.25">
      <c r="A54" s="310"/>
      <c r="B54" s="311" t="s">
        <v>176</v>
      </c>
      <c r="C54" s="96" t="s">
        <v>177</v>
      </c>
      <c r="D54" s="96" t="s">
        <v>12</v>
      </c>
      <c r="E54" s="312"/>
      <c r="F54" s="313" t="s">
        <v>181</v>
      </c>
      <c r="H54"/>
    </row>
    <row r="55" spans="1:8" x14ac:dyDescent="0.25">
      <c r="A55" s="310"/>
      <c r="B55" s="311"/>
      <c r="C55" s="96" t="s">
        <v>177</v>
      </c>
      <c r="D55" s="96" t="s">
        <v>12</v>
      </c>
      <c r="E55" s="312">
        <f>0.9*(E27*E28)*E25/E43/10^3</f>
        <v>990.402476197846</v>
      </c>
      <c r="F55" s="313"/>
      <c r="H55"/>
    </row>
    <row r="56" spans="1:8" x14ac:dyDescent="0.25">
      <c r="A56" s="310"/>
      <c r="B56" s="311" t="s">
        <v>80</v>
      </c>
      <c r="C56" s="96" t="s">
        <v>178</v>
      </c>
      <c r="D56" s="96" t="s">
        <v>12</v>
      </c>
      <c r="E56" s="312" t="s">
        <v>179</v>
      </c>
      <c r="F56" s="313" t="s">
        <v>182</v>
      </c>
      <c r="H56"/>
    </row>
    <row r="57" spans="1:8" x14ac:dyDescent="0.25">
      <c r="A57" s="7"/>
      <c r="B57" s="69" t="s">
        <v>80</v>
      </c>
      <c r="C57" s="24" t="s">
        <v>178</v>
      </c>
      <c r="D57" s="24" t="s">
        <v>12</v>
      </c>
      <c r="E57" s="44">
        <f>MIN(E53,E55)</f>
        <v>902.24255196066542</v>
      </c>
      <c r="F57" s="6"/>
      <c r="G57" s="27">
        <f>MIN(E53,E55)</f>
        <v>902.24255196066542</v>
      </c>
      <c r="H57"/>
    </row>
    <row r="58" spans="1:8" x14ac:dyDescent="0.25">
      <c r="A58" s="7"/>
      <c r="B58" s="33"/>
      <c r="C58" s="62" t="s">
        <v>172</v>
      </c>
      <c r="D58" s="65"/>
      <c r="E58" s="64">
        <f>IF(E4&lt;=0,0,ABS(E4/E57))</f>
        <v>0</v>
      </c>
      <c r="F58" s="55"/>
      <c r="H58"/>
    </row>
    <row r="59" spans="1:8" x14ac:dyDescent="0.25">
      <c r="A59" s="7"/>
      <c r="B59" s="33"/>
      <c r="C59" s="5"/>
      <c r="D59" s="5"/>
      <c r="E59" s="28" t="str">
        <f>IF(E4&lt;=0,"NOT APPLICABLE",IF(E58&lt;=1,"PASS","FAIL"))</f>
        <v>NOT APPLICABLE</v>
      </c>
      <c r="F59" s="6"/>
      <c r="H59"/>
    </row>
    <row r="60" spans="1:8" x14ac:dyDescent="0.25">
      <c r="A60" s="7"/>
      <c r="B60" s="33"/>
      <c r="C60" s="5"/>
      <c r="D60" s="5"/>
      <c r="E60" s="23"/>
      <c r="F60" s="6"/>
      <c r="H60"/>
    </row>
    <row r="61" spans="1:8" x14ac:dyDescent="0.25">
      <c r="A61" s="13" t="str">
        <f>$A$50&amp;"B"</f>
        <v>4B</v>
      </c>
      <c r="B61" s="67" t="s">
        <v>43</v>
      </c>
      <c r="C61" s="5"/>
      <c r="D61" s="5"/>
      <c r="E61" s="23"/>
      <c r="F61" s="6"/>
      <c r="H61"/>
    </row>
    <row r="62" spans="1:8" x14ac:dyDescent="0.25">
      <c r="A62" s="7"/>
      <c r="B62" s="33" t="s">
        <v>58</v>
      </c>
      <c r="C62" s="5" t="s">
        <v>59</v>
      </c>
      <c r="D62" s="5"/>
      <c r="E62" s="35" t="s">
        <v>257</v>
      </c>
      <c r="F62" s="6" t="s">
        <v>88</v>
      </c>
      <c r="G62" s="27"/>
      <c r="H62"/>
    </row>
    <row r="63" spans="1:8" x14ac:dyDescent="0.25">
      <c r="A63" s="7"/>
      <c r="B63" s="33"/>
      <c r="C63" s="5" t="s">
        <v>258</v>
      </c>
      <c r="D63" s="5"/>
      <c r="E63" s="23">
        <f>E15/E32</f>
        <v>55.762497906471452</v>
      </c>
      <c r="F63" s="6"/>
      <c r="G63" s="27"/>
      <c r="H63"/>
    </row>
    <row r="64" spans="1:8" x14ac:dyDescent="0.25">
      <c r="A64" s="7"/>
      <c r="B64" s="33"/>
      <c r="C64" s="5" t="s">
        <v>259</v>
      </c>
      <c r="D64" s="5"/>
      <c r="E64" s="23">
        <f>E16/E33</f>
        <v>95.585354264706382</v>
      </c>
      <c r="F64" s="6"/>
      <c r="G64" s="27"/>
      <c r="H64"/>
    </row>
    <row r="65" spans="1:8" ht="35.25" customHeight="1" x14ac:dyDescent="0.25">
      <c r="A65" s="7"/>
      <c r="B65" s="33" t="s">
        <v>173</v>
      </c>
      <c r="C65" s="5" t="s">
        <v>174</v>
      </c>
      <c r="D65" s="5" t="s">
        <v>48</v>
      </c>
      <c r="E65" s="23"/>
      <c r="F65" s="6" t="s">
        <v>88</v>
      </c>
      <c r="H65"/>
    </row>
    <row r="66" spans="1:8" ht="35.25" customHeight="1" x14ac:dyDescent="0.25">
      <c r="A66" s="7"/>
      <c r="B66" s="33"/>
      <c r="C66" s="5" t="s">
        <v>262</v>
      </c>
      <c r="D66" s="5" t="s">
        <v>48</v>
      </c>
      <c r="E66" s="23">
        <f>(PI()^2*E26)/E63^2</f>
        <v>666.55286618268201</v>
      </c>
      <c r="F66" s="6"/>
      <c r="H66"/>
    </row>
    <row r="67" spans="1:8" x14ac:dyDescent="0.25">
      <c r="A67" s="7"/>
      <c r="B67" s="33"/>
      <c r="C67" s="5" t="s">
        <v>263</v>
      </c>
      <c r="D67" s="5" t="s">
        <v>48</v>
      </c>
      <c r="E67" s="23">
        <f>(PI()^2*E26)/E64^2</f>
        <v>226.84871938582447</v>
      </c>
      <c r="F67" s="6"/>
      <c r="G67" s="27"/>
      <c r="H67"/>
    </row>
    <row r="68" spans="1:8" ht="30" x14ac:dyDescent="0.25">
      <c r="A68" s="7"/>
      <c r="B68" s="33" t="s">
        <v>56</v>
      </c>
      <c r="C68" s="14" t="s">
        <v>57</v>
      </c>
      <c r="D68" s="5"/>
      <c r="E68" s="23"/>
      <c r="F68" s="6" t="s">
        <v>88</v>
      </c>
      <c r="H68"/>
    </row>
    <row r="69" spans="1:8" x14ac:dyDescent="0.25">
      <c r="A69" s="7"/>
      <c r="B69" s="33"/>
      <c r="C69" s="14" t="s">
        <v>167</v>
      </c>
      <c r="D69" s="5"/>
      <c r="E69" s="23">
        <f>SQRT(E24/E66)</f>
        <v>0.72463068744125592</v>
      </c>
      <c r="F69" s="6"/>
      <c r="H69"/>
    </row>
    <row r="70" spans="1:8" x14ac:dyDescent="0.25">
      <c r="A70" s="7"/>
      <c r="B70" s="33"/>
      <c r="C70" s="14" t="s">
        <v>166</v>
      </c>
      <c r="D70" s="5"/>
      <c r="E70" s="47">
        <f>SQRT(E24/E67)</f>
        <v>1.2421265827496548</v>
      </c>
      <c r="F70" s="6"/>
      <c r="H70"/>
    </row>
    <row r="71" spans="1:8" ht="30" x14ac:dyDescent="0.25">
      <c r="A71" s="7"/>
      <c r="B71" s="33" t="s">
        <v>60</v>
      </c>
      <c r="C71" s="14" t="s">
        <v>61</v>
      </c>
      <c r="D71" s="5"/>
      <c r="E71" s="86">
        <v>0.34</v>
      </c>
      <c r="F71" s="16" t="s">
        <v>180</v>
      </c>
      <c r="H71"/>
    </row>
    <row r="72" spans="1:8" ht="20.25" customHeight="1" x14ac:dyDescent="0.25">
      <c r="A72" s="7"/>
      <c r="B72" s="33"/>
      <c r="C72" s="21" t="s">
        <v>415</v>
      </c>
      <c r="D72" s="5"/>
      <c r="E72" s="23"/>
      <c r="F72" s="6" t="s">
        <v>88</v>
      </c>
      <c r="H72"/>
    </row>
    <row r="73" spans="1:8" ht="20.25" customHeight="1" x14ac:dyDescent="0.25">
      <c r="A73" s="7"/>
      <c r="B73" s="33"/>
      <c r="C73" s="21" t="s">
        <v>428</v>
      </c>
      <c r="D73" s="5"/>
      <c r="E73" s="47">
        <f>0.5*(1+E71*(E69-0.2)+E69^2)</f>
        <v>0.85173203345580706</v>
      </c>
      <c r="F73" s="6"/>
      <c r="H73"/>
    </row>
    <row r="74" spans="1:8" ht="18.75" customHeight="1" x14ac:dyDescent="0.25">
      <c r="A74" s="7"/>
      <c r="B74" s="33"/>
      <c r="C74" s="21" t="s">
        <v>429</v>
      </c>
      <c r="D74" s="5"/>
      <c r="E74" s="47">
        <f>0.5*(1+E71*(E70-0.2)+E70^2)</f>
        <v>1.4486007428541088</v>
      </c>
      <c r="F74" s="6"/>
      <c r="H74"/>
    </row>
    <row r="75" spans="1:8" ht="33.75" customHeight="1" x14ac:dyDescent="0.25">
      <c r="A75" s="7"/>
      <c r="B75" s="33" t="s">
        <v>62</v>
      </c>
      <c r="C75" s="14" t="s">
        <v>63</v>
      </c>
      <c r="D75" s="5"/>
      <c r="E75" s="23"/>
      <c r="F75" s="6" t="s">
        <v>88</v>
      </c>
      <c r="H75"/>
    </row>
    <row r="76" spans="1:8" ht="33.75" customHeight="1" x14ac:dyDescent="0.25">
      <c r="A76" s="7"/>
      <c r="B76" s="100" t="s">
        <v>640</v>
      </c>
      <c r="C76" s="154" t="s">
        <v>265</v>
      </c>
      <c r="D76" s="15"/>
      <c r="E76" s="25">
        <f>1/(E73+(E73^2-E69^2)^0.5)</f>
        <v>0.76961823698875698</v>
      </c>
      <c r="F76" s="6"/>
      <c r="H76"/>
    </row>
    <row r="77" spans="1:8" ht="30" x14ac:dyDescent="0.25">
      <c r="A77" s="7"/>
      <c r="B77" s="100" t="s">
        <v>641</v>
      </c>
      <c r="C77" s="154" t="s">
        <v>264</v>
      </c>
      <c r="D77" s="15"/>
      <c r="E77" s="155">
        <f>1/(E74+(E74^2-E70^2)^0.5)</f>
        <v>0.45579609341340421</v>
      </c>
      <c r="F77" s="6"/>
      <c r="H77"/>
    </row>
    <row r="78" spans="1:8" ht="18.75" customHeight="1" x14ac:dyDescent="0.25">
      <c r="A78" s="310"/>
      <c r="B78" s="311" t="s">
        <v>54</v>
      </c>
      <c r="C78" s="96" t="s">
        <v>55</v>
      </c>
      <c r="D78" s="96" t="s">
        <v>48</v>
      </c>
      <c r="E78" s="312"/>
      <c r="F78" s="313" t="s">
        <v>87</v>
      </c>
      <c r="H78"/>
    </row>
    <row r="79" spans="1:8" ht="18.75" customHeight="1" x14ac:dyDescent="0.25">
      <c r="A79" s="310"/>
      <c r="B79" s="311"/>
      <c r="C79" s="96" t="s">
        <v>266</v>
      </c>
      <c r="D79" s="96" t="s">
        <v>48</v>
      </c>
      <c r="E79" s="312">
        <f>MIN(E76*E24/E42,E24/E42)</f>
        <v>244.87852995096813</v>
      </c>
      <c r="F79" s="313"/>
      <c r="H79"/>
    </row>
    <row r="80" spans="1:8" x14ac:dyDescent="0.25">
      <c r="A80" s="310"/>
      <c r="B80" s="311"/>
      <c r="C80" s="96" t="s">
        <v>267</v>
      </c>
      <c r="D80" s="96" t="s">
        <v>48</v>
      </c>
      <c r="E80" s="312">
        <f>MIN(E77*E24/E42,E24/E42)</f>
        <v>145.02602972244679</v>
      </c>
      <c r="F80" s="313"/>
      <c r="H80"/>
    </row>
    <row r="81" spans="1:9" x14ac:dyDescent="0.25">
      <c r="A81" s="310"/>
      <c r="B81" s="311" t="s">
        <v>52</v>
      </c>
      <c r="C81" s="96" t="s">
        <v>53</v>
      </c>
      <c r="D81" s="96" t="s">
        <v>34</v>
      </c>
      <c r="E81" s="312">
        <f>E28</f>
        <v>2835.6194490192343</v>
      </c>
      <c r="F81" s="313" t="s">
        <v>87</v>
      </c>
      <c r="H81"/>
    </row>
    <row r="82" spans="1:9" x14ac:dyDescent="0.25">
      <c r="A82" s="310"/>
      <c r="B82" s="311" t="s">
        <v>49</v>
      </c>
      <c r="C82" s="96" t="s">
        <v>50</v>
      </c>
      <c r="D82" s="96" t="s">
        <v>12</v>
      </c>
      <c r="E82" s="312" t="s">
        <v>51</v>
      </c>
      <c r="F82" s="313" t="s">
        <v>87</v>
      </c>
      <c r="H82"/>
    </row>
    <row r="83" spans="1:9" x14ac:dyDescent="0.25">
      <c r="A83" s="310"/>
      <c r="B83" s="311"/>
      <c r="C83" s="317" t="s">
        <v>268</v>
      </c>
      <c r="D83" s="317" t="s">
        <v>12</v>
      </c>
      <c r="E83" s="318">
        <f>E81*E80/10^3</f>
        <v>411.23863049501171</v>
      </c>
      <c r="F83" s="313"/>
      <c r="H83"/>
    </row>
    <row r="84" spans="1:9" x14ac:dyDescent="0.25">
      <c r="A84" s="310"/>
      <c r="B84" s="311"/>
      <c r="C84" s="317" t="s">
        <v>269</v>
      </c>
      <c r="D84" s="317" t="s">
        <v>12</v>
      </c>
      <c r="E84" s="318">
        <f>E81*E79/10^3</f>
        <v>694.3823221762043</v>
      </c>
      <c r="F84" s="313"/>
      <c r="H84"/>
    </row>
    <row r="85" spans="1:9" x14ac:dyDescent="0.25">
      <c r="A85" s="7"/>
      <c r="B85" s="69" t="s">
        <v>49</v>
      </c>
      <c r="C85" s="24" t="s">
        <v>50</v>
      </c>
      <c r="D85" s="24" t="s">
        <v>12</v>
      </c>
      <c r="E85" s="44">
        <f>MIN(E83,E84)</f>
        <v>411.23863049501171</v>
      </c>
      <c r="F85" s="6"/>
      <c r="G85" s="27"/>
      <c r="H85"/>
      <c r="I85" s="54"/>
    </row>
    <row r="86" spans="1:9" x14ac:dyDescent="0.25">
      <c r="A86" s="7"/>
      <c r="B86" s="33"/>
      <c r="C86" s="62" t="s">
        <v>172</v>
      </c>
      <c r="D86" s="63"/>
      <c r="E86" s="64">
        <f>IF(E4&lt;=0,ABS(E4)/E85,0)</f>
        <v>0.20973224207117916</v>
      </c>
      <c r="F86" s="6"/>
      <c r="H86"/>
    </row>
    <row r="87" spans="1:9" x14ac:dyDescent="0.25">
      <c r="A87" s="7"/>
      <c r="B87" s="33"/>
      <c r="C87" s="5"/>
      <c r="D87" s="5"/>
      <c r="E87" s="28" t="str">
        <f>IF(E4&gt;0,"NOT APPLICABLE",IF(E86&lt;=1,"PASS","FAIL"))</f>
        <v>PASS</v>
      </c>
      <c r="F87" s="6"/>
      <c r="H87"/>
    </row>
    <row r="88" spans="1:9" x14ac:dyDescent="0.25">
      <c r="A88" s="7"/>
      <c r="B88" s="33"/>
      <c r="C88" s="5"/>
      <c r="D88" s="5"/>
      <c r="E88" s="23"/>
      <c r="F88" s="6"/>
      <c r="H88"/>
    </row>
    <row r="89" spans="1:9" x14ac:dyDescent="0.25">
      <c r="A89" s="13" t="str">
        <f>$A$50&amp;"C"</f>
        <v>4C</v>
      </c>
      <c r="B89" s="67" t="s">
        <v>82</v>
      </c>
      <c r="C89" s="5"/>
      <c r="D89" s="5"/>
      <c r="E89" s="23"/>
      <c r="F89" s="6"/>
      <c r="H89"/>
    </row>
    <row r="90" spans="1:9" x14ac:dyDescent="0.25">
      <c r="A90" s="314"/>
      <c r="B90" s="311" t="s">
        <v>89</v>
      </c>
      <c r="C90" s="96" t="s">
        <v>336</v>
      </c>
      <c r="D90" s="96"/>
      <c r="E90" s="312">
        <f>(E21-2*E23)/E22</f>
        <v>18</v>
      </c>
      <c r="F90" s="313" t="s">
        <v>84</v>
      </c>
      <c r="H90"/>
    </row>
    <row r="91" spans="1:9" x14ac:dyDescent="0.25">
      <c r="A91" s="314"/>
      <c r="B91" s="311"/>
      <c r="C91" s="96" t="s">
        <v>337</v>
      </c>
      <c r="D91" s="96"/>
      <c r="E91" s="312">
        <f>(E20-2*E22)/E23</f>
        <v>38</v>
      </c>
      <c r="F91" s="313" t="s">
        <v>84</v>
      </c>
      <c r="H91"/>
    </row>
    <row r="92" spans="1:9" ht="33.75" customHeight="1" x14ac:dyDescent="0.25">
      <c r="A92" s="314"/>
      <c r="B92" s="311"/>
      <c r="C92" s="315" t="s">
        <v>91</v>
      </c>
      <c r="D92" s="96"/>
      <c r="E92" s="312"/>
      <c r="F92" s="313" t="s">
        <v>84</v>
      </c>
      <c r="H92"/>
    </row>
    <row r="93" spans="1:9" x14ac:dyDescent="0.25">
      <c r="A93" s="314"/>
      <c r="B93" s="319"/>
      <c r="C93" s="315" t="s">
        <v>91</v>
      </c>
      <c r="D93" s="96"/>
      <c r="E93" s="312">
        <f>SQRT(250/E24)</f>
        <v>0.84515425472851657</v>
      </c>
      <c r="F93" s="313"/>
      <c r="H93"/>
    </row>
    <row r="94" spans="1:9" x14ac:dyDescent="0.25">
      <c r="A94" s="314"/>
      <c r="B94" s="319"/>
      <c r="C94" s="315" t="s">
        <v>275</v>
      </c>
      <c r="D94" s="96"/>
      <c r="E94" s="312" t="str">
        <f>IF(E90&lt;=(29.3*E93),"Plastic",IF(E90&lt;=(33.5*E93),"Compact",IF(E90&lt;=(42*E93),"Semi-compact","Slender")))</f>
        <v>Plastic</v>
      </c>
      <c r="F94" s="313" t="s">
        <v>84</v>
      </c>
      <c r="G94" s="1">
        <f>IF(E90&lt;=(29.3*E93),1,IF(E90&lt;=(33.5*E93),2,IF(E90&lt;=(42*E93),3,4)))</f>
        <v>1</v>
      </c>
      <c r="H94"/>
    </row>
    <row r="95" spans="1:9" x14ac:dyDescent="0.25">
      <c r="A95" s="314"/>
      <c r="B95" s="311" t="s">
        <v>274</v>
      </c>
      <c r="C95" s="315" t="s">
        <v>276</v>
      </c>
      <c r="D95" s="96"/>
      <c r="E95" s="312" t="str">
        <f>IF(E91&lt;=(84*E93),"Plastic",IF(E91&lt;=(105*E93),"Compact",IF(E91&lt;=(126*E93),"Semi-compact","Slender")))</f>
        <v>Plastic</v>
      </c>
      <c r="F95" s="313" t="s">
        <v>84</v>
      </c>
      <c r="G95" s="1">
        <f>IF(E91&lt;=(84*E93),1,IF(E91&lt;=(105*E93),2,IF(E91&lt;=(126*E93),3,4)))</f>
        <v>1</v>
      </c>
      <c r="H95"/>
    </row>
    <row r="96" spans="1:9" x14ac:dyDescent="0.25">
      <c r="A96" s="310"/>
      <c r="B96" s="311" t="s">
        <v>85</v>
      </c>
      <c r="C96" s="96"/>
      <c r="D96" s="96"/>
      <c r="E96" s="312" t="str">
        <f>IF(G96=1,"Plastic",IF(G96=2,"Compact",IF(G96=3,"Semi-compact","Slender")))</f>
        <v>Plastic</v>
      </c>
      <c r="F96" s="313" t="s">
        <v>84</v>
      </c>
      <c r="G96" s="1">
        <f>MAX(G94,G95)</f>
        <v>1</v>
      </c>
      <c r="H96"/>
    </row>
    <row r="97" spans="1:8" x14ac:dyDescent="0.25">
      <c r="A97" s="310"/>
      <c r="B97" s="311"/>
      <c r="C97" s="315" t="s">
        <v>278</v>
      </c>
      <c r="D97" s="96"/>
      <c r="E97" s="312">
        <f>IF(G96&lt;=2,1,IF(G96&lt;=3,E34/E36,0))</f>
        <v>1</v>
      </c>
      <c r="F97" s="313"/>
      <c r="H97"/>
    </row>
    <row r="98" spans="1:8" x14ac:dyDescent="0.25">
      <c r="A98" s="310"/>
      <c r="B98" s="311"/>
      <c r="C98" s="315" t="s">
        <v>279</v>
      </c>
      <c r="D98" s="96"/>
      <c r="E98" s="312">
        <f>IF(G96&lt;=2,1,IF(G96&lt;=3,E35/E37,0))</f>
        <v>1</v>
      </c>
      <c r="F98" s="313"/>
      <c r="H98"/>
    </row>
    <row r="99" spans="1:8" ht="42" customHeight="1" x14ac:dyDescent="0.25">
      <c r="A99" s="310"/>
      <c r="B99" s="311" t="s">
        <v>97</v>
      </c>
      <c r="C99" s="96" t="s">
        <v>98</v>
      </c>
      <c r="D99" s="96" t="s">
        <v>7</v>
      </c>
      <c r="E99" s="312"/>
      <c r="F99" s="313" t="s">
        <v>183</v>
      </c>
      <c r="H99"/>
    </row>
    <row r="100" spans="1:8" ht="30" x14ac:dyDescent="0.25">
      <c r="A100" s="26"/>
      <c r="B100" s="69" t="s">
        <v>110</v>
      </c>
      <c r="C100" s="24" t="s">
        <v>280</v>
      </c>
      <c r="D100" s="24" t="s">
        <v>7</v>
      </c>
      <c r="E100" s="44">
        <f>MIN(E97*E36*E24/E42,1.2*E34*E24/E42)/10^6</f>
        <v>55.710889734834673</v>
      </c>
      <c r="F100" s="6"/>
      <c r="G100" s="27"/>
      <c r="H100"/>
    </row>
    <row r="101" spans="1:8" x14ac:dyDescent="0.25">
      <c r="A101" s="26"/>
      <c r="B101" s="33"/>
      <c r="C101" s="62" t="s">
        <v>172</v>
      </c>
      <c r="D101" s="65"/>
      <c r="E101" s="64">
        <f>ABS(E8)/E100</f>
        <v>0.26924718078269827</v>
      </c>
      <c r="F101" s="6"/>
      <c r="H101"/>
    </row>
    <row r="102" spans="1:8" x14ac:dyDescent="0.25">
      <c r="A102" s="26"/>
      <c r="B102" s="33"/>
      <c r="C102" s="5"/>
      <c r="D102" s="5"/>
      <c r="E102" s="28" t="str">
        <f>IF(E101&lt;=1,"PASS","FAIL")</f>
        <v>PASS</v>
      </c>
      <c r="F102" s="6"/>
      <c r="H102"/>
    </row>
    <row r="103" spans="1:8" ht="30" x14ac:dyDescent="0.25">
      <c r="A103" s="26"/>
      <c r="B103" s="69" t="s">
        <v>111</v>
      </c>
      <c r="C103" s="24" t="s">
        <v>281</v>
      </c>
      <c r="D103" s="24" t="s">
        <v>7</v>
      </c>
      <c r="E103" s="44">
        <f>MIN(E98*E37*E24/E42,1.2*E35*E24/E42)/10^6</f>
        <v>35.665459654184197</v>
      </c>
      <c r="F103" s="6"/>
      <c r="G103" s="27"/>
      <c r="H103"/>
    </row>
    <row r="104" spans="1:8" x14ac:dyDescent="0.25">
      <c r="A104" s="26"/>
      <c r="B104" s="33"/>
      <c r="C104" s="62" t="s">
        <v>172</v>
      </c>
      <c r="D104" s="65"/>
      <c r="E104" s="64">
        <f>ABS(E9)/E103</f>
        <v>0.33645998443180547</v>
      </c>
      <c r="F104" s="6"/>
      <c r="H104"/>
    </row>
    <row r="105" spans="1:8" x14ac:dyDescent="0.25">
      <c r="A105" s="26"/>
      <c r="B105" s="33"/>
      <c r="C105" s="5"/>
      <c r="D105" s="5"/>
      <c r="E105" s="28" t="str">
        <f>IF(E104&lt;=1,"PASS","FAIL")</f>
        <v>PASS</v>
      </c>
      <c r="F105" s="6"/>
      <c r="H105"/>
    </row>
    <row r="106" spans="1:8" x14ac:dyDescent="0.25">
      <c r="A106" s="7"/>
      <c r="B106" s="33"/>
      <c r="C106" s="5"/>
      <c r="D106" s="5"/>
      <c r="E106" s="23"/>
      <c r="F106" s="6"/>
      <c r="H106"/>
    </row>
    <row r="107" spans="1:8" x14ac:dyDescent="0.25">
      <c r="A107" s="13" t="str">
        <f>$A$50&amp;"D"</f>
        <v>4D</v>
      </c>
      <c r="B107" s="67" t="s">
        <v>100</v>
      </c>
      <c r="C107" s="5"/>
      <c r="D107" s="5"/>
      <c r="E107" s="23"/>
      <c r="F107" s="6"/>
      <c r="H107"/>
    </row>
    <row r="108" spans="1:8" x14ac:dyDescent="0.25">
      <c r="A108" s="314"/>
      <c r="B108" s="311" t="s">
        <v>103</v>
      </c>
      <c r="C108" s="96" t="s">
        <v>283</v>
      </c>
      <c r="D108" s="96" t="s">
        <v>34</v>
      </c>
      <c r="E108" s="312" t="s">
        <v>284</v>
      </c>
      <c r="F108" s="313" t="s">
        <v>184</v>
      </c>
      <c r="H108"/>
    </row>
    <row r="109" spans="1:8" x14ac:dyDescent="0.25">
      <c r="A109" s="314"/>
      <c r="B109" s="311"/>
      <c r="C109" s="96" t="s">
        <v>283</v>
      </c>
      <c r="D109" s="96" t="s">
        <v>34</v>
      </c>
      <c r="E109" s="312">
        <f>E28*E20/(E21+E20)</f>
        <v>1890.4129660128228</v>
      </c>
      <c r="F109" s="313"/>
      <c r="H109"/>
    </row>
    <row r="110" spans="1:8" x14ac:dyDescent="0.25">
      <c r="A110" s="314"/>
      <c r="B110" s="311"/>
      <c r="C110" s="96" t="s">
        <v>282</v>
      </c>
      <c r="D110" s="96" t="s">
        <v>34</v>
      </c>
      <c r="E110" s="312" t="s">
        <v>285</v>
      </c>
      <c r="F110" s="313"/>
      <c r="H110"/>
    </row>
    <row r="111" spans="1:8" x14ac:dyDescent="0.25">
      <c r="A111" s="314"/>
      <c r="B111" s="311"/>
      <c r="C111" s="96" t="s">
        <v>282</v>
      </c>
      <c r="D111" s="96" t="s">
        <v>34</v>
      </c>
      <c r="E111" s="312">
        <f>E28*E21/(E21+E20)</f>
        <v>945.20648300641142</v>
      </c>
      <c r="F111" s="313"/>
      <c r="H111"/>
    </row>
    <row r="112" spans="1:8" x14ac:dyDescent="0.25">
      <c r="A112" s="314"/>
      <c r="B112" s="311" t="s">
        <v>289</v>
      </c>
      <c r="C112" s="96" t="s">
        <v>272</v>
      </c>
      <c r="D112" s="96" t="s">
        <v>236</v>
      </c>
      <c r="E112" s="312">
        <f>E91</f>
        <v>38</v>
      </c>
      <c r="F112" s="313" t="s">
        <v>288</v>
      </c>
      <c r="G112" s="27">
        <f>67*E93</f>
        <v>56.625335066810614</v>
      </c>
      <c r="H112"/>
    </row>
    <row r="113" spans="1:8" ht="30" x14ac:dyDescent="0.25">
      <c r="A113" s="314"/>
      <c r="B113" s="311"/>
      <c r="C113" s="96"/>
      <c r="D113" s="96"/>
      <c r="E113" s="316" t="str">
        <f>IF(E112&lt;=67*E93,"D/Tw&lt;=67e, Webs not susceptible to web buckling","D/Tw&gt;67e, Webs are susceptible to web buckling")</f>
        <v>D/Tw&lt;=67e, Webs not susceptible to web buckling</v>
      </c>
      <c r="F113" s="313"/>
      <c r="H113"/>
    </row>
    <row r="114" spans="1:8" ht="33" customHeight="1" x14ac:dyDescent="0.25">
      <c r="A114" s="314"/>
      <c r="B114" s="311" t="s">
        <v>101</v>
      </c>
      <c r="C114" s="96" t="s">
        <v>102</v>
      </c>
      <c r="D114" s="96" t="s">
        <v>12</v>
      </c>
      <c r="E114" s="312"/>
      <c r="F114" s="313" t="s">
        <v>185</v>
      </c>
      <c r="H114"/>
    </row>
    <row r="115" spans="1:8" ht="30" x14ac:dyDescent="0.25">
      <c r="A115" s="26"/>
      <c r="B115" s="69" t="s">
        <v>376</v>
      </c>
      <c r="C115" s="24" t="s">
        <v>286</v>
      </c>
      <c r="D115" s="24" t="s">
        <v>12</v>
      </c>
      <c r="E115" s="44">
        <f>IF(E112&lt;=67*E93,E109*E24/SQRT(3)/E42/1000,0)</f>
        <v>347.27332016588343</v>
      </c>
      <c r="F115" s="6"/>
      <c r="G115" s="87"/>
      <c r="H115" s="27">
        <f>E115*0.6</f>
        <v>208.36399209953007</v>
      </c>
    </row>
    <row r="116" spans="1:8" x14ac:dyDescent="0.25">
      <c r="A116" s="26"/>
      <c r="B116" s="33"/>
      <c r="C116" s="62" t="s">
        <v>172</v>
      </c>
      <c r="D116" s="65"/>
      <c r="E116" s="64">
        <f>ABS(E5)/E115</f>
        <v>3.239523265025418E-2</v>
      </c>
      <c r="F116" s="6"/>
      <c r="H116" s="85">
        <f>H115/1.5</f>
        <v>138.90932806635337</v>
      </c>
    </row>
    <row r="117" spans="1:8" x14ac:dyDescent="0.25">
      <c r="A117" s="26"/>
      <c r="B117" s="33"/>
      <c r="C117" s="5"/>
      <c r="D117" s="5"/>
      <c r="E117" s="28" t="str">
        <f>IF(E116&lt;=1,"PASS","FAIL")</f>
        <v>PASS</v>
      </c>
      <c r="F117" s="6"/>
    </row>
    <row r="118" spans="1:8" ht="30" x14ac:dyDescent="0.25">
      <c r="A118" s="26"/>
      <c r="B118" s="69" t="s">
        <v>375</v>
      </c>
      <c r="C118" s="24" t="s">
        <v>287</v>
      </c>
      <c r="D118" s="24" t="s">
        <v>12</v>
      </c>
      <c r="E118" s="44">
        <f>IF(E90&lt;=67*E93,E111*E24/SQRT(3)/E42/1000,0)</f>
        <v>173.63666008294172</v>
      </c>
      <c r="F118" s="6"/>
      <c r="G118" s="87"/>
      <c r="H118" s="27">
        <f>E118*0.6</f>
        <v>104.18199604976503</v>
      </c>
    </row>
    <row r="119" spans="1:8" x14ac:dyDescent="0.25">
      <c r="A119" s="26"/>
      <c r="B119" s="33"/>
      <c r="C119" s="62" t="s">
        <v>172</v>
      </c>
      <c r="D119" s="65"/>
      <c r="E119" s="64">
        <f>ABS(E6)/E118</f>
        <v>8.6387287067344484E-2</v>
      </c>
      <c r="F119" s="6"/>
      <c r="H119" s="85">
        <f>H118/1.5</f>
        <v>69.454664033176684</v>
      </c>
    </row>
    <row r="120" spans="1:8" x14ac:dyDescent="0.25">
      <c r="A120" s="7"/>
      <c r="B120" s="33"/>
      <c r="C120" s="5"/>
      <c r="D120" s="5"/>
      <c r="E120" s="28" t="str">
        <f>IF(E119&lt;=1,"PASS","FAIL")</f>
        <v>PASS</v>
      </c>
      <c r="F120" s="6"/>
      <c r="H120"/>
    </row>
    <row r="121" spans="1:8" x14ac:dyDescent="0.25">
      <c r="A121" s="7"/>
      <c r="B121" s="33"/>
      <c r="C121" s="5"/>
      <c r="D121" s="5"/>
      <c r="E121" s="25"/>
      <c r="F121" s="6"/>
      <c r="H121"/>
    </row>
    <row r="122" spans="1:8" x14ac:dyDescent="0.25">
      <c r="A122" s="11">
        <v>5</v>
      </c>
      <c r="B122" s="59" t="s">
        <v>105</v>
      </c>
      <c r="C122" s="4"/>
      <c r="D122" s="4"/>
      <c r="E122" s="36"/>
      <c r="F122" s="12"/>
      <c r="H122"/>
    </row>
    <row r="123" spans="1:8" x14ac:dyDescent="0.25">
      <c r="A123" s="13" t="str">
        <f>$A$122&amp;"A"</f>
        <v>5A</v>
      </c>
      <c r="B123" s="67" t="s">
        <v>106</v>
      </c>
      <c r="C123" s="5"/>
      <c r="D123" s="5"/>
      <c r="E123" s="23"/>
      <c r="F123" s="6" t="s">
        <v>186</v>
      </c>
      <c r="H123"/>
    </row>
    <row r="124" spans="1:8" x14ac:dyDescent="0.25">
      <c r="A124" s="13"/>
      <c r="B124" s="33" t="s">
        <v>89</v>
      </c>
      <c r="C124" s="5" t="s">
        <v>112</v>
      </c>
      <c r="D124" s="5" t="s">
        <v>236</v>
      </c>
      <c r="F124" s="6" t="s">
        <v>108</v>
      </c>
      <c r="H124"/>
    </row>
    <row r="125" spans="1:8" x14ac:dyDescent="0.25">
      <c r="A125" s="13"/>
      <c r="B125" s="33"/>
      <c r="C125" s="5" t="s">
        <v>298</v>
      </c>
      <c r="D125" s="5" t="s">
        <v>236</v>
      </c>
      <c r="E125" s="23">
        <f>ABS(E5)/E115</f>
        <v>3.239523265025418E-2</v>
      </c>
      <c r="F125" s="6"/>
      <c r="H125"/>
    </row>
    <row r="126" spans="1:8" x14ac:dyDescent="0.25">
      <c r="A126" s="13"/>
      <c r="B126" s="33"/>
      <c r="C126" s="5"/>
      <c r="D126" s="5"/>
      <c r="E126" s="23" t="str">
        <f>IF(E125&lt;=0.6,"V/Vd &lt;= 0.6","V/Vd &gt; 0.6")</f>
        <v>V/Vd &lt;= 0.6</v>
      </c>
      <c r="F126" s="6" t="s">
        <v>108</v>
      </c>
      <c r="H126"/>
    </row>
    <row r="127" spans="1:8" x14ac:dyDescent="0.25">
      <c r="A127" s="13"/>
      <c r="B127" s="33"/>
      <c r="C127" s="5" t="s">
        <v>299</v>
      </c>
      <c r="D127" s="5" t="s">
        <v>236</v>
      </c>
      <c r="E127" s="23">
        <f>ABS(E6)/E118</f>
        <v>8.6387287067344484E-2</v>
      </c>
      <c r="F127" s="6"/>
      <c r="H127"/>
    </row>
    <row r="128" spans="1:8" x14ac:dyDescent="0.25">
      <c r="A128" s="13"/>
      <c r="B128" s="33"/>
      <c r="C128" s="5" t="s">
        <v>299</v>
      </c>
      <c r="D128" s="5" t="s">
        <v>236</v>
      </c>
      <c r="E128" s="23" t="str">
        <f>IF(E127&lt;=0.6,"V/Vd &lt;= 0.6","V/Vd &gt; 0.6")</f>
        <v>V/Vd &lt;= 0.6</v>
      </c>
      <c r="F128" s="6" t="s">
        <v>108</v>
      </c>
      <c r="H128"/>
    </row>
    <row r="129" spans="1:8" ht="39" customHeight="1" x14ac:dyDescent="0.25">
      <c r="A129" s="7"/>
      <c r="B129" s="33"/>
      <c r="C129" s="14" t="s">
        <v>109</v>
      </c>
      <c r="D129" s="5" t="s">
        <v>236</v>
      </c>
      <c r="E129" s="23"/>
      <c r="F129" s="6" t="s">
        <v>108</v>
      </c>
      <c r="H129"/>
    </row>
    <row r="130" spans="1:8" x14ac:dyDescent="0.25">
      <c r="A130" s="7"/>
      <c r="B130" s="33"/>
      <c r="C130" s="14" t="s">
        <v>301</v>
      </c>
      <c r="D130" s="5" t="s">
        <v>236</v>
      </c>
      <c r="E130" s="23">
        <f>IF(E125&lt;=0.6,0,(2*E125-1)^2)</f>
        <v>0</v>
      </c>
      <c r="F130" s="6"/>
      <c r="H130"/>
    </row>
    <row r="131" spans="1:8" x14ac:dyDescent="0.25">
      <c r="A131" s="7"/>
      <c r="B131" s="33"/>
      <c r="C131" s="14" t="s">
        <v>300</v>
      </c>
      <c r="D131" s="5" t="s">
        <v>236</v>
      </c>
      <c r="E131" s="23">
        <f>IF(E127&lt;=0.6,0,(2*E125-1)^2)</f>
        <v>0</v>
      </c>
      <c r="F131" s="6"/>
      <c r="H131"/>
    </row>
    <row r="132" spans="1:8" ht="30" x14ac:dyDescent="0.25">
      <c r="A132" s="7"/>
      <c r="B132" s="33" t="s">
        <v>294</v>
      </c>
      <c r="C132" s="5" t="s">
        <v>290</v>
      </c>
      <c r="D132" s="5" t="s">
        <v>36</v>
      </c>
      <c r="E132" s="40">
        <f>((E21*E20^3)-((E21)*(E20-2*E22)^3))/(6*E20)</f>
        <v>95083.333333333328</v>
      </c>
      <c r="F132" s="6"/>
    </row>
    <row r="133" spans="1:8" ht="30" x14ac:dyDescent="0.25">
      <c r="A133" s="7"/>
      <c r="B133" s="33" t="s">
        <v>295</v>
      </c>
      <c r="C133" s="5" t="s">
        <v>291</v>
      </c>
      <c r="D133" s="5" t="s">
        <v>36</v>
      </c>
      <c r="E133" s="40">
        <f>((E20*E21^3)-((E20)*(E21-2*E23)^3))/(6*E21)</f>
        <v>90333.333333333328</v>
      </c>
      <c r="F133" s="6"/>
    </row>
    <row r="134" spans="1:8" ht="30" x14ac:dyDescent="0.25">
      <c r="A134" s="7"/>
      <c r="B134" s="33" t="s">
        <v>296</v>
      </c>
      <c r="C134" s="5" t="s">
        <v>292</v>
      </c>
      <c r="D134" s="5" t="s">
        <v>36</v>
      </c>
      <c r="E134" s="40">
        <f>(E21*E20^2/4)-((E21)*(E20-2*E22)^2/4)</f>
        <v>97500</v>
      </c>
      <c r="F134" s="6"/>
    </row>
    <row r="135" spans="1:8" ht="30" x14ac:dyDescent="0.25">
      <c r="A135" s="7"/>
      <c r="B135" s="33" t="s">
        <v>297</v>
      </c>
      <c r="C135" s="5" t="s">
        <v>293</v>
      </c>
      <c r="D135" s="5" t="s">
        <v>36</v>
      </c>
      <c r="E135" s="40">
        <f>(E20*E21^2/4)-((E20)*(E21-2*E23)^2/4)</f>
        <v>95000</v>
      </c>
      <c r="F135" s="6"/>
    </row>
    <row r="136" spans="1:8" ht="35.25" customHeight="1" x14ac:dyDescent="0.25">
      <c r="A136" s="7"/>
      <c r="B136" s="33" t="s">
        <v>133</v>
      </c>
      <c r="C136" s="1" t="s">
        <v>134</v>
      </c>
      <c r="D136" s="1" t="s">
        <v>7</v>
      </c>
      <c r="F136" s="6" t="s">
        <v>108</v>
      </c>
    </row>
    <row r="137" spans="1:8" x14ac:dyDescent="0.25">
      <c r="A137" s="7"/>
      <c r="B137" s="33"/>
      <c r="C137" s="1" t="s">
        <v>302</v>
      </c>
      <c r="D137" s="1" t="s">
        <v>7</v>
      </c>
      <c r="E137" s="46">
        <f>MIN(E97*E134*E24/E42,1.2*E132*E24/E42)/10^6</f>
        <v>31.02272727272727</v>
      </c>
      <c r="F137" s="6"/>
    </row>
    <row r="138" spans="1:8" x14ac:dyDescent="0.25">
      <c r="A138" s="7"/>
      <c r="B138" s="33"/>
      <c r="C138" s="1" t="s">
        <v>303</v>
      </c>
      <c r="D138" s="1" t="s">
        <v>7</v>
      </c>
      <c r="E138" s="46">
        <f>MIN(E97*E135*E24/E42,1.2*E133*E24/E42)/10^6</f>
        <v>30.227272727272727</v>
      </c>
      <c r="F138" s="6"/>
    </row>
    <row r="139" spans="1:8" ht="83.25" customHeight="1" x14ac:dyDescent="0.25">
      <c r="A139" s="7"/>
      <c r="B139" s="33" t="s">
        <v>137</v>
      </c>
      <c r="C139" s="5" t="s">
        <v>107</v>
      </c>
      <c r="D139" s="5" t="s">
        <v>7</v>
      </c>
      <c r="E139" s="23"/>
      <c r="F139" s="6" t="s">
        <v>108</v>
      </c>
    </row>
    <row r="140" spans="1:8" ht="30" x14ac:dyDescent="0.25">
      <c r="A140" s="7"/>
      <c r="B140" s="69" t="s">
        <v>219</v>
      </c>
      <c r="C140" s="24" t="s">
        <v>214</v>
      </c>
      <c r="D140" s="24" t="s">
        <v>7</v>
      </c>
      <c r="E140" s="44">
        <f>IF(E125&lt;=0.6,E100,IF(G96&lt;=2,MIN(E100-E130*(E100-E137),1.2*E34*E24/E42/10^6),IF(G96&lt;=3,E34*E24/E42/10^6,0)))</f>
        <v>55.710889734834673</v>
      </c>
      <c r="F140" s="6"/>
      <c r="H140"/>
    </row>
    <row r="141" spans="1:8" x14ac:dyDescent="0.25">
      <c r="A141" s="7"/>
      <c r="B141" s="58"/>
      <c r="C141" s="62" t="s">
        <v>172</v>
      </c>
      <c r="D141" s="65"/>
      <c r="E141" s="64">
        <f>ABS(E8)/E140</f>
        <v>0.26924718078269827</v>
      </c>
      <c r="F141" s="6"/>
    </row>
    <row r="142" spans="1:8" x14ac:dyDescent="0.25">
      <c r="A142" s="7"/>
      <c r="B142" s="58"/>
      <c r="C142" s="5"/>
      <c r="D142" s="5"/>
      <c r="E142" s="28" t="str">
        <f>IF(E141&lt;=1,"PASS","FAIL")</f>
        <v>PASS</v>
      </c>
      <c r="F142" s="6"/>
    </row>
    <row r="143" spans="1:8" ht="30" x14ac:dyDescent="0.25">
      <c r="A143" s="7"/>
      <c r="B143" s="69" t="s">
        <v>220</v>
      </c>
      <c r="C143" s="24" t="s">
        <v>215</v>
      </c>
      <c r="D143" s="24" t="s">
        <v>7</v>
      </c>
      <c r="E143" s="44">
        <f>IF(E127&lt;=0.6,E103,IF(G96&lt;=2,MIN(E103-E131*(E103-E138),1.2*E35*E24/E42/10^6),IF(G96&lt;=3,E35*E24/E42/10^6,0)))</f>
        <v>35.665459654184197</v>
      </c>
      <c r="F143" s="6"/>
      <c r="H143"/>
    </row>
    <row r="144" spans="1:8" x14ac:dyDescent="0.25">
      <c r="A144" s="5"/>
      <c r="B144" s="58"/>
      <c r="C144" s="62" t="s">
        <v>172</v>
      </c>
      <c r="D144" s="65"/>
      <c r="E144" s="64">
        <f>ABS(E9)/E143</f>
        <v>0.33645998443180547</v>
      </c>
      <c r="F144" s="6"/>
    </row>
    <row r="145" spans="1:6" x14ac:dyDescent="0.25">
      <c r="A145" s="5"/>
      <c r="B145" s="58"/>
      <c r="C145" s="5"/>
      <c r="D145" s="5"/>
      <c r="E145" s="28" t="str">
        <f>IF(E144&lt;=1,"PASS","FAIL")</f>
        <v>PASS</v>
      </c>
      <c r="F145" s="6"/>
    </row>
    <row r="146" spans="1:6" x14ac:dyDescent="0.25">
      <c r="A146"/>
      <c r="B146" s="33"/>
      <c r="E146" s="38"/>
      <c r="F146" s="6"/>
    </row>
    <row r="147" spans="1:6" x14ac:dyDescent="0.25">
      <c r="A147" s="13" t="str">
        <f>$A$122&amp;"B"</f>
        <v>5B</v>
      </c>
      <c r="B147" s="67" t="s">
        <v>138</v>
      </c>
      <c r="C147" s="5"/>
      <c r="D147" s="5"/>
      <c r="E147" s="23"/>
      <c r="F147" s="6" t="s">
        <v>187</v>
      </c>
    </row>
    <row r="148" spans="1:6" x14ac:dyDescent="0.25">
      <c r="B148" s="33"/>
      <c r="C148" s="1" t="s">
        <v>143</v>
      </c>
      <c r="D148" s="1" t="s">
        <v>236</v>
      </c>
      <c r="E148" s="35" t="s">
        <v>144</v>
      </c>
      <c r="F148" s="6"/>
    </row>
    <row r="149" spans="1:6" x14ac:dyDescent="0.25">
      <c r="B149" s="33"/>
      <c r="C149" s="1" t="s">
        <v>143</v>
      </c>
      <c r="D149" s="1" t="s">
        <v>236</v>
      </c>
      <c r="E149" s="45">
        <f>ABS(E4)/IF(E4&gt;0,E57,E85)</f>
        <v>0.20973224207117916</v>
      </c>
      <c r="F149" s="6"/>
    </row>
    <row r="150" spans="1:6" x14ac:dyDescent="0.25">
      <c r="B150" s="33"/>
      <c r="C150" s="1" t="s">
        <v>305</v>
      </c>
      <c r="D150" s="1" t="s">
        <v>236</v>
      </c>
      <c r="E150" s="45" t="s">
        <v>368</v>
      </c>
      <c r="F150" s="18" t="s">
        <v>306</v>
      </c>
    </row>
    <row r="151" spans="1:6" x14ac:dyDescent="0.25">
      <c r="B151" s="33"/>
      <c r="C151" s="1" t="s">
        <v>305</v>
      </c>
      <c r="D151" s="1" t="s">
        <v>236</v>
      </c>
      <c r="E151" s="45">
        <f>MIN((E28-(2*E20*E23))/E28,0.5)</f>
        <v>0.29468673919141475</v>
      </c>
      <c r="F151" s="18"/>
    </row>
    <row r="152" spans="1:6" x14ac:dyDescent="0.25">
      <c r="B152" s="33"/>
      <c r="C152" s="1" t="s">
        <v>304</v>
      </c>
      <c r="D152" s="1" t="s">
        <v>236</v>
      </c>
      <c r="E152" s="45" t="s">
        <v>369</v>
      </c>
      <c r="F152" s="18" t="s">
        <v>306</v>
      </c>
    </row>
    <row r="153" spans="1:6" x14ac:dyDescent="0.25">
      <c r="B153" s="33"/>
      <c r="C153" s="1" t="s">
        <v>304</v>
      </c>
      <c r="D153" s="1" t="s">
        <v>236</v>
      </c>
      <c r="E153" s="45">
        <f>MIN((E28-(2*E21*E22))/E28,0.5)</f>
        <v>0.5</v>
      </c>
      <c r="F153" s="18"/>
    </row>
    <row r="154" spans="1:6" ht="39.75" customHeight="1" x14ac:dyDescent="0.25">
      <c r="A154"/>
      <c r="B154" s="33" t="s">
        <v>145</v>
      </c>
      <c r="C154" s="1" t="s">
        <v>141</v>
      </c>
      <c r="D154" s="1" t="s">
        <v>7</v>
      </c>
      <c r="E154" s="38"/>
      <c r="F154" s="18" t="s">
        <v>306</v>
      </c>
    </row>
    <row r="155" spans="1:6" x14ac:dyDescent="0.25">
      <c r="B155" s="33"/>
      <c r="C155" s="1" t="s">
        <v>141</v>
      </c>
      <c r="D155" s="1" t="s">
        <v>7</v>
      </c>
      <c r="E155" s="46">
        <f>MIN((E140*(1-E149))/(1-0.5*E151),E140)</f>
        <v>51.634524793517528</v>
      </c>
      <c r="F155" s="6"/>
    </row>
    <row r="156" spans="1:6" ht="45" x14ac:dyDescent="0.25">
      <c r="A156"/>
      <c r="B156" s="33" t="s">
        <v>145</v>
      </c>
      <c r="C156" s="1" t="s">
        <v>142</v>
      </c>
      <c r="D156" s="1" t="s">
        <v>7</v>
      </c>
      <c r="E156" s="38"/>
      <c r="F156" s="18" t="s">
        <v>306</v>
      </c>
    </row>
    <row r="157" spans="1:6" x14ac:dyDescent="0.25">
      <c r="B157" s="33"/>
      <c r="C157" s="1" t="s">
        <v>146</v>
      </c>
      <c r="D157" s="1" t="s">
        <v>7</v>
      </c>
      <c r="E157" s="46">
        <f>MIN((E143*(1-E149))/(1-0.5*E153),E143)</f>
        <v>35.665459654184197</v>
      </c>
      <c r="F157" s="6"/>
    </row>
    <row r="158" spans="1:6" ht="36.75" customHeight="1" x14ac:dyDescent="0.25">
      <c r="B158" s="33"/>
      <c r="C158" s="48" t="s">
        <v>147</v>
      </c>
      <c r="E158" s="46"/>
      <c r="F158" s="6"/>
    </row>
    <row r="159" spans="1:6" x14ac:dyDescent="0.25">
      <c r="B159" s="33"/>
      <c r="C159" s="48" t="s">
        <v>147</v>
      </c>
      <c r="E159" s="45">
        <f>MIN(1.66/(1-1.13*E149^2),6)</f>
        <v>1.7468278295115764</v>
      </c>
      <c r="F159" s="6" t="s">
        <v>149</v>
      </c>
    </row>
    <row r="160" spans="1:6" x14ac:dyDescent="0.25">
      <c r="B160" s="33"/>
      <c r="C160" s="49" t="s">
        <v>148</v>
      </c>
      <c r="E160" s="45">
        <f>E159</f>
        <v>1.7468278295115764</v>
      </c>
      <c r="F160" s="6" t="s">
        <v>149</v>
      </c>
    </row>
    <row r="161" spans="1:11" ht="48" customHeight="1" x14ac:dyDescent="0.25">
      <c r="A161"/>
      <c r="B161" s="33"/>
      <c r="C161" s="1" t="s">
        <v>139</v>
      </c>
      <c r="E161" s="38"/>
      <c r="F161" s="6" t="s">
        <v>189</v>
      </c>
    </row>
    <row r="162" spans="1:11" x14ac:dyDescent="0.25">
      <c r="A162"/>
      <c r="B162" s="70" t="s">
        <v>199</v>
      </c>
      <c r="C162" s="62" t="s">
        <v>139</v>
      </c>
      <c r="D162" s="65"/>
      <c r="E162" s="64">
        <f>(ABS(E9)/E157)^E159+(ABS(E8)/E155)^E160</f>
        <v>0.26455680377466262</v>
      </c>
      <c r="F162" s="80" t="str">
        <f>FIXED((ABS(E9)/E157)^E159,2)&amp;" + "&amp;FIXED((ABS(E8)/E155)^E160,2)</f>
        <v>0.15 + 0.12</v>
      </c>
    </row>
    <row r="163" spans="1:11" x14ac:dyDescent="0.25">
      <c r="A163"/>
      <c r="B163" s="33"/>
      <c r="E163" s="28" t="str">
        <f>IF(E162&lt;=1,"PASS","FAIL")</f>
        <v>PASS</v>
      </c>
      <c r="F163" s="6"/>
    </row>
    <row r="164" spans="1:11" x14ac:dyDescent="0.25">
      <c r="A164"/>
      <c r="B164" s="33"/>
      <c r="E164" s="38"/>
      <c r="F164" s="6"/>
    </row>
    <row r="165" spans="1:11" ht="48" customHeight="1" x14ac:dyDescent="0.25">
      <c r="A165"/>
      <c r="B165" s="33"/>
      <c r="C165" s="1" t="s">
        <v>140</v>
      </c>
      <c r="E165" s="38"/>
      <c r="F165" s="16" t="s">
        <v>211</v>
      </c>
      <c r="I165" s="30"/>
    </row>
    <row r="166" spans="1:11" x14ac:dyDescent="0.25">
      <c r="B166" s="70" t="s">
        <v>199</v>
      </c>
      <c r="C166" s="62" t="s">
        <v>140</v>
      </c>
      <c r="D166" s="65"/>
      <c r="E166" s="64">
        <f>(ABS(E4)/IF(E4&gt;0,E57,E85))+ABS(E9)/E143+ABS(E8)/E140</f>
        <v>0.81543940728568287</v>
      </c>
      <c r="F166" s="80" t="str">
        <f>FIXED(ABS(E4)/IF(E4&gt;0,E57,E85),2)&amp;" + "&amp;FIXED(ABS(E9)/E143,2)&amp;" + "&amp;FIXED(ABS(E8)/E140,2)</f>
        <v>0.21 + 0.34 + 0.27</v>
      </c>
    </row>
    <row r="167" spans="1:11" x14ac:dyDescent="0.25">
      <c r="B167" s="33"/>
      <c r="E167" s="28" t="str">
        <f>IF(E166&lt;=1,"PASS","FAIL")</f>
        <v>PASS</v>
      </c>
      <c r="F167" s="6"/>
    </row>
    <row r="168" spans="1:11" x14ac:dyDescent="0.25">
      <c r="B168" s="33"/>
      <c r="F168" s="6"/>
    </row>
    <row r="169" spans="1:11" ht="30" x14ac:dyDescent="0.25">
      <c r="A169" s="13" t="str">
        <f>$A$122&amp;"C"</f>
        <v>5C</v>
      </c>
      <c r="B169" s="67" t="s">
        <v>150</v>
      </c>
      <c r="C169" s="5"/>
      <c r="D169" s="5"/>
      <c r="E169" s="23"/>
      <c r="F169" s="6" t="s">
        <v>190</v>
      </c>
      <c r="G169" s="1" t="s">
        <v>155</v>
      </c>
      <c r="H169"/>
      <c r="I169" s="81"/>
      <c r="J169" s="81"/>
      <c r="K169" s="81"/>
    </row>
    <row r="170" spans="1:11" x14ac:dyDescent="0.25">
      <c r="B170" s="33"/>
      <c r="C170" s="49" t="s">
        <v>153</v>
      </c>
      <c r="E170" s="35">
        <f>IF(E4&gt;0,0.8,0)</f>
        <v>0</v>
      </c>
      <c r="F170" s="6">
        <v>1</v>
      </c>
    </row>
    <row r="171" spans="1:11" ht="30" x14ac:dyDescent="0.25">
      <c r="B171" s="33" t="s">
        <v>151</v>
      </c>
      <c r="C171" s="1" t="s">
        <v>152</v>
      </c>
      <c r="D171" s="1" t="s">
        <v>7</v>
      </c>
      <c r="F171" s="6" t="s">
        <v>190</v>
      </c>
    </row>
    <row r="172" spans="1:11" ht="54" customHeight="1" x14ac:dyDescent="0.25">
      <c r="B172" s="33"/>
      <c r="C172" s="1" t="s">
        <v>156</v>
      </c>
      <c r="E172" s="45"/>
      <c r="F172" s="6"/>
    </row>
    <row r="173" spans="1:11" x14ac:dyDescent="0.25">
      <c r="B173" s="33"/>
      <c r="C173" s="62" t="s">
        <v>156</v>
      </c>
      <c r="D173" s="65"/>
      <c r="E173" s="64">
        <f>IF(E4&lt;=0,0,MAX((-E170*(E4*10^3/E28)/(IF(ABS(MIN(E8,E9))&gt;MAX(E8,E9),ABS(MIN(E8,E9)),ABS(MAX(E8,E9)))*10^6/IF(IF(ABS(MIN(E8,E9))&gt;MAX(E8,E9),(MIN(E8,E9)),(MAX(E8,E9)))=E8,E34,E35)))+(ABS(E9)/E103)+(ABS(E8)/E100),0))</f>
        <v>0</v>
      </c>
      <c r="F173" s="106" t="str">
        <f>IF(E4&lt;=0,"",FIXED((-E170*(E4*10^3/E28)/(IF(ABS(MIN(E8,E9))&gt;MAX(E8,E9),ABS(MIN(E8,E9)),ABS(MAX(E8,E9)))*10^6/IF(IF(ABS(MIN(E8,E9))&gt;MAX(E8,E9),(MIN(E8,E9)),(MAX(E8,E9)))=E8,E34,E35))),2)&amp;" + "&amp;FIXED((ABS(E9)/E103),2)&amp;" + "&amp;FIXED((ABS(E8)/E100),2))</f>
        <v/>
      </c>
    </row>
    <row r="174" spans="1:11" x14ac:dyDescent="0.25">
      <c r="B174" s="33"/>
      <c r="E174" s="28" t="str">
        <f>IF(E4&lt;=0,"NOT APPLICABLE",IF(E173&lt;=1,"PASS","FAIL"))</f>
        <v>NOT APPLICABLE</v>
      </c>
      <c r="F174" s="6"/>
    </row>
    <row r="175" spans="1:11" x14ac:dyDescent="0.25">
      <c r="B175" s="33"/>
      <c r="F175" s="6"/>
    </row>
    <row r="176" spans="1:11" ht="30" x14ac:dyDescent="0.25">
      <c r="A176" s="13" t="str">
        <f>$A$122&amp;"D"</f>
        <v>5D</v>
      </c>
      <c r="B176" s="67" t="s">
        <v>154</v>
      </c>
      <c r="C176" s="5"/>
      <c r="D176" s="5"/>
      <c r="E176" s="23"/>
      <c r="F176" s="6" t="s">
        <v>191</v>
      </c>
      <c r="H176"/>
    </row>
    <row r="177" spans="2:6" x14ac:dyDescent="0.25">
      <c r="B177" s="33" t="s">
        <v>163</v>
      </c>
      <c r="C177" s="1" t="s">
        <v>158</v>
      </c>
      <c r="E177" s="45">
        <f>IF(ABS(E9)&gt;0.2*E103,0.9,1)</f>
        <v>0.9</v>
      </c>
      <c r="F177" s="6" t="s">
        <v>160</v>
      </c>
    </row>
    <row r="178" spans="2:6" x14ac:dyDescent="0.25">
      <c r="B178" s="33" t="s">
        <v>163</v>
      </c>
      <c r="C178" s="1" t="s">
        <v>159</v>
      </c>
      <c r="E178" s="45">
        <f>IF(ABS(E8)&gt;0.1*E100,0.9,1)</f>
        <v>0.9</v>
      </c>
      <c r="F178" s="6" t="s">
        <v>160</v>
      </c>
    </row>
    <row r="179" spans="2:6" ht="30" x14ac:dyDescent="0.25">
      <c r="B179" s="33" t="s">
        <v>164</v>
      </c>
      <c r="C179" s="1" t="s">
        <v>165</v>
      </c>
      <c r="E179" s="45">
        <f>E178</f>
        <v>0.9</v>
      </c>
      <c r="F179" s="6" t="s">
        <v>160</v>
      </c>
    </row>
    <row r="180" spans="2:6" x14ac:dyDescent="0.25">
      <c r="B180" s="33"/>
      <c r="C180" s="1" t="s">
        <v>161</v>
      </c>
      <c r="E180" s="46">
        <f>IF(E4&gt;0,0,ABS(E4)/E83)</f>
        <v>0.20973224207117916</v>
      </c>
      <c r="F180" s="6"/>
    </row>
    <row r="181" spans="2:6" x14ac:dyDescent="0.25">
      <c r="B181" s="33"/>
      <c r="C181" s="1" t="s">
        <v>162</v>
      </c>
      <c r="E181" s="46">
        <f>IF(E4&gt;0,0,ABS(E4)/E84)</f>
        <v>0.1242111114374157</v>
      </c>
      <c r="F181" s="6"/>
    </row>
    <row r="182" spans="2:6" ht="30" x14ac:dyDescent="0.25">
      <c r="B182" s="33" t="s">
        <v>56</v>
      </c>
      <c r="C182" s="14" t="s">
        <v>166</v>
      </c>
      <c r="E182" s="46">
        <f>E70</f>
        <v>1.2421265827496548</v>
      </c>
      <c r="F182" s="6"/>
    </row>
    <row r="183" spans="2:6" ht="30" x14ac:dyDescent="0.25">
      <c r="B183" s="33" t="s">
        <v>56</v>
      </c>
      <c r="C183" s="14" t="s">
        <v>167</v>
      </c>
      <c r="E183" s="46">
        <f>E69</f>
        <v>0.72463068744125592</v>
      </c>
      <c r="F183" s="6"/>
    </row>
    <row r="184" spans="2:6" ht="30" x14ac:dyDescent="0.25">
      <c r="B184" s="33" t="s">
        <v>56</v>
      </c>
      <c r="C184" s="14" t="s">
        <v>171</v>
      </c>
      <c r="E184" s="46">
        <f>MAX(E182:E183)</f>
        <v>1.2421265827496548</v>
      </c>
      <c r="F184" s="6"/>
    </row>
    <row r="185" spans="2:6" x14ac:dyDescent="0.25">
      <c r="B185" s="33"/>
      <c r="C185" s="1" t="s">
        <v>168</v>
      </c>
      <c r="F185" s="6" t="s">
        <v>191</v>
      </c>
    </row>
    <row r="186" spans="2:6" x14ac:dyDescent="0.25">
      <c r="B186" s="33"/>
      <c r="C186" s="1" t="s">
        <v>168</v>
      </c>
      <c r="E186" s="56">
        <f>MIN(1+(E182-0.2)*E180,1+0.8*E180)</f>
        <v>1.1677857936569433</v>
      </c>
      <c r="F186" s="6"/>
    </row>
    <row r="187" spans="2:6" x14ac:dyDescent="0.25">
      <c r="B187" s="33"/>
      <c r="C187" s="1" t="s">
        <v>169</v>
      </c>
      <c r="F187" s="6" t="s">
        <v>191</v>
      </c>
    </row>
    <row r="188" spans="2:6" x14ac:dyDescent="0.25">
      <c r="B188" s="33"/>
      <c r="C188" s="1" t="s">
        <v>169</v>
      </c>
      <c r="E188" s="56">
        <f>MIN(1+(E183-0.2)*E181,1+0.8*E181)</f>
        <v>1.0651649607812539</v>
      </c>
      <c r="F188" s="6"/>
    </row>
    <row r="189" spans="2:6" ht="68.25" customHeight="1" x14ac:dyDescent="0.25">
      <c r="B189" s="33"/>
      <c r="C189" s="1" t="s">
        <v>170</v>
      </c>
      <c r="F189" s="6" t="s">
        <v>191</v>
      </c>
    </row>
    <row r="190" spans="2:6" x14ac:dyDescent="0.25">
      <c r="B190" s="33"/>
      <c r="C190" s="1" t="s">
        <v>170</v>
      </c>
      <c r="E190" s="56">
        <f>MAX(1-(0.1*E184*E180)/(E179-0.25),1-(0.1*E180)/(E179-0.25))</f>
        <v>0.9677335012198186</v>
      </c>
      <c r="F190" s="6"/>
    </row>
    <row r="191" spans="2:6" x14ac:dyDescent="0.25">
      <c r="B191" s="33"/>
      <c r="F191" s="6"/>
    </row>
    <row r="192" spans="2:6" ht="50.25" customHeight="1" x14ac:dyDescent="0.25">
      <c r="B192" s="33"/>
      <c r="C192" s="1" t="s">
        <v>157</v>
      </c>
      <c r="F192" s="6" t="s">
        <v>191</v>
      </c>
    </row>
    <row r="193" spans="1:11" x14ac:dyDescent="0.25">
      <c r="B193" s="70" t="s">
        <v>199</v>
      </c>
      <c r="C193" s="62" t="s">
        <v>157</v>
      </c>
      <c r="D193" s="65"/>
      <c r="E193" s="64">
        <f>IF(E4&gt;0,0,(ABS(E4)/E85))+(E186*E177*ABS(E9)/E103)+(E190*ABS(E8)/E100)</f>
        <v>0.82391362998173401</v>
      </c>
      <c r="F193" s="80" t="str">
        <f>IF(E4&gt;0,0,FIXED((ABS(E4)/E85),2))&amp;" + "&amp;FIXED((E186*E177*ABS(E9)/E103),2)&amp;" + "&amp;FIXED((E190*ABS(E8)/E100),2)</f>
        <v>0.21 + 0.35 + 0.26</v>
      </c>
      <c r="G193" s="57"/>
      <c r="H193" s="57"/>
    </row>
    <row r="194" spans="1:11" x14ac:dyDescent="0.25">
      <c r="B194" s="33"/>
      <c r="E194" s="28" t="str">
        <f>IF(E193&lt;=1,"PASS","FAIL")</f>
        <v>PASS</v>
      </c>
      <c r="F194" s="6"/>
    </row>
    <row r="195" spans="1:11" x14ac:dyDescent="0.25">
      <c r="B195" s="33"/>
      <c r="F195" s="6"/>
    </row>
    <row r="196" spans="1:11" ht="68.25" customHeight="1" x14ac:dyDescent="0.25">
      <c r="B196" s="33"/>
      <c r="C196" s="1" t="s">
        <v>203</v>
      </c>
      <c r="F196" s="6" t="s">
        <v>191</v>
      </c>
    </row>
    <row r="197" spans="1:11" x14ac:dyDescent="0.25">
      <c r="B197" s="70" t="s">
        <v>199</v>
      </c>
      <c r="C197" s="62" t="s">
        <v>203</v>
      </c>
      <c r="D197" s="65"/>
      <c r="E197" s="64">
        <f>IF(E4&gt;0,0,(ABS(E4)/E85))+(0.6*E186*E177*ABS(E9)/E103)+(E188*E178*ABS(E8)/E100)</f>
        <v>0.6800187611290478</v>
      </c>
      <c r="F197" s="80" t="str">
        <f>IF(E4&gt;0,0,FIXED((ABS(E4)/E85),2))&amp;" + "&amp;FIXED((0.6*E186*E177*ABS(E9)/E103),2)&amp;" + "&amp;FIXED((E188*E178*ABS(E8)/E100),2)</f>
        <v>0.21 + 0.21 + 0.26</v>
      </c>
    </row>
    <row r="198" spans="1:11" x14ac:dyDescent="0.25">
      <c r="B198" s="33"/>
      <c r="E198" s="28" t="str">
        <f>IF(E197&lt;=1,"PASS","FAIL")</f>
        <v>PASS</v>
      </c>
      <c r="F198" s="6"/>
    </row>
    <row r="199" spans="1:11" ht="15.75" thickBot="1" x14ac:dyDescent="0.3">
      <c r="A199" s="71"/>
      <c r="B199" s="72"/>
      <c r="C199" s="73"/>
      <c r="D199" s="73"/>
      <c r="E199" s="74"/>
      <c r="F199" s="75"/>
    </row>
    <row r="200" spans="1:11" x14ac:dyDescent="0.25">
      <c r="A200" s="50">
        <v>6</v>
      </c>
      <c r="B200" s="66" t="s">
        <v>192</v>
      </c>
      <c r="D200" s="82" t="s">
        <v>172</v>
      </c>
      <c r="E200" s="83" t="s">
        <v>216</v>
      </c>
      <c r="F200" s="6"/>
      <c r="H200" s="93" t="s">
        <v>309</v>
      </c>
      <c r="I200" s="94" t="s">
        <v>308</v>
      </c>
      <c r="J200" s="95" t="s">
        <v>307</v>
      </c>
    </row>
    <row r="201" spans="1:11" x14ac:dyDescent="0.25">
      <c r="B201" s="76" t="s">
        <v>200</v>
      </c>
      <c r="C201" s="77" t="s">
        <v>208</v>
      </c>
      <c r="D201" s="78">
        <f>E86</f>
        <v>0.20973224207117916</v>
      </c>
      <c r="E201" s="79" t="str">
        <f>E87</f>
        <v>PASS</v>
      </c>
      <c r="F201" s="6"/>
      <c r="H201" s="84" t="s">
        <v>11</v>
      </c>
      <c r="I201" s="77">
        <v>-86.25</v>
      </c>
      <c r="J201" s="89">
        <f>IF(E4&lt;=0,E85,E57)</f>
        <v>411.23863049501171</v>
      </c>
      <c r="K201" s="88">
        <f>E57</f>
        <v>902.24255196066542</v>
      </c>
    </row>
    <row r="202" spans="1:11" x14ac:dyDescent="0.25">
      <c r="B202" s="76" t="s">
        <v>193</v>
      </c>
      <c r="C202" s="77" t="s">
        <v>209</v>
      </c>
      <c r="D202" s="78">
        <f>E58</f>
        <v>0</v>
      </c>
      <c r="E202" s="79" t="str">
        <f>E59</f>
        <v>NOT APPLICABLE</v>
      </c>
      <c r="F202" s="6"/>
      <c r="H202" s="84" t="s">
        <v>377</v>
      </c>
      <c r="I202" s="77">
        <v>-11.25</v>
      </c>
      <c r="J202" s="89">
        <f>E115</f>
        <v>347.27332016588343</v>
      </c>
      <c r="K202" s="88">
        <f>J202*0.6</f>
        <v>208.36399209953007</v>
      </c>
    </row>
    <row r="203" spans="1:11" x14ac:dyDescent="0.25">
      <c r="B203" s="76" t="s">
        <v>194</v>
      </c>
      <c r="C203" s="77" t="s">
        <v>204</v>
      </c>
      <c r="D203" s="78">
        <f>E101</f>
        <v>0.26924718078269827</v>
      </c>
      <c r="E203" s="79" t="str">
        <f>E102</f>
        <v>PASS</v>
      </c>
      <c r="F203" s="6"/>
      <c r="H203" s="84" t="s">
        <v>378</v>
      </c>
      <c r="I203" s="77">
        <v>-15</v>
      </c>
      <c r="J203" s="89">
        <f>E118</f>
        <v>173.63666008294172</v>
      </c>
      <c r="K203" s="88">
        <f>J203*0.6</f>
        <v>104.18199604976503</v>
      </c>
    </row>
    <row r="204" spans="1:11" x14ac:dyDescent="0.25">
      <c r="B204" s="76" t="s">
        <v>195</v>
      </c>
      <c r="C204" s="77" t="s">
        <v>205</v>
      </c>
      <c r="D204" s="78">
        <f>E104</f>
        <v>0.33645998443180547</v>
      </c>
      <c r="E204" s="79" t="str">
        <f>E105</f>
        <v>PASS</v>
      </c>
      <c r="F204" s="6"/>
      <c r="H204" s="84" t="s">
        <v>16</v>
      </c>
      <c r="I204" s="77">
        <v>0</v>
      </c>
      <c r="J204" s="89">
        <v>0</v>
      </c>
      <c r="K204" s="88"/>
    </row>
    <row r="205" spans="1:11" x14ac:dyDescent="0.25">
      <c r="B205" s="76" t="s">
        <v>196</v>
      </c>
      <c r="C205" s="77" t="s">
        <v>206</v>
      </c>
      <c r="D205" s="78">
        <f>E116</f>
        <v>3.239523265025418E-2</v>
      </c>
      <c r="E205" s="79" t="str">
        <f>E117</f>
        <v>PASS</v>
      </c>
      <c r="F205" s="6"/>
      <c r="H205" s="84" t="s">
        <v>379</v>
      </c>
      <c r="I205" s="77">
        <v>-15</v>
      </c>
      <c r="J205" s="89">
        <f>E100</f>
        <v>55.710889734834673</v>
      </c>
      <c r="K205" s="88"/>
    </row>
    <row r="206" spans="1:11" ht="15.75" thickBot="1" x14ac:dyDescent="0.3">
      <c r="B206" s="76" t="s">
        <v>197</v>
      </c>
      <c r="C206" s="77" t="s">
        <v>207</v>
      </c>
      <c r="D206" s="78">
        <f>E119</f>
        <v>8.6387287067344484E-2</v>
      </c>
      <c r="E206" s="79" t="str">
        <f>E120</f>
        <v>PASS</v>
      </c>
      <c r="F206" s="6"/>
      <c r="H206" s="90" t="s">
        <v>374</v>
      </c>
      <c r="I206" s="91">
        <v>-12</v>
      </c>
      <c r="J206" s="92">
        <f>E103</f>
        <v>35.665459654184197</v>
      </c>
      <c r="K206" s="88"/>
    </row>
    <row r="207" spans="1:11" x14ac:dyDescent="0.25">
      <c r="B207" s="76" t="s">
        <v>198</v>
      </c>
      <c r="C207" s="77" t="s">
        <v>139</v>
      </c>
      <c r="D207" s="78">
        <f>E162</f>
        <v>0.26455680377466262</v>
      </c>
      <c r="E207" s="79" t="str">
        <f>E163</f>
        <v>PASS</v>
      </c>
      <c r="F207" s="6"/>
    </row>
    <row r="208" spans="1:11" x14ac:dyDescent="0.25">
      <c r="B208" s="76" t="s">
        <v>201</v>
      </c>
      <c r="C208" s="77" t="s">
        <v>140</v>
      </c>
      <c r="D208" s="78">
        <f>E166</f>
        <v>0.81543940728568287</v>
      </c>
      <c r="E208" s="79" t="str">
        <f>E167</f>
        <v>PASS</v>
      </c>
      <c r="F208" s="6"/>
    </row>
    <row r="209" spans="1:9" x14ac:dyDescent="0.25">
      <c r="B209" s="76" t="s">
        <v>202</v>
      </c>
      <c r="C209" s="77" t="s">
        <v>156</v>
      </c>
      <c r="D209" s="78">
        <f>E173</f>
        <v>0</v>
      </c>
      <c r="E209" s="79" t="str">
        <f>E174</f>
        <v>NOT APPLICABLE</v>
      </c>
      <c r="F209" s="6"/>
    </row>
    <row r="210" spans="1:9" x14ac:dyDescent="0.25">
      <c r="B210" s="76" t="s">
        <v>212</v>
      </c>
      <c r="C210" s="77" t="s">
        <v>157</v>
      </c>
      <c r="D210" s="78">
        <f>E193</f>
        <v>0.82391362998173401</v>
      </c>
      <c r="E210" s="79" t="str">
        <f>E194</f>
        <v>PASS</v>
      </c>
      <c r="F210" s="6"/>
    </row>
    <row r="211" spans="1:9" x14ac:dyDescent="0.25">
      <c r="B211" s="76" t="s">
        <v>213</v>
      </c>
      <c r="C211" s="77" t="s">
        <v>203</v>
      </c>
      <c r="D211" s="78">
        <f>E197</f>
        <v>0.6800187611290478</v>
      </c>
      <c r="E211" s="79" t="str">
        <f>E198</f>
        <v>PASS</v>
      </c>
      <c r="F211" s="6"/>
      <c r="I211" s="29"/>
    </row>
    <row r="212" spans="1:9" x14ac:dyDescent="0.25">
      <c r="F212" s="6"/>
    </row>
    <row r="213" spans="1:9" ht="15.75" thickBot="1" x14ac:dyDescent="0.3">
      <c r="F213" s="6"/>
    </row>
    <row r="214" spans="1:9" x14ac:dyDescent="0.25">
      <c r="A214" s="51"/>
      <c r="B214" s="61"/>
      <c r="C214" s="51"/>
      <c r="D214" s="51"/>
      <c r="E214" s="52"/>
      <c r="F214" s="51"/>
    </row>
  </sheetData>
  <conditionalFormatting sqref="E87">
    <cfRule type="containsText" dxfId="161" priority="46" operator="containsText" text="NOT APPLICABLE">
      <formula>NOT(ISERROR(SEARCH("NOT APPLICABLE",E87)))</formula>
    </cfRule>
    <cfRule type="containsText" dxfId="160" priority="47" operator="containsText" text="FAIL">
      <formula>NOT(ISERROR(SEARCH("FAIL",E87)))</formula>
    </cfRule>
    <cfRule type="containsText" dxfId="159" priority="48" operator="containsText" text="PASS">
      <formula>NOT(ISERROR(SEARCH("PASS",E87)))</formula>
    </cfRule>
  </conditionalFormatting>
  <conditionalFormatting sqref="E102">
    <cfRule type="containsText" dxfId="158" priority="28" operator="containsText" text="NOT APPLICABLE">
      <formula>NOT(ISERROR(SEARCH("NOT APPLICABLE",E102)))</formula>
    </cfRule>
    <cfRule type="containsText" dxfId="157" priority="29" operator="containsText" text="FAIL">
      <formula>NOT(ISERROR(SEARCH("FAIL",E102)))</formula>
    </cfRule>
    <cfRule type="containsText" dxfId="156" priority="30" operator="containsText" text="PASS">
      <formula>NOT(ISERROR(SEARCH("PASS",E102)))</formula>
    </cfRule>
  </conditionalFormatting>
  <conditionalFormatting sqref="E117">
    <cfRule type="containsText" dxfId="155" priority="22" operator="containsText" text="NOT APPLICABLE">
      <formula>NOT(ISERROR(SEARCH("NOT APPLICABLE",E117)))</formula>
    </cfRule>
    <cfRule type="containsText" dxfId="154" priority="23" operator="containsText" text="FAIL">
      <formula>NOT(ISERROR(SEARCH("FAIL",E117)))</formula>
    </cfRule>
    <cfRule type="containsText" dxfId="153" priority="24" operator="containsText" text="PASS">
      <formula>NOT(ISERROR(SEARCH("PASS",E117)))</formula>
    </cfRule>
  </conditionalFormatting>
  <conditionalFormatting sqref="E59">
    <cfRule type="containsText" dxfId="152" priority="49" operator="containsText" text="NOT APPLICABLE">
      <formula>NOT(ISERROR(SEARCH("NOT APPLICABLE",E59)))</formula>
    </cfRule>
    <cfRule type="containsText" dxfId="151" priority="50" operator="containsText" text="FAIL">
      <formula>NOT(ISERROR(SEARCH("FAIL",E59)))</formula>
    </cfRule>
    <cfRule type="containsText" dxfId="150" priority="51" operator="containsText" text="PASS">
      <formula>NOT(ISERROR(SEARCH("PASS",E59)))</formula>
    </cfRule>
  </conditionalFormatting>
  <conditionalFormatting sqref="E201:E211">
    <cfRule type="containsText" dxfId="149" priority="37" operator="containsText" text="NOT APPLICABLE">
      <formula>NOT(ISERROR(SEARCH("NOT APPLICABLE",E201)))</formula>
    </cfRule>
    <cfRule type="containsText" dxfId="148" priority="38" operator="containsText" text="FAIL">
      <formula>NOT(ISERROR(SEARCH("FAIL",E201)))</formula>
    </cfRule>
    <cfRule type="containsText" dxfId="147" priority="39" operator="containsText" text="PASS">
      <formula>NOT(ISERROR(SEARCH("PASS",E201)))</formula>
    </cfRule>
  </conditionalFormatting>
  <conditionalFormatting sqref="D201:D211">
    <cfRule type="expression" dxfId="146" priority="34">
      <formula>D201=0</formula>
    </cfRule>
    <cfRule type="expression" dxfId="145" priority="35">
      <formula>D201&lt;=1</formula>
    </cfRule>
    <cfRule type="expression" dxfId="144" priority="36">
      <formula>D201&gt;1</formula>
    </cfRule>
  </conditionalFormatting>
  <conditionalFormatting sqref="E174">
    <cfRule type="containsText" dxfId="143" priority="31" operator="containsText" text="NOT APPLICABLE">
      <formula>NOT(ISERROR(SEARCH("NOT APPLICABLE",E174)))</formula>
    </cfRule>
    <cfRule type="containsText" dxfId="142" priority="32" operator="containsText" text="FAIL">
      <formula>NOT(ISERROR(SEARCH("FAIL",E174)))</formula>
    </cfRule>
    <cfRule type="containsText" dxfId="141" priority="33" operator="containsText" text="PASS">
      <formula>NOT(ISERROR(SEARCH("PASS",E174)))</formula>
    </cfRule>
  </conditionalFormatting>
  <conditionalFormatting sqref="E105">
    <cfRule type="containsText" dxfId="140" priority="25" operator="containsText" text="NOT APPLICABLE">
      <formula>NOT(ISERROR(SEARCH("NOT APPLICABLE",E105)))</formula>
    </cfRule>
    <cfRule type="containsText" dxfId="139" priority="26" operator="containsText" text="FAIL">
      <formula>NOT(ISERROR(SEARCH("FAIL",E105)))</formula>
    </cfRule>
    <cfRule type="containsText" dxfId="138" priority="27" operator="containsText" text="PASS">
      <formula>NOT(ISERROR(SEARCH("PASS",E105)))</formula>
    </cfRule>
  </conditionalFormatting>
  <conditionalFormatting sqref="E120">
    <cfRule type="containsText" dxfId="137" priority="19" operator="containsText" text="NOT APPLICABLE">
      <formula>NOT(ISERROR(SEARCH("NOT APPLICABLE",E120)))</formula>
    </cfRule>
    <cfRule type="containsText" dxfId="136" priority="20" operator="containsText" text="FAIL">
      <formula>NOT(ISERROR(SEARCH("FAIL",E120)))</formula>
    </cfRule>
    <cfRule type="containsText" dxfId="135" priority="21" operator="containsText" text="PASS">
      <formula>NOT(ISERROR(SEARCH("PASS",E120)))</formula>
    </cfRule>
  </conditionalFormatting>
  <conditionalFormatting sqref="E142">
    <cfRule type="containsText" dxfId="134" priority="16" operator="containsText" text="NOT APPLICABLE">
      <formula>NOT(ISERROR(SEARCH("NOT APPLICABLE",E142)))</formula>
    </cfRule>
    <cfRule type="containsText" dxfId="133" priority="17" operator="containsText" text="FAIL">
      <formula>NOT(ISERROR(SEARCH("FAIL",E142)))</formula>
    </cfRule>
    <cfRule type="containsText" dxfId="132" priority="18" operator="containsText" text="PASS">
      <formula>NOT(ISERROR(SEARCH("PASS",E142)))</formula>
    </cfRule>
  </conditionalFormatting>
  <conditionalFormatting sqref="E145">
    <cfRule type="containsText" dxfId="131" priority="13" operator="containsText" text="NOT APPLICABLE">
      <formula>NOT(ISERROR(SEARCH("NOT APPLICABLE",E145)))</formula>
    </cfRule>
    <cfRule type="containsText" dxfId="130" priority="14" operator="containsText" text="FAIL">
      <formula>NOT(ISERROR(SEARCH("FAIL",E145)))</formula>
    </cfRule>
    <cfRule type="containsText" dxfId="129" priority="15" operator="containsText" text="PASS">
      <formula>NOT(ISERROR(SEARCH("PASS",E145)))</formula>
    </cfRule>
  </conditionalFormatting>
  <conditionalFormatting sqref="E167">
    <cfRule type="containsText" dxfId="128" priority="10" operator="containsText" text="NOT APPLICABLE">
      <formula>NOT(ISERROR(SEARCH("NOT APPLICABLE",E167)))</formula>
    </cfRule>
    <cfRule type="containsText" dxfId="127" priority="11" operator="containsText" text="FAIL">
      <formula>NOT(ISERROR(SEARCH("FAIL",E167)))</formula>
    </cfRule>
    <cfRule type="containsText" dxfId="126" priority="12" operator="containsText" text="PASS">
      <formula>NOT(ISERROR(SEARCH("PASS",E167)))</formula>
    </cfRule>
  </conditionalFormatting>
  <conditionalFormatting sqref="E163">
    <cfRule type="containsText" dxfId="125" priority="7" operator="containsText" text="NOT APPLICABLE">
      <formula>NOT(ISERROR(SEARCH("NOT APPLICABLE",E163)))</formula>
    </cfRule>
    <cfRule type="containsText" dxfId="124" priority="8" operator="containsText" text="FAIL">
      <formula>NOT(ISERROR(SEARCH("FAIL",E163)))</formula>
    </cfRule>
    <cfRule type="containsText" dxfId="123" priority="9" operator="containsText" text="PASS">
      <formula>NOT(ISERROR(SEARCH("PASS",E163)))</formula>
    </cfRule>
  </conditionalFormatting>
  <conditionalFormatting sqref="E194">
    <cfRule type="containsText" dxfId="122" priority="4" operator="containsText" text="NOT APPLICABLE">
      <formula>NOT(ISERROR(SEARCH("NOT APPLICABLE",E194)))</formula>
    </cfRule>
    <cfRule type="containsText" dxfId="121" priority="5" operator="containsText" text="FAIL">
      <formula>NOT(ISERROR(SEARCH("FAIL",E194)))</formula>
    </cfRule>
    <cfRule type="containsText" dxfId="120" priority="6" operator="containsText" text="PASS">
      <formula>NOT(ISERROR(SEARCH("PASS",E194)))</formula>
    </cfRule>
  </conditionalFormatting>
  <conditionalFormatting sqref="E198">
    <cfRule type="containsText" dxfId="119" priority="1" operator="containsText" text="NOT APPLICABLE">
      <formula>NOT(ISERROR(SEARCH("NOT APPLICABLE",E198)))</formula>
    </cfRule>
    <cfRule type="containsText" dxfId="118" priority="2" operator="containsText" text="FAIL">
      <formula>NOT(ISERROR(SEARCH("FAIL",E198)))</formula>
    </cfRule>
    <cfRule type="containsText" dxfId="117" priority="3" operator="containsText" text="PASS">
      <formula>NOT(ISERROR(SEARCH("PASS",E198)))</formula>
    </cfRule>
  </conditionalFormatting>
  <pageMargins left="0.7" right="0.7" top="0.75" bottom="0.75" header="0.3" footer="0.3"/>
  <pageSetup paperSize="9" orientation="portrait" horizont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'RHS-LIB'!$A$2:$A$19</xm:f>
          </x14:formula1>
          <xm:sqref>E19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GS</vt:lpstr>
      <vt:lpstr>RGH</vt:lpstr>
      <vt:lpstr>NB-ALL</vt:lpstr>
      <vt:lpstr>GRADE</vt:lpstr>
      <vt:lpstr>NB-LIB</vt:lpstr>
      <vt:lpstr>RHS-LIB</vt:lpstr>
      <vt:lpstr>UB-UC</vt:lpstr>
      <vt:lpstr>CHS</vt:lpstr>
      <vt:lpstr>BOX</vt:lpstr>
      <vt:lpstr>I-SECT</vt:lpstr>
      <vt:lpstr>CFT-CHS</vt:lpstr>
      <vt:lpstr>CFT-RHS</vt:lpstr>
      <vt:lpstr>Chk</vt:lpstr>
      <vt:lpstr>py</vt:lpstr>
      <vt:lpstr>'UB-UC'!_FilterDatabase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2021-02-05T05:48:31Z</dcterms:modified>
</cp:coreProperties>
</file>