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120" yWindow="1125" windowWidth="20370" windowHeight="12690"/>
  </bookViews>
  <sheets>
    <sheet name="new" sheetId="10" r:id="rId1"/>
    <sheet name="Sheet1" sheetId="11" r:id="rId2"/>
  </sheets>
  <definedNames>
    <definedName name="A_1" localSheetId="0">#REF!</definedName>
    <definedName name="A_1">#REF!</definedName>
  </definedNames>
  <calcPr calcId="145621"/>
</workbook>
</file>

<file path=xl/calcChain.xml><?xml version="1.0" encoding="utf-8"?>
<calcChain xmlns="http://schemas.openxmlformats.org/spreadsheetml/2006/main">
  <c r="F16" i="10" l="1"/>
  <c r="F15" i="10"/>
  <c r="G16" i="10" l="1"/>
  <c r="G15" i="10"/>
  <c r="E15" i="10"/>
  <c r="D16" i="10"/>
  <c r="C16" i="10"/>
  <c r="C15" i="10"/>
  <c r="G18" i="10" l="1"/>
  <c r="G20" i="10" s="1"/>
  <c r="G17" i="10"/>
  <c r="G19" i="10" s="1"/>
  <c r="F9" i="10" l="1"/>
  <c r="F8" i="10"/>
  <c r="G12" i="10" l="1"/>
  <c r="G11" i="10"/>
  <c r="G9" i="10"/>
  <c r="D9" i="10"/>
  <c r="C9" i="10"/>
  <c r="G8" i="10"/>
  <c r="E8" i="10"/>
  <c r="C8" i="10"/>
  <c r="G7" i="10"/>
  <c r="G10" i="10" s="1"/>
  <c r="E7" i="10"/>
  <c r="D7" i="10"/>
  <c r="D18" i="10" s="1"/>
  <c r="D20" i="10" s="1"/>
  <c r="C7" i="10"/>
  <c r="F4" i="10"/>
  <c r="C12" i="10" l="1"/>
  <c r="C18" i="10"/>
  <c r="C20" i="10" s="1"/>
  <c r="C17" i="10"/>
  <c r="C19" i="10" s="1"/>
  <c r="C11" i="10"/>
  <c r="G13" i="10"/>
  <c r="G21" i="10"/>
  <c r="G14" i="10"/>
  <c r="G22" i="10"/>
  <c r="F18" i="10"/>
  <c r="F20" i="10" s="1"/>
  <c r="F17" i="10"/>
  <c r="F19" i="10" s="1"/>
  <c r="E11" i="10"/>
  <c r="E10" i="10"/>
  <c r="E17" i="10"/>
  <c r="E19" i="10" s="1"/>
  <c r="F12" i="10"/>
  <c r="D12" i="10"/>
  <c r="D10" i="10"/>
  <c r="D15" i="10" s="1"/>
  <c r="D17" i="10" s="1"/>
  <c r="D19" i="10" s="1"/>
  <c r="C10" i="10"/>
  <c r="D8" i="10"/>
  <c r="D11" i="10" s="1"/>
  <c r="F10" i="10"/>
  <c r="F11" i="10"/>
  <c r="D13" i="10" l="1"/>
  <c r="D21" i="10"/>
  <c r="C21" i="10"/>
  <c r="C13" i="10"/>
  <c r="F13" i="10"/>
  <c r="F21" i="10"/>
  <c r="F14" i="10"/>
  <c r="F22" i="10"/>
  <c r="D14" i="10"/>
  <c r="D22" i="10"/>
  <c r="E13" i="10"/>
  <c r="E21" i="10"/>
  <c r="C22" i="10"/>
  <c r="C14" i="10"/>
  <c r="E9" i="10"/>
  <c r="E12" i="10" s="1"/>
  <c r="E16" i="10"/>
  <c r="E18" i="10" s="1"/>
  <c r="E20" i="10" s="1"/>
  <c r="E14" i="10" l="1"/>
  <c r="E22" i="10"/>
</calcChain>
</file>

<file path=xl/sharedStrings.xml><?xml version="1.0" encoding="utf-8"?>
<sst xmlns="http://schemas.openxmlformats.org/spreadsheetml/2006/main" count="62" uniqueCount="48">
  <si>
    <t>mm</t>
  </si>
  <si>
    <t>D</t>
  </si>
  <si>
    <t>A</t>
  </si>
  <si>
    <r>
      <t>mm</t>
    </r>
    <r>
      <rPr>
        <vertAlign val="superscript"/>
        <sz val="12"/>
        <rFont val="Times New Roman"/>
        <family val="1"/>
      </rPr>
      <t>4</t>
    </r>
  </si>
  <si>
    <t>Sectional Properties</t>
  </si>
  <si>
    <t>Paramater</t>
  </si>
  <si>
    <t>I Section</t>
  </si>
  <si>
    <r>
      <t>t</t>
    </r>
    <r>
      <rPr>
        <vertAlign val="subscript"/>
        <sz val="12"/>
        <color theme="1"/>
        <rFont val="Times New Roman"/>
        <family val="1"/>
      </rPr>
      <t>f</t>
    </r>
  </si>
  <si>
    <r>
      <t>t</t>
    </r>
    <r>
      <rPr>
        <vertAlign val="subscript"/>
        <sz val="12"/>
        <color theme="1"/>
        <rFont val="Times New Roman"/>
        <family val="1"/>
      </rPr>
      <t>w</t>
    </r>
  </si>
  <si>
    <r>
      <t>h</t>
    </r>
    <r>
      <rPr>
        <vertAlign val="subscript"/>
        <sz val="12"/>
        <color theme="1"/>
        <rFont val="Times New Roman"/>
        <family val="1"/>
      </rPr>
      <t>w</t>
    </r>
  </si>
  <si>
    <r>
      <t>mm</t>
    </r>
    <r>
      <rPr>
        <vertAlign val="superscript"/>
        <sz val="12"/>
        <color theme="1"/>
        <rFont val="Times New Roman"/>
        <family val="1"/>
      </rPr>
      <t>2</t>
    </r>
  </si>
  <si>
    <r>
      <t>I</t>
    </r>
    <r>
      <rPr>
        <vertAlign val="subscript"/>
        <sz val="12"/>
        <color theme="1"/>
        <rFont val="Times New Roman"/>
        <family val="1"/>
      </rPr>
      <t>yy</t>
    </r>
  </si>
  <si>
    <t>T Section</t>
  </si>
  <si>
    <r>
      <t>I</t>
    </r>
    <r>
      <rPr>
        <vertAlign val="subscript"/>
        <sz val="12"/>
        <color theme="1"/>
        <rFont val="Times New Roman"/>
        <family val="1"/>
      </rPr>
      <t>xx</t>
    </r>
  </si>
  <si>
    <t>Channel</t>
  </si>
  <si>
    <t>Circular</t>
  </si>
  <si>
    <t>RHS</t>
  </si>
  <si>
    <t>UOM</t>
  </si>
  <si>
    <r>
      <t>CG</t>
    </r>
    <r>
      <rPr>
        <vertAlign val="subscript"/>
        <sz val="12"/>
        <color theme="1"/>
        <rFont val="Times New Roman"/>
        <family val="1"/>
      </rPr>
      <t>x</t>
    </r>
  </si>
  <si>
    <r>
      <t>CG</t>
    </r>
    <r>
      <rPr>
        <vertAlign val="subscript"/>
        <sz val="12"/>
        <color theme="1"/>
        <rFont val="Times New Roman"/>
        <family val="1"/>
      </rPr>
      <t>y</t>
    </r>
  </si>
  <si>
    <t>B</t>
  </si>
  <si>
    <r>
      <t>mm</t>
    </r>
    <r>
      <rPr>
        <vertAlign val="superscript"/>
        <sz val="12"/>
        <color theme="1"/>
        <rFont val="Times New Roman"/>
        <family val="1"/>
      </rPr>
      <t>3</t>
    </r>
  </si>
  <si>
    <r>
      <t>Z</t>
    </r>
    <r>
      <rPr>
        <vertAlign val="subscript"/>
        <sz val="12"/>
        <color theme="1"/>
        <rFont val="Times New Roman"/>
        <family val="1"/>
      </rPr>
      <t xml:space="preserve">ex </t>
    </r>
  </si>
  <si>
    <r>
      <t>Z</t>
    </r>
    <r>
      <rPr>
        <vertAlign val="subscript"/>
        <sz val="12"/>
        <color theme="1"/>
        <rFont val="Times New Roman"/>
        <family val="1"/>
      </rPr>
      <t xml:space="preserve">ey </t>
    </r>
  </si>
  <si>
    <r>
      <t>Z</t>
    </r>
    <r>
      <rPr>
        <vertAlign val="subscript"/>
        <sz val="12"/>
        <color theme="1"/>
        <rFont val="Times New Roman"/>
        <family val="1"/>
      </rPr>
      <t>px</t>
    </r>
  </si>
  <si>
    <r>
      <t>Z</t>
    </r>
    <r>
      <rPr>
        <vertAlign val="subscript"/>
        <sz val="12"/>
        <color theme="1"/>
        <rFont val="Times New Roman"/>
        <family val="1"/>
      </rPr>
      <t>py</t>
    </r>
  </si>
  <si>
    <t xml:space="preserve">mm </t>
  </si>
  <si>
    <t xml:space="preserve">Note </t>
  </si>
  <si>
    <t>This is for angle section  with area of Web leg &gt; area of flange leg</t>
  </si>
  <si>
    <t>S33,neg</t>
  </si>
  <si>
    <t>S22,pos</t>
  </si>
  <si>
    <t>I33</t>
  </si>
  <si>
    <t>I22</t>
  </si>
  <si>
    <t>Z33</t>
  </si>
  <si>
    <t>Z22</t>
  </si>
  <si>
    <t>Etabs Notation</t>
  </si>
  <si>
    <r>
      <t>EAA</t>
    </r>
    <r>
      <rPr>
        <vertAlign val="subscript"/>
        <sz val="12"/>
        <color theme="1"/>
        <rFont val="Times New Roman"/>
        <family val="1"/>
      </rPr>
      <t xml:space="preserve">x </t>
    </r>
  </si>
  <si>
    <r>
      <t>EAA</t>
    </r>
    <r>
      <rPr>
        <vertAlign val="subscript"/>
        <sz val="12"/>
        <color theme="1"/>
        <rFont val="Times New Roman"/>
        <family val="1"/>
      </rPr>
      <t>y</t>
    </r>
  </si>
  <si>
    <t>1.For angle section two types of module is required for finding EAA</t>
  </si>
  <si>
    <r>
      <t>2.For angle section alone the  value of I</t>
    </r>
    <r>
      <rPr>
        <vertAlign val="subscript"/>
        <sz val="11"/>
        <color theme="1"/>
        <rFont val="Calibri"/>
        <family val="2"/>
        <scheme val="minor"/>
      </rPr>
      <t>xx</t>
    </r>
    <r>
      <rPr>
        <sz val="11"/>
        <color theme="1"/>
        <rFont val="Calibri"/>
        <family val="2"/>
        <scheme val="minor"/>
      </rPr>
      <t xml:space="preserve"> is changing slightly</t>
    </r>
  </si>
  <si>
    <r>
      <t>M</t>
    </r>
    <r>
      <rPr>
        <vertAlign val="subscript"/>
        <sz val="11"/>
        <color theme="1"/>
        <rFont val="Times New Roman"/>
        <family val="1"/>
      </rPr>
      <t>maj</t>
    </r>
  </si>
  <si>
    <t>kNm</t>
  </si>
  <si>
    <r>
      <t>M</t>
    </r>
    <r>
      <rPr>
        <vertAlign val="subscript"/>
        <sz val="11"/>
        <color theme="1"/>
        <rFont val="Times New Roman"/>
        <family val="1"/>
      </rPr>
      <t>min</t>
    </r>
  </si>
  <si>
    <r>
      <t>r</t>
    </r>
    <r>
      <rPr>
        <vertAlign val="subscript"/>
        <sz val="11"/>
        <color theme="1"/>
        <rFont val="Times New Roman"/>
        <family val="1"/>
      </rPr>
      <t>xx</t>
    </r>
  </si>
  <si>
    <r>
      <t>r</t>
    </r>
    <r>
      <rPr>
        <vertAlign val="subscript"/>
        <sz val="11"/>
        <color theme="1"/>
        <rFont val="Times New Roman"/>
        <family val="1"/>
      </rPr>
      <t>yy</t>
    </r>
  </si>
  <si>
    <r>
      <t>N/mm</t>
    </r>
    <r>
      <rPr>
        <vertAlign val="superscript"/>
        <sz val="11"/>
        <color theme="1"/>
        <rFont val="Times New Roman"/>
        <family val="1"/>
      </rPr>
      <t>2</t>
    </r>
  </si>
  <si>
    <r>
      <t>γ</t>
    </r>
    <r>
      <rPr>
        <vertAlign val="subscript"/>
        <sz val="11"/>
        <color theme="1"/>
        <rFont val="Times New Roman"/>
        <family val="1"/>
      </rPr>
      <t>mo</t>
    </r>
  </si>
  <si>
    <r>
      <t>F</t>
    </r>
    <r>
      <rPr>
        <vertAlign val="subscript"/>
        <sz val="11"/>
        <color theme="1"/>
        <rFont val="Times New Roman"/>
        <family val="1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</si>
</sst>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vertAlign val="superscript"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4">
    <xf numFmtId="0" fontId="0" fillId="0" borderId="0" xfId="0"/>
    <xf numFmtId="0" fontId="6" fillId="0" borderId="0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/>
    </xf>
    <xf numFmtId="11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/>
    </xf>
    <xf numFmtId="0" fontId="1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1" xfId="0" applyBorder="1"/>
    <xf numFmtId="0" fontId="6" fillId="0" borderId="1" xfId="0" applyNumberFormat="1" applyFont="1" applyFill="1" applyBorder="1" applyAlignment="1">
      <alignment horizontal="right" vertical="center" wrapText="1"/>
    </xf>
    <xf numFmtId="0" fontId="12" fillId="0" borderId="0" xfId="0" applyFont="1"/>
    <xf numFmtId="0" fontId="10" fillId="0" borderId="0" xfId="0" applyFont="1"/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11" fontId="0" fillId="0" borderId="0" xfId="0" applyNumberFormat="1"/>
    <xf numFmtId="0" fontId="6" fillId="0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right" vertical="center"/>
    </xf>
  </cellXfs>
  <cellStyles count="36">
    <cellStyle name="Comma 2" xf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2" xfId="35"/>
    <cellStyle name="Normal 3" xfId="33"/>
    <cellStyle name="Normal 3 6" xfId="34"/>
    <cellStyle name="Normal 4" xfId="32"/>
    <cellStyle name="Normal 7" xfId="31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45" zoomScaleNormal="145" workbookViewId="0">
      <selection activeCell="J11" sqref="J11"/>
    </sheetView>
  </sheetViews>
  <sheetFormatPr defaultRowHeight="15" x14ac:dyDescent="0.25"/>
  <cols>
    <col min="1" max="1" width="10.7109375" customWidth="1"/>
    <col min="2" max="2" width="6.42578125" bestFit="1" customWidth="1"/>
    <col min="3" max="3" width="10.28515625" bestFit="1" customWidth="1"/>
    <col min="4" max="4" width="10.5703125" bestFit="1" customWidth="1"/>
    <col min="5" max="7" width="10.28515625" bestFit="1" customWidth="1"/>
    <col min="8" max="8" width="15.42578125" bestFit="1" customWidth="1"/>
    <col min="9" max="9" width="10" bestFit="1" customWidth="1"/>
    <col min="12" max="12" width="8.28515625" bestFit="1" customWidth="1"/>
  </cols>
  <sheetData>
    <row r="1" spans="1:13" ht="15.6" x14ac:dyDescent="0.3">
      <c r="A1" s="9" t="s">
        <v>4</v>
      </c>
    </row>
    <row r="2" spans="1:13" ht="15.6" x14ac:dyDescent="0.3">
      <c r="A2" s="8" t="s">
        <v>5</v>
      </c>
      <c r="B2" s="8" t="s">
        <v>17</v>
      </c>
      <c r="C2" s="10" t="s">
        <v>6</v>
      </c>
      <c r="D2" s="10" t="s">
        <v>12</v>
      </c>
      <c r="E2" s="10" t="s">
        <v>14</v>
      </c>
      <c r="F2" s="10" t="s">
        <v>15</v>
      </c>
      <c r="G2" s="10" t="s">
        <v>16</v>
      </c>
      <c r="H2" s="8" t="s">
        <v>35</v>
      </c>
      <c r="K2" s="14"/>
      <c r="L2" s="14"/>
      <c r="M2" s="14"/>
    </row>
    <row r="3" spans="1:13" ht="18" x14ac:dyDescent="0.35">
      <c r="A3" s="2" t="s">
        <v>1</v>
      </c>
      <c r="B3" s="3" t="s">
        <v>0</v>
      </c>
      <c r="C3" s="4">
        <v>300</v>
      </c>
      <c r="D3" s="4">
        <v>300</v>
      </c>
      <c r="E3" s="4">
        <v>200</v>
      </c>
      <c r="F3" s="4">
        <v>48.3</v>
      </c>
      <c r="G3" s="4">
        <v>200</v>
      </c>
      <c r="H3" s="11"/>
      <c r="K3" s="14" t="s">
        <v>47</v>
      </c>
      <c r="L3" s="14">
        <v>350</v>
      </c>
      <c r="M3" s="14" t="s">
        <v>45</v>
      </c>
    </row>
    <row r="4" spans="1:13" ht="16.5" x14ac:dyDescent="0.3">
      <c r="A4" s="2" t="s">
        <v>20</v>
      </c>
      <c r="B4" s="3" t="s">
        <v>0</v>
      </c>
      <c r="C4" s="4">
        <v>150</v>
      </c>
      <c r="D4" s="4">
        <v>150</v>
      </c>
      <c r="E4" s="4">
        <v>350</v>
      </c>
      <c r="F4" s="4">
        <f>+F3-2*F5</f>
        <v>41.9</v>
      </c>
      <c r="G4" s="4">
        <v>100</v>
      </c>
      <c r="H4" s="11"/>
      <c r="K4" s="14" t="s">
        <v>46</v>
      </c>
      <c r="L4" s="14">
        <v>1.1000000000000001</v>
      </c>
      <c r="M4" s="14"/>
    </row>
    <row r="5" spans="1:13" ht="18" x14ac:dyDescent="0.3">
      <c r="A5" s="2" t="s">
        <v>7</v>
      </c>
      <c r="B5" s="3" t="s">
        <v>0</v>
      </c>
      <c r="C5" s="4">
        <v>12</v>
      </c>
      <c r="D5" s="4">
        <v>12</v>
      </c>
      <c r="E5" s="4">
        <v>8</v>
      </c>
      <c r="F5" s="4">
        <v>3.2</v>
      </c>
      <c r="G5" s="4">
        <v>12</v>
      </c>
      <c r="H5" s="11"/>
      <c r="K5" s="14"/>
      <c r="L5" s="14"/>
      <c r="M5" s="14"/>
    </row>
    <row r="6" spans="1:13" ht="18" x14ac:dyDescent="0.3">
      <c r="A6" s="2" t="s">
        <v>8</v>
      </c>
      <c r="B6" s="3" t="s">
        <v>0</v>
      </c>
      <c r="C6" s="4">
        <v>8</v>
      </c>
      <c r="D6" s="4">
        <v>8</v>
      </c>
      <c r="E6" s="4">
        <v>6</v>
      </c>
      <c r="F6" s="4">
        <v>0</v>
      </c>
      <c r="G6" s="4">
        <v>8</v>
      </c>
      <c r="H6" s="11"/>
      <c r="K6" s="14"/>
      <c r="L6" s="14"/>
      <c r="M6" s="14"/>
    </row>
    <row r="7" spans="1:13" ht="18" x14ac:dyDescent="0.3">
      <c r="A7" s="2" t="s">
        <v>9</v>
      </c>
      <c r="B7" s="3" t="s">
        <v>0</v>
      </c>
      <c r="C7" s="5">
        <f>C3-(C5+C5)</f>
        <v>276</v>
      </c>
      <c r="D7" s="5">
        <f>+D3-D5</f>
        <v>288</v>
      </c>
      <c r="E7" s="5">
        <f>+E3-2*E5</f>
        <v>184</v>
      </c>
      <c r="F7" s="5">
        <v>0</v>
      </c>
      <c r="G7" s="5">
        <f>+G3-2*G5</f>
        <v>176</v>
      </c>
      <c r="H7" s="11"/>
      <c r="K7" s="14"/>
      <c r="L7" s="14"/>
      <c r="M7" s="14"/>
    </row>
    <row r="8" spans="1:13" ht="18" x14ac:dyDescent="0.3">
      <c r="A8" s="2" t="s">
        <v>18</v>
      </c>
      <c r="B8" s="3" t="s">
        <v>0</v>
      </c>
      <c r="C8" s="5">
        <f>+C3/2</f>
        <v>150</v>
      </c>
      <c r="D8" s="5">
        <f>+((D7*D6)*(D7/2)+(D4*D5)*(D7+D5/2))/(D7*D6+D4*D5)</f>
        <v>209.78947368421052</v>
      </c>
      <c r="E8" s="5">
        <f>+E3/2</f>
        <v>100</v>
      </c>
      <c r="F8" s="5">
        <f>+F3/2</f>
        <v>24.15</v>
      </c>
      <c r="G8" s="5">
        <f>+G3/2</f>
        <v>100</v>
      </c>
      <c r="H8" s="11"/>
      <c r="K8" s="14"/>
      <c r="L8" s="14"/>
      <c r="M8" s="14"/>
    </row>
    <row r="9" spans="1:13" ht="18" x14ac:dyDescent="0.3">
      <c r="A9" s="2" t="s">
        <v>19</v>
      </c>
      <c r="B9" s="3" t="s">
        <v>0</v>
      </c>
      <c r="C9" s="5">
        <f>+C4/2</f>
        <v>75</v>
      </c>
      <c r="D9" s="5">
        <f>+D4/2</f>
        <v>75</v>
      </c>
      <c r="E9" s="5">
        <f>+((E3*E6)*E6/2+2*((E4-E6)*E5*(E6+(E4-E6)/2)))/E10</f>
        <v>146.67541766109784</v>
      </c>
      <c r="F9" s="5">
        <f>+F3/2</f>
        <v>24.15</v>
      </c>
      <c r="G9" s="5">
        <f>+G4/2</f>
        <v>50</v>
      </c>
      <c r="H9" s="11"/>
    </row>
    <row r="10" spans="1:13" ht="18.600000000000001" x14ac:dyDescent="0.3">
      <c r="A10" s="2" t="s">
        <v>2</v>
      </c>
      <c r="B10" s="3" t="s">
        <v>10</v>
      </c>
      <c r="C10" s="5">
        <f>2*C4*C5+C7*C6</f>
        <v>5808</v>
      </c>
      <c r="D10" s="5">
        <f>+D4*D5+D7*D6</f>
        <v>4104</v>
      </c>
      <c r="E10" s="5">
        <f>+E4*E5*2+E7*E6</f>
        <v>6704</v>
      </c>
      <c r="F10" s="5">
        <f>+PI()/4*F3^2-PI()/4*F4^2</f>
        <v>453.39465176607905</v>
      </c>
      <c r="G10" s="5">
        <f>+(G4*G5+G7*G6)*2</f>
        <v>5216</v>
      </c>
      <c r="H10" s="11"/>
    </row>
    <row r="11" spans="1:13" ht="18.600000000000001" x14ac:dyDescent="0.3">
      <c r="A11" s="2" t="s">
        <v>13</v>
      </c>
      <c r="B11" s="6" t="s">
        <v>3</v>
      </c>
      <c r="C11" s="7">
        <f>(((C4*C5^3)/12)+(C4*C5)*(((C3-C5/2)-C8)^2))+(((C6*C7^3)/12)+(C6*C7)*(((C7/2+C5)-C8)^2))+((C4*C5^3/12)+(C5*C4)*(C8-C5/2)^2)</f>
        <v>88709184</v>
      </c>
      <c r="D11" s="7">
        <f>+D4*D5^3/12+(D4*D5)*(D8-(D3-D5/2))^2+(D6*(D7^3)/12)+(D6*D7)*((D8-D7/2)^2)</f>
        <v>38683690.105263159</v>
      </c>
      <c r="E11" s="7">
        <f>2*(E4*(E5^3)/12+(E5*E4)*(E8-E5/2)^2)+(E6*(E7^3)/12)</f>
        <v>54754218.666666664</v>
      </c>
      <c r="F11" s="7">
        <f>PI()/64*(F3^4-F4^4)</f>
        <v>115856.50210910085</v>
      </c>
      <c r="G11" s="7">
        <f>+G4*G3^3/12-(+(G4-2*G6)*(G3-2*G5)^3/12)</f>
        <v>28504234.666666664</v>
      </c>
      <c r="H11" s="7" t="s">
        <v>31</v>
      </c>
    </row>
    <row r="12" spans="1:13" ht="18.600000000000001" x14ac:dyDescent="0.3">
      <c r="A12" s="2" t="s">
        <v>11</v>
      </c>
      <c r="B12" s="6" t="s">
        <v>3</v>
      </c>
      <c r="C12" s="7">
        <f>((C5*C4^3/12)+(C7*C6^3/12)+(C5*C4^3/12))</f>
        <v>6761776</v>
      </c>
      <c r="D12" s="7">
        <f>+D5*(D4^3)/12+D6^3*D7/12</f>
        <v>3387288</v>
      </c>
      <c r="E12" s="7">
        <f>2*(E5*E4^3/12+E5*E4*(E9-E4/2)^2)+(E7*E6^3/12+E7*E6*(E9-E6/2)^2)</f>
        <v>84452216.375497222</v>
      </c>
      <c r="F12" s="7">
        <f>PI()/64*(F3^4-F4^4)</f>
        <v>115856.50210910085</v>
      </c>
      <c r="G12" s="7">
        <f>+G3*G4^3/12-((G3-2*G5)*((G4-2*G6)^3)/12)</f>
        <v>7973674.666666666</v>
      </c>
      <c r="H12" s="7" t="s">
        <v>32</v>
      </c>
    </row>
    <row r="13" spans="1:13" ht="18.600000000000001" x14ac:dyDescent="0.3">
      <c r="A13" s="2" t="s">
        <v>22</v>
      </c>
      <c r="B13" s="6" t="s">
        <v>21</v>
      </c>
      <c r="C13" s="7">
        <f>+C11/C8</f>
        <v>591394.56000000006</v>
      </c>
      <c r="D13" s="7">
        <f t="shared" ref="D13:G13" si="0">+D11/D8</f>
        <v>184392.90316106373</v>
      </c>
      <c r="E13" s="7">
        <f t="shared" si="0"/>
        <v>547542.18666666665</v>
      </c>
      <c r="F13" s="7">
        <f>+F11/F8</f>
        <v>4797.3706877474478</v>
      </c>
      <c r="G13" s="7">
        <f t="shared" si="0"/>
        <v>285042.34666666662</v>
      </c>
      <c r="H13" s="7" t="s">
        <v>29</v>
      </c>
    </row>
    <row r="14" spans="1:13" ht="18.600000000000001" x14ac:dyDescent="0.3">
      <c r="A14" s="2" t="s">
        <v>23</v>
      </c>
      <c r="B14" s="6" t="s">
        <v>21</v>
      </c>
      <c r="C14" s="7">
        <f>+C12/C9</f>
        <v>90157.013333333336</v>
      </c>
      <c r="D14" s="7">
        <f t="shared" ref="D14:G14" si="1">+D12/D9</f>
        <v>45163.839999999997</v>
      </c>
      <c r="E14" s="7">
        <f t="shared" si="1"/>
        <v>575776.21200731141</v>
      </c>
      <c r="F14" s="7">
        <f>+F12/F9</f>
        <v>4797.3706877474478</v>
      </c>
      <c r="G14" s="7">
        <f t="shared" si="1"/>
        <v>159473.49333333332</v>
      </c>
      <c r="H14" s="7" t="s">
        <v>30</v>
      </c>
      <c r="K14" s="17"/>
      <c r="L14" s="17"/>
    </row>
    <row r="15" spans="1:13" ht="18" x14ac:dyDescent="0.3">
      <c r="A15" s="2" t="s">
        <v>36</v>
      </c>
      <c r="B15" s="6" t="s">
        <v>0</v>
      </c>
      <c r="C15" s="12">
        <f>+C3/2</f>
        <v>150</v>
      </c>
      <c r="D15" s="12">
        <f>+(D10/2-D4*D5)/D6+D5</f>
        <v>43.5</v>
      </c>
      <c r="E15" s="12">
        <f>+E3/2</f>
        <v>100</v>
      </c>
      <c r="F15" s="12">
        <f>+F3/2</f>
        <v>24.15</v>
      </c>
      <c r="G15" s="12">
        <f>+G3/2</f>
        <v>100</v>
      </c>
      <c r="H15" s="11"/>
      <c r="K15" s="17"/>
    </row>
    <row r="16" spans="1:13" ht="18" x14ac:dyDescent="0.3">
      <c r="A16" s="2" t="s">
        <v>37</v>
      </c>
      <c r="B16" s="6" t="s">
        <v>26</v>
      </c>
      <c r="C16" s="12">
        <f>+C4/2</f>
        <v>75</v>
      </c>
      <c r="D16" s="12">
        <f>+D4/2</f>
        <v>75</v>
      </c>
      <c r="E16" s="12">
        <f>+(E10/2-E7*E6)/(2*E5)+E6</f>
        <v>146.5</v>
      </c>
      <c r="F16" s="12">
        <f>+F3/2</f>
        <v>24.15</v>
      </c>
      <c r="G16" s="12">
        <f>+G4/2</f>
        <v>50</v>
      </c>
      <c r="H16" s="11"/>
    </row>
    <row r="17" spans="1:13" ht="18.600000000000001" x14ac:dyDescent="0.3">
      <c r="A17" s="2" t="s">
        <v>24</v>
      </c>
      <c r="B17" s="6" t="s">
        <v>21</v>
      </c>
      <c r="C17" s="7">
        <f>+((C4*C5)*(C3/2-C5/2)+(C7/2*C6*C7/2/2))*2</f>
        <v>670752</v>
      </c>
      <c r="D17" s="7">
        <f>+(D4*D5)*(D15-D5/2)+(D15-D5)*D6*(D15-D5)/2+(D3-D15)*D6*(D3-D15)/2</f>
        <v>334638</v>
      </c>
      <c r="E17" s="7">
        <f>2*E4*E5*(E3/2-E5/2)+2*(E7/2*E6*E7/4)</f>
        <v>588384</v>
      </c>
      <c r="F17" s="7">
        <f>+(F3^3-F4^3)/6</f>
        <v>6519.7546666666649</v>
      </c>
      <c r="G17" s="7">
        <f>+((G3/2*G4)*G3/4-((G3-2*G5)/2*(G4-2*G6)*(G3-2*G5)/4))*2</f>
        <v>349504</v>
      </c>
      <c r="H17" s="7" t="s">
        <v>33</v>
      </c>
    </row>
    <row r="18" spans="1:13" ht="18.600000000000001" x14ac:dyDescent="0.3">
      <c r="A18" s="2" t="s">
        <v>25</v>
      </c>
      <c r="B18" s="6" t="s">
        <v>21</v>
      </c>
      <c r="C18" s="7">
        <f>(2*((C4/2*C5)*C4/2/2)+(C7*C6/2)*C6/4)*2</f>
        <v>139416</v>
      </c>
      <c r="D18" s="7">
        <f>+(D4/2*D5*D4/4+D7*D6/2*D6/4)*2</f>
        <v>72108</v>
      </c>
      <c r="E18" s="7">
        <f>+E7*E6*(E16-E6/2)+2*(E16*E5)*(E16/2)+2*(E4-E16)*E5*(E4-E16)/2</f>
        <v>661420</v>
      </c>
      <c r="F18" s="7">
        <f>+(F3^3-F4^3)/6</f>
        <v>6519.7546666666649</v>
      </c>
      <c r="G18" s="7">
        <f>+((G3*G4/2*G4/4)-((G3-2*G5)*(G4-2*G6)/2*(G4-2*G6)/4))*2</f>
        <v>189536</v>
      </c>
      <c r="H18" s="7" t="s">
        <v>34</v>
      </c>
    </row>
    <row r="19" spans="1:13" ht="16.149999999999999" x14ac:dyDescent="0.35">
      <c r="A19" s="15" t="s">
        <v>40</v>
      </c>
      <c r="B19" s="21" t="s">
        <v>41</v>
      </c>
      <c r="C19" s="19">
        <f>+$L$3*C17/$L$4/10^6</f>
        <v>213.42109090909091</v>
      </c>
      <c r="D19" s="19">
        <f>+$L$3*D17/$L$4/10^6</f>
        <v>106.47572727272727</v>
      </c>
      <c r="E19" s="19">
        <f>+$L$3*E17/$L$4/10^6</f>
        <v>187.21309090909091</v>
      </c>
      <c r="F19" s="19">
        <f>+$L$3*F17/$L$4/10^6</f>
        <v>2.0744673939393934</v>
      </c>
      <c r="G19" s="19">
        <f>+$L$3*G17/$L$4/10^6</f>
        <v>111.20581818181817</v>
      </c>
      <c r="H19" s="16"/>
    </row>
    <row r="20" spans="1:13" ht="16.149999999999999" x14ac:dyDescent="0.35">
      <c r="A20" s="15" t="s">
        <v>42</v>
      </c>
      <c r="B20" s="21" t="s">
        <v>41</v>
      </c>
      <c r="C20" s="19">
        <f>+$L$3*C18/10^6/$L$4</f>
        <v>44.359636363636362</v>
      </c>
      <c r="D20" s="19">
        <f>+$L$3*D18/10^6/$L$4</f>
        <v>22.943454545454543</v>
      </c>
      <c r="E20" s="19">
        <f>+$L$3*E18/10^6/$L$4</f>
        <v>210.45181818181817</v>
      </c>
      <c r="F20" s="19">
        <f>+$L$3*F18/10^6/$L$4</f>
        <v>2.0744673939393934</v>
      </c>
      <c r="G20" s="19">
        <f>+$L$3*G18/10^6/$L$4</f>
        <v>60.30690909090908</v>
      </c>
      <c r="H20" s="18"/>
    </row>
    <row r="21" spans="1:13" ht="16.149999999999999" x14ac:dyDescent="0.35">
      <c r="A21" s="15" t="s">
        <v>43</v>
      </c>
      <c r="B21" s="21" t="s">
        <v>0</v>
      </c>
      <c r="C21" s="20">
        <f>+SQRT(C11/C10)</f>
        <v>123.5864872658445</v>
      </c>
      <c r="D21" s="20">
        <f t="shared" ref="D21:G21" si="2">+SQRT(D11/D10)</f>
        <v>97.086818958664338</v>
      </c>
      <c r="E21" s="20">
        <f t="shared" si="2"/>
        <v>90.373643203310664</v>
      </c>
      <c r="F21" s="20">
        <f t="shared" si="2"/>
        <v>15.985344850831336</v>
      </c>
      <c r="G21" s="20">
        <f t="shared" si="2"/>
        <v>73.924075348667159</v>
      </c>
      <c r="H21" s="16"/>
      <c r="M21" s="1"/>
    </row>
    <row r="22" spans="1:13" ht="16.149999999999999" x14ac:dyDescent="0.35">
      <c r="A22" s="15" t="s">
        <v>44</v>
      </c>
      <c r="B22" s="22" t="s">
        <v>0</v>
      </c>
      <c r="C22" s="23">
        <f>+SQRT(C12/C10)</f>
        <v>34.120633506047255</v>
      </c>
      <c r="D22" s="23">
        <f t="shared" ref="D22:G22" si="3">+SQRT(D12/D10)</f>
        <v>28.729124126910225</v>
      </c>
      <c r="E22" s="23">
        <f t="shared" si="3"/>
        <v>112.23763916578845</v>
      </c>
      <c r="F22" s="23">
        <f t="shared" si="3"/>
        <v>15.985344850831336</v>
      </c>
      <c r="G22" s="23">
        <f t="shared" si="3"/>
        <v>39.098533176111829</v>
      </c>
      <c r="H22" s="1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6" sqref="G16"/>
    </sheetView>
  </sheetViews>
  <sheetFormatPr defaultRowHeight="15" x14ac:dyDescent="0.25"/>
  <sheetData>
    <row r="1" spans="1:6" ht="14.45" x14ac:dyDescent="0.3">
      <c r="A1" s="13" t="s">
        <v>27</v>
      </c>
    </row>
    <row r="2" spans="1:6" ht="14.45" x14ac:dyDescent="0.3">
      <c r="A2" t="s">
        <v>38</v>
      </c>
    </row>
    <row r="3" spans="1:6" ht="15.6" x14ac:dyDescent="0.3">
      <c r="A3" t="s">
        <v>28</v>
      </c>
      <c r="E3" s="1"/>
      <c r="F3" s="1"/>
    </row>
    <row r="4" spans="1:6" ht="15.6" x14ac:dyDescent="0.35">
      <c r="A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Naveenb</dc:creator>
  <cp:lastModifiedBy>Geodesic  Techniques</cp:lastModifiedBy>
  <cp:lastPrinted>2016-06-27T11:43:35Z</cp:lastPrinted>
  <dcterms:created xsi:type="dcterms:W3CDTF">2016-06-27T10:19:31Z</dcterms:created>
  <dcterms:modified xsi:type="dcterms:W3CDTF">2019-05-07T05:58:40Z</dcterms:modified>
</cp:coreProperties>
</file>