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9320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7" i="1"/>
  <c r="H36"/>
  <c r="H23"/>
  <c r="H97"/>
  <c r="H91"/>
  <c r="H81"/>
  <c r="H82" s="1"/>
  <c r="H83" s="1"/>
  <c r="H22"/>
  <c r="H52" l="1"/>
  <c r="H51"/>
  <c r="H34"/>
  <c r="H44"/>
  <c r="H43" s="1"/>
  <c r="H42"/>
  <c r="H54" s="1"/>
  <c r="H38"/>
  <c r="H47" l="1"/>
  <c r="H73"/>
  <c r="H46"/>
  <c r="H27"/>
  <c r="H53" s="1"/>
  <c r="H55" s="1"/>
  <c r="H56" s="1"/>
  <c r="H49"/>
  <c r="H50" s="1"/>
  <c r="H39"/>
  <c r="H57" l="1"/>
  <c r="H58" s="1"/>
  <c r="H59" s="1"/>
  <c r="H48"/>
  <c r="H64" l="1"/>
  <c r="H68"/>
  <c r="H75" s="1"/>
</calcChain>
</file>

<file path=xl/sharedStrings.xml><?xml version="1.0" encoding="utf-8"?>
<sst xmlns="http://schemas.openxmlformats.org/spreadsheetml/2006/main" count="234" uniqueCount="140">
  <si>
    <t>=</t>
  </si>
  <si>
    <t>Steps Involved:</t>
  </si>
  <si>
    <t>2. Load Allocation</t>
  </si>
  <si>
    <t xml:space="preserve">Extraction of forces </t>
  </si>
  <si>
    <t>Load Allocation</t>
  </si>
  <si>
    <t>a. Section Classification</t>
  </si>
  <si>
    <t>b. Compressive strength of CFT Column</t>
  </si>
  <si>
    <t>Load Transfer</t>
  </si>
  <si>
    <t>a. Check for Direct Bearing</t>
  </si>
  <si>
    <t>b. Check for Shear Connection</t>
  </si>
  <si>
    <t>Table I 1.1 A</t>
  </si>
  <si>
    <t xml:space="preserve">Reference: </t>
  </si>
  <si>
    <t>Load Transfer mechanism of concrete and steel in CFT columns (AISC 360-10)</t>
  </si>
  <si>
    <t>Page</t>
  </si>
  <si>
    <t>Sec I.2</t>
  </si>
  <si>
    <t>Sec I.6.2</t>
  </si>
  <si>
    <t>Sec I.6.3a</t>
  </si>
  <si>
    <t>Sec I.6.3b</t>
  </si>
  <si>
    <t>Sec I.6.3c</t>
  </si>
  <si>
    <t>Calculation</t>
  </si>
  <si>
    <t>Maximum compressive force</t>
  </si>
  <si>
    <t>kN</t>
  </si>
  <si>
    <t>1. Input and Force Extraction</t>
  </si>
  <si>
    <t>Diameter of Column tube</t>
  </si>
  <si>
    <t>D</t>
  </si>
  <si>
    <t>mm</t>
  </si>
  <si>
    <t>Thickness of tube section</t>
  </si>
  <si>
    <t>t</t>
  </si>
  <si>
    <t>Width to thickness ratio</t>
  </si>
  <si>
    <t>D/t</t>
  </si>
  <si>
    <t>Limiting width to thickness ratio</t>
  </si>
  <si>
    <t>Compact</t>
  </si>
  <si>
    <t>Non compact</t>
  </si>
  <si>
    <t>Slender</t>
  </si>
  <si>
    <t>Yeild strength of section</t>
  </si>
  <si>
    <t>Ultimate strength of section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</si>
  <si>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</si>
  <si>
    <r>
      <t>f</t>
    </r>
    <r>
      <rPr>
        <vertAlign val="subscript"/>
        <sz val="11"/>
        <color theme="1"/>
        <rFont val="Calibri"/>
        <family val="2"/>
        <scheme val="minor"/>
      </rPr>
      <t>u</t>
    </r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</si>
  <si>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</si>
  <si>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t>Classification of section</t>
  </si>
  <si>
    <t>Cylinderical strength of concrete</t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</si>
  <si>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</si>
  <si>
    <t>Modulus of Elasticity of concrete</t>
  </si>
  <si>
    <t>Modulus of Elasticity of steel</t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</si>
  <si>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</si>
  <si>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</si>
  <si>
    <t>Area of structural section</t>
  </si>
  <si>
    <t>As</t>
  </si>
  <si>
    <t>Area of concrete section</t>
  </si>
  <si>
    <t>Ac</t>
  </si>
  <si>
    <t>Area of reinforcement steel</t>
  </si>
  <si>
    <t>Asr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</si>
  <si>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</si>
  <si>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Percentage of steel reinforcement</t>
  </si>
  <si>
    <r>
      <t>p</t>
    </r>
    <r>
      <rPr>
        <vertAlign val="subscript"/>
        <sz val="11"/>
        <color theme="1"/>
        <rFont val="Calibri"/>
        <family val="2"/>
        <scheme val="minor"/>
      </rPr>
      <t>t</t>
    </r>
  </si>
  <si>
    <t>Length of the column</t>
  </si>
  <si>
    <t>L</t>
  </si>
  <si>
    <t>C2</t>
  </si>
  <si>
    <r>
      <t>P</t>
    </r>
    <r>
      <rPr>
        <vertAlign val="subscript"/>
        <sz val="11"/>
        <color theme="1"/>
        <rFont val="Calibri"/>
        <family val="2"/>
        <scheme val="minor"/>
      </rPr>
      <t>p</t>
    </r>
  </si>
  <si>
    <t>For compact section</t>
  </si>
  <si>
    <t>For Non compaction section</t>
  </si>
  <si>
    <r>
      <t>P</t>
    </r>
    <r>
      <rPr>
        <vertAlign val="subscript"/>
        <sz val="11"/>
        <color theme="1"/>
        <rFont val="Calibri"/>
        <family val="2"/>
        <scheme val="minor"/>
      </rPr>
      <t>no</t>
    </r>
  </si>
  <si>
    <r>
      <t>P</t>
    </r>
    <r>
      <rPr>
        <vertAlign val="subscript"/>
        <sz val="11"/>
        <color theme="1"/>
        <rFont val="Calibri"/>
        <family val="2"/>
        <scheme val="minor"/>
      </rPr>
      <t>y</t>
    </r>
  </si>
  <si>
    <t>λp</t>
  </si>
  <si>
    <t>λr</t>
  </si>
  <si>
    <t>For slender section</t>
  </si>
  <si>
    <t>Fcr</t>
  </si>
  <si>
    <t>Pno</t>
  </si>
  <si>
    <t>c. Check for Direct Bond Interaction</t>
  </si>
  <si>
    <t>The entire external force is applied to steel section only</t>
  </si>
  <si>
    <t>Elastical critical buckling load</t>
  </si>
  <si>
    <t>Pe</t>
  </si>
  <si>
    <t>Moment of Inertia of steel section</t>
  </si>
  <si>
    <t>Moment of Inertia of concrete section</t>
  </si>
  <si>
    <t>Moment of Inertia of reinforcement bars</t>
  </si>
  <si>
    <t>Is</t>
  </si>
  <si>
    <t>Ic</t>
  </si>
  <si>
    <t>Isr</t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</si>
  <si>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</si>
  <si>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>Dia of Reinforcement bar</t>
  </si>
  <si>
    <t>Dsr</t>
  </si>
  <si>
    <t>No of Bars required</t>
  </si>
  <si>
    <t>N</t>
  </si>
  <si>
    <t>Cover to rebar</t>
  </si>
  <si>
    <r>
      <t>EI</t>
    </r>
    <r>
      <rPr>
        <vertAlign val="subscript"/>
        <sz val="11"/>
        <color theme="1"/>
        <rFont val="Calibri"/>
        <family val="2"/>
        <scheme val="minor"/>
      </rPr>
      <t>eff</t>
    </r>
  </si>
  <si>
    <r>
      <t>Nmm</t>
    </r>
    <r>
      <rPr>
        <vertAlign val="superscript"/>
        <sz val="11"/>
        <color theme="1"/>
        <rFont val="Calibri"/>
        <family val="2"/>
        <scheme val="minor"/>
      </rPr>
      <t>2</t>
    </r>
  </si>
  <si>
    <t>C3</t>
  </si>
  <si>
    <t>Effective length factor</t>
  </si>
  <si>
    <t>K</t>
  </si>
  <si>
    <t>Pno/Pe</t>
  </si>
  <si>
    <t>Available compressive strength</t>
  </si>
  <si>
    <t>Design Compressive strength of CFT Column</t>
  </si>
  <si>
    <t xml:space="preserve">The force required to be transferred to the concrete </t>
  </si>
  <si>
    <r>
      <t>V'</t>
    </r>
    <r>
      <rPr>
        <vertAlign val="subscript"/>
        <sz val="11"/>
        <color theme="1"/>
        <rFont val="Calibri"/>
        <family val="2"/>
        <scheme val="minor"/>
      </rPr>
      <t>r</t>
    </r>
  </si>
  <si>
    <r>
      <t>P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*(1-F</t>
    </r>
    <r>
      <rPr>
        <vertAlign val="subscript"/>
        <sz val="14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>A</t>
    </r>
    <r>
      <rPr>
        <vertAlign val="subscript"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/P</t>
    </r>
    <r>
      <rPr>
        <vertAlign val="subscript"/>
        <sz val="14"/>
        <color theme="1"/>
        <rFont val="Calibri"/>
        <family val="2"/>
        <scheme val="minor"/>
      </rPr>
      <t>no</t>
    </r>
    <r>
      <rPr>
        <sz val="14"/>
        <color theme="1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</si>
  <si>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r</t>
    </r>
  </si>
  <si>
    <t>The entire external force is applied to concrete infill only</t>
  </si>
  <si>
    <t>The force required to be transferred to the steel</t>
  </si>
  <si>
    <r>
      <t>P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*(F</t>
    </r>
    <r>
      <rPr>
        <vertAlign val="subscript"/>
        <sz val="14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>A</t>
    </r>
    <r>
      <rPr>
        <vertAlign val="subscript"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/P</t>
    </r>
    <r>
      <rPr>
        <vertAlign val="subscript"/>
        <sz val="14"/>
        <color theme="1"/>
        <rFont val="Calibri"/>
        <family val="2"/>
        <scheme val="minor"/>
      </rPr>
      <t>no</t>
    </r>
    <r>
      <rPr>
        <sz val="14"/>
        <color theme="1"/>
        <rFont val="Calibri"/>
        <family val="2"/>
        <scheme val="minor"/>
      </rPr>
      <t>)</t>
    </r>
  </si>
  <si>
    <t>External force is applied to steel section and concrete concurrently</t>
  </si>
  <si>
    <t>The force required to produce equillibrium of cross section</t>
  </si>
  <si>
    <r>
      <rPr>
        <sz val="14"/>
        <color theme="1"/>
        <rFont val="Calibri"/>
        <family val="2"/>
      </rPr>
      <t>|</t>
    </r>
    <r>
      <rPr>
        <sz val="14"/>
        <color theme="1"/>
        <rFont val="Calibri"/>
        <family val="2"/>
        <scheme val="minor"/>
      </rPr>
      <t>P</t>
    </r>
    <r>
      <rPr>
        <vertAlign val="subscript"/>
        <sz val="14"/>
        <color theme="1"/>
        <rFont val="Calibri"/>
        <family val="2"/>
        <scheme val="minor"/>
      </rPr>
      <t>rs</t>
    </r>
    <r>
      <rPr>
        <sz val="14"/>
        <color theme="1"/>
        <rFont val="Calibri"/>
        <family val="2"/>
        <scheme val="minor"/>
      </rPr>
      <t>-P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*(F</t>
    </r>
    <r>
      <rPr>
        <vertAlign val="subscript"/>
        <sz val="14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>A</t>
    </r>
    <r>
      <rPr>
        <vertAlign val="subscript"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/P</t>
    </r>
    <r>
      <rPr>
        <vertAlign val="subscript"/>
        <sz val="14"/>
        <color theme="1"/>
        <rFont val="Calibri"/>
        <family val="2"/>
        <scheme val="minor"/>
      </rPr>
      <t>no</t>
    </r>
    <r>
      <rPr>
        <sz val="14"/>
        <color theme="1"/>
        <rFont val="Calibri"/>
        <family val="2"/>
        <scheme val="minor"/>
      </rPr>
      <t>)|</t>
    </r>
  </si>
  <si>
    <t>portion of external force applied directly to the steel section</t>
  </si>
  <si>
    <r>
      <t>P</t>
    </r>
    <r>
      <rPr>
        <vertAlign val="subscript"/>
        <sz val="11"/>
        <color theme="1"/>
        <rFont val="Calibri"/>
        <family val="2"/>
        <scheme val="minor"/>
      </rPr>
      <t>rs</t>
    </r>
  </si>
  <si>
    <t>(Based on materila axial stiffnes)</t>
  </si>
  <si>
    <r>
      <t>(E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/(E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+E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))*P</t>
    </r>
    <r>
      <rPr>
        <b/>
        <vertAlign val="subscript"/>
        <sz val="11"/>
        <color theme="1"/>
        <rFont val="Calibri"/>
        <family val="2"/>
        <scheme val="minor"/>
      </rPr>
      <t>r</t>
    </r>
  </si>
  <si>
    <t>c. Transfer of force based on diff loading condition</t>
  </si>
  <si>
    <t>Loading condition of transfer of force</t>
  </si>
  <si>
    <t>Load transfer through internal bearing plate</t>
  </si>
  <si>
    <t>Internal plate protrusion</t>
  </si>
  <si>
    <r>
      <t>L</t>
    </r>
    <r>
      <rPr>
        <vertAlign val="subscript"/>
        <sz val="11"/>
        <color theme="1"/>
        <rFont val="Calibri"/>
        <family val="2"/>
        <scheme val="minor"/>
      </rPr>
      <t>p</t>
    </r>
  </si>
  <si>
    <t>Contact area between the bearing plate and concrete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</si>
  <si>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</si>
  <si>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The available strength for direct bearing force transfer mechanism</t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</si>
  <si>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</si>
  <si>
    <t>Design strength</t>
  </si>
  <si>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n</t>
    </r>
  </si>
  <si>
    <t>Required thickness of Internal Bearing Plate</t>
  </si>
  <si>
    <t>Based on Roark's formula</t>
  </si>
  <si>
    <t>a. Direct bearing</t>
  </si>
  <si>
    <t>b. Shear connection</t>
  </si>
  <si>
    <t>Minimum tensile strength of steel headed anchor</t>
  </si>
  <si>
    <r>
      <t>F</t>
    </r>
    <r>
      <rPr>
        <vertAlign val="subscript"/>
        <sz val="11"/>
        <color theme="1"/>
        <rFont val="Calibri"/>
        <family val="2"/>
        <scheme val="minor"/>
      </rPr>
      <t>u</t>
    </r>
  </si>
  <si>
    <t>Cross sectional area of steel headed anchor</t>
  </si>
  <si>
    <t>A</t>
  </si>
  <si>
    <t>Design shear strength</t>
  </si>
  <si>
    <r>
      <t>φ</t>
    </r>
    <r>
      <rPr>
        <vertAlign val="subscript"/>
        <sz val="11"/>
        <color theme="1"/>
        <rFont val="Calibri"/>
        <family val="2"/>
      </rPr>
      <t>v</t>
    </r>
    <r>
      <rPr>
        <sz val="11"/>
        <color theme="1"/>
        <rFont val="Calibri"/>
        <family val="2"/>
      </rPr>
      <t>Q</t>
    </r>
    <r>
      <rPr>
        <vertAlign val="subscript"/>
        <sz val="11"/>
        <color theme="1"/>
        <rFont val="Calibri"/>
        <family val="2"/>
      </rPr>
      <t>nv</t>
    </r>
  </si>
  <si>
    <t>No of shear studs in Load introduction length of 2d</t>
  </si>
  <si>
    <t>c. Direct Bond Interaction</t>
  </si>
  <si>
    <t xml:space="preserve">Design bond strength </t>
  </si>
  <si>
    <r>
      <t>φR</t>
    </r>
    <r>
      <rPr>
        <vertAlign val="subscript"/>
        <sz val="11"/>
        <color theme="1"/>
        <rFont val="Calibri"/>
        <family val="2"/>
      </rPr>
      <t>n</t>
    </r>
  </si>
  <si>
    <r>
      <t>0.45*0.25*pi()*D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*C</t>
    </r>
    <r>
      <rPr>
        <b/>
        <vertAlign val="subscript"/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>*F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</si>
  <si>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C</t>
    </r>
    <r>
      <rPr>
        <vertAlign val="subscript"/>
        <sz val="11"/>
        <color theme="1"/>
        <rFont val="Calibri"/>
        <family val="2"/>
        <scheme val="minor"/>
      </rPr>
      <t>in</t>
    </r>
  </si>
  <si>
    <r>
      <t>F</t>
    </r>
    <r>
      <rPr>
        <vertAlign val="subscript"/>
        <sz val="11"/>
        <color theme="1"/>
        <rFont val="Calibri"/>
        <family val="2"/>
        <scheme val="minor"/>
      </rPr>
      <t>in</t>
    </r>
  </si>
  <si>
    <t>a. Section Classification (pg-140)</t>
  </si>
  <si>
    <t>b. Compressive Strength of CFT Column (pg-143)</t>
  </si>
  <si>
    <t>c.1. Transfer Force for Condition (a) (pg-151)</t>
  </si>
  <si>
    <t>c.2. Transfer Force for Condition (b) (pg-151)</t>
  </si>
  <si>
    <t>c.3. Transfer Force for Condition (C) (pg-151)</t>
  </si>
  <si>
    <t xml:space="preserve">3. Load Transfer: 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</si>
</sst>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indent="1"/>
    </xf>
    <xf numFmtId="2" fontId="0" fillId="0" borderId="0" xfId="0" applyNumberFormat="1"/>
    <xf numFmtId="1" fontId="0" fillId="0" borderId="0" xfId="0" applyNumberFormat="1"/>
    <xf numFmtId="164" fontId="0" fillId="0" borderId="0" xfId="1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1" applyNumberFormat="1" applyFont="1"/>
    <xf numFmtId="0" fontId="0" fillId="2" borderId="0" xfId="0" applyFill="1"/>
    <xf numFmtId="1" fontId="0" fillId="2" borderId="0" xfId="0" applyNumberFormat="1" applyFill="1"/>
    <xf numFmtId="10" fontId="0" fillId="2" borderId="0" xfId="0" applyNumberFormat="1" applyFill="1"/>
    <xf numFmtId="2" fontId="0" fillId="2" borderId="0" xfId="0" applyNumberFormat="1" applyFill="1"/>
    <xf numFmtId="164" fontId="0" fillId="0" borderId="0" xfId="1" applyNumberFormat="1" applyFont="1"/>
    <xf numFmtId="2" fontId="0" fillId="0" borderId="0" xfId="1" applyNumberFormat="1" applyFont="1"/>
    <xf numFmtId="164" fontId="2" fillId="0" borderId="0" xfId="1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Alignment="1">
      <alignment horizontal="left" indent="2"/>
    </xf>
    <xf numFmtId="164" fontId="0" fillId="0" borderId="0" xfId="0" applyNumberFormat="1"/>
    <xf numFmtId="164" fontId="0" fillId="0" borderId="0" xfId="1" applyFont="1" applyAlignment="1">
      <alignment horizontal="center" vertical="center"/>
    </xf>
    <xf numFmtId="164" fontId="0" fillId="0" borderId="0" xfId="1" applyFont="1" applyAlignment="1">
      <alignment horizontal="center"/>
    </xf>
    <xf numFmtId="0" fontId="0" fillId="3" borderId="0" xfId="0" applyFill="1"/>
    <xf numFmtId="0" fontId="0" fillId="0" borderId="0" xfId="0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36994</xdr:colOff>
      <xdr:row>4</xdr:row>
      <xdr:rowOff>0</xdr:rowOff>
    </xdr:from>
    <xdr:to>
      <xdr:col>16</xdr:col>
      <xdr:colOff>76200</xdr:colOff>
      <xdr:row>13</xdr:row>
      <xdr:rowOff>139060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37794" y="914400"/>
          <a:ext cx="3915881" cy="185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97"/>
  <sheetViews>
    <sheetView tabSelected="1" workbookViewId="0">
      <selection activeCell="H12" sqref="H12"/>
    </sheetView>
  </sheetViews>
  <sheetFormatPr defaultRowHeight="15"/>
  <cols>
    <col min="2" max="2" width="15.42578125" customWidth="1"/>
    <col min="3" max="3" width="15" customWidth="1"/>
    <col min="4" max="4" width="15.140625" customWidth="1"/>
    <col min="5" max="5" width="13.5703125" customWidth="1"/>
    <col min="6" max="6" width="9.140625" style="4"/>
    <col min="7" max="7" width="12.5703125" style="4" customWidth="1"/>
    <col min="8" max="8" width="12.28515625" customWidth="1"/>
    <col min="10" max="10" width="10" bestFit="1" customWidth="1"/>
    <col min="12" max="12" width="12.42578125" customWidth="1"/>
  </cols>
  <sheetData>
    <row r="2" spans="1:11" ht="26.25">
      <c r="A2" s="2" t="s">
        <v>12</v>
      </c>
    </row>
    <row r="4" spans="1:11" ht="15.75">
      <c r="A4" s="3" t="s">
        <v>1</v>
      </c>
      <c r="G4" s="5" t="s">
        <v>11</v>
      </c>
      <c r="H4" t="s">
        <v>13</v>
      </c>
      <c r="K4" t="s">
        <v>107</v>
      </c>
    </row>
    <row r="5" spans="1:11">
      <c r="A5" s="6">
        <v>1</v>
      </c>
      <c r="B5" s="5" t="s">
        <v>3</v>
      </c>
      <c r="C5" s="4"/>
      <c r="G5" s="5"/>
    </row>
    <row r="6" spans="1:11">
      <c r="A6" s="6">
        <v>2</v>
      </c>
      <c r="B6" s="5" t="s">
        <v>4</v>
      </c>
      <c r="C6" s="4"/>
      <c r="G6" s="5"/>
    </row>
    <row r="7" spans="1:11">
      <c r="A7" s="4"/>
      <c r="B7" s="5" t="s">
        <v>5</v>
      </c>
      <c r="C7" s="4"/>
      <c r="G7" s="5" t="s">
        <v>10</v>
      </c>
      <c r="H7">
        <v>140</v>
      </c>
    </row>
    <row r="8" spans="1:11">
      <c r="B8" s="5" t="s">
        <v>6</v>
      </c>
      <c r="G8" s="5" t="s">
        <v>14</v>
      </c>
      <c r="H8">
        <v>143</v>
      </c>
    </row>
    <row r="9" spans="1:11">
      <c r="B9" s="5" t="s">
        <v>106</v>
      </c>
      <c r="G9" s="5" t="s">
        <v>15</v>
      </c>
      <c r="H9">
        <v>150</v>
      </c>
    </row>
    <row r="10" spans="1:11">
      <c r="A10">
        <v>3</v>
      </c>
      <c r="B10" s="5" t="s">
        <v>7</v>
      </c>
      <c r="G10" s="5"/>
    </row>
    <row r="11" spans="1:11">
      <c r="B11" s="5" t="s">
        <v>8</v>
      </c>
      <c r="G11" s="5" t="s">
        <v>16</v>
      </c>
      <c r="H11">
        <v>151</v>
      </c>
    </row>
    <row r="12" spans="1:11">
      <c r="B12" s="5" t="s">
        <v>9</v>
      </c>
      <c r="G12" s="5" t="s">
        <v>17</v>
      </c>
      <c r="H12">
        <v>151</v>
      </c>
    </row>
    <row r="13" spans="1:11">
      <c r="B13" s="5" t="s">
        <v>68</v>
      </c>
      <c r="G13" s="5" t="s">
        <v>18</v>
      </c>
      <c r="H13">
        <v>151</v>
      </c>
    </row>
    <row r="15" spans="1:11" ht="15.75">
      <c r="A15" s="3" t="s">
        <v>19</v>
      </c>
    </row>
    <row r="16" spans="1:11">
      <c r="A16" s="1" t="s">
        <v>22</v>
      </c>
    </row>
    <row r="17" spans="1:9">
      <c r="A17" s="1"/>
      <c r="B17" t="s">
        <v>23</v>
      </c>
      <c r="F17" s="4" t="s">
        <v>24</v>
      </c>
      <c r="G17" s="4" t="s">
        <v>0</v>
      </c>
      <c r="H17" s="14">
        <v>1000</v>
      </c>
      <c r="I17" t="s">
        <v>25</v>
      </c>
    </row>
    <row r="18" spans="1:9">
      <c r="A18" s="1"/>
      <c r="B18" t="s">
        <v>26</v>
      </c>
      <c r="F18" s="4" t="s">
        <v>27</v>
      </c>
      <c r="G18" s="4" t="s">
        <v>0</v>
      </c>
      <c r="H18" s="14">
        <v>25</v>
      </c>
      <c r="I18" t="s">
        <v>25</v>
      </c>
    </row>
    <row r="19" spans="1:9" ht="18">
      <c r="A19" s="1"/>
      <c r="B19" t="s">
        <v>34</v>
      </c>
      <c r="F19" s="4" t="s">
        <v>36</v>
      </c>
      <c r="G19" s="4" t="s">
        <v>0</v>
      </c>
      <c r="H19" s="14">
        <v>350</v>
      </c>
      <c r="I19" t="s">
        <v>38</v>
      </c>
    </row>
    <row r="20" spans="1:9" ht="18">
      <c r="A20" s="1"/>
      <c r="B20" t="s">
        <v>35</v>
      </c>
      <c r="F20" s="4" t="s">
        <v>37</v>
      </c>
      <c r="G20" s="4" t="s">
        <v>0</v>
      </c>
      <c r="H20" s="14">
        <v>490</v>
      </c>
      <c r="I20" t="s">
        <v>38</v>
      </c>
    </row>
    <row r="21" spans="1:9" ht="18">
      <c r="A21" s="1"/>
      <c r="B21" t="s">
        <v>43</v>
      </c>
      <c r="F21" s="4" t="s">
        <v>44</v>
      </c>
      <c r="G21" s="4" t="s">
        <v>0</v>
      </c>
      <c r="H21" s="9">
        <v>200000</v>
      </c>
      <c r="I21" t="s">
        <v>38</v>
      </c>
    </row>
    <row r="22" spans="1:9" ht="18">
      <c r="A22" s="1"/>
      <c r="B22" t="s">
        <v>40</v>
      </c>
      <c r="F22" s="4" t="s">
        <v>41</v>
      </c>
      <c r="G22" s="4" t="s">
        <v>0</v>
      </c>
      <c r="H22" s="15">
        <f>60</f>
        <v>60</v>
      </c>
      <c r="I22" t="s">
        <v>38</v>
      </c>
    </row>
    <row r="23" spans="1:9" ht="18">
      <c r="A23" s="1"/>
      <c r="B23" t="s">
        <v>42</v>
      </c>
      <c r="F23" s="4" t="s">
        <v>45</v>
      </c>
      <c r="G23" s="4" t="s">
        <v>0</v>
      </c>
      <c r="H23" s="9">
        <f>0.043*2500^1.5*SQRT(H22)</f>
        <v>41634.5709717297</v>
      </c>
      <c r="I23" t="s">
        <v>38</v>
      </c>
    </row>
    <row r="24" spans="1:9" ht="18">
      <c r="A24" s="1"/>
      <c r="B24" t="s">
        <v>53</v>
      </c>
      <c r="F24" s="4" t="s">
        <v>54</v>
      </c>
      <c r="G24" s="4" t="s">
        <v>0</v>
      </c>
      <c r="H24" s="16">
        <v>0</v>
      </c>
    </row>
    <row r="25" spans="1:9">
      <c r="A25" s="1"/>
      <c r="B25" t="s">
        <v>79</v>
      </c>
      <c r="F25" s="4" t="s">
        <v>80</v>
      </c>
      <c r="G25" s="4" t="s">
        <v>0</v>
      </c>
      <c r="H25" s="17"/>
      <c r="I25" t="s">
        <v>25</v>
      </c>
    </row>
    <row r="26" spans="1:9">
      <c r="A26" s="1"/>
      <c r="B26" t="s">
        <v>83</v>
      </c>
      <c r="G26" s="4" t="s">
        <v>0</v>
      </c>
      <c r="H26" s="17"/>
      <c r="I26" t="s">
        <v>25</v>
      </c>
    </row>
    <row r="27" spans="1:9">
      <c r="A27" s="1"/>
      <c r="B27" t="s">
        <v>81</v>
      </c>
      <c r="F27" s="4" t="s">
        <v>82</v>
      </c>
      <c r="G27" s="4" t="s">
        <v>0</v>
      </c>
      <c r="H27" s="8">
        <f>IFERROR(CEILING(H44/(PI()*H25^2/4),1),0)</f>
        <v>0</v>
      </c>
    </row>
    <row r="28" spans="1:9">
      <c r="A28" s="1"/>
      <c r="B28" t="s">
        <v>87</v>
      </c>
      <c r="F28" s="4" t="s">
        <v>88</v>
      </c>
      <c r="G28" s="4" t="s">
        <v>0</v>
      </c>
      <c r="H28" s="17">
        <v>0.9</v>
      </c>
    </row>
    <row r="29" spans="1:9">
      <c r="B29" t="s">
        <v>55</v>
      </c>
      <c r="F29" s="4" t="s">
        <v>56</v>
      </c>
      <c r="G29" s="4" t="s">
        <v>0</v>
      </c>
      <c r="H29" s="14">
        <v>6000</v>
      </c>
      <c r="I29" t="s">
        <v>25</v>
      </c>
    </row>
    <row r="30" spans="1:9" ht="18">
      <c r="B30" t="s">
        <v>20</v>
      </c>
      <c r="F30" s="4" t="s">
        <v>95</v>
      </c>
      <c r="G30" s="4" t="s">
        <v>0</v>
      </c>
      <c r="H30" s="14">
        <v>41290</v>
      </c>
      <c r="I30" t="s">
        <v>21</v>
      </c>
    </row>
    <row r="32" spans="1:9">
      <c r="A32" s="1" t="s">
        <v>2</v>
      </c>
    </row>
    <row r="33" spans="1:17">
      <c r="A33" s="7" t="s">
        <v>134</v>
      </c>
    </row>
    <row r="34" spans="1:17">
      <c r="B34" t="s">
        <v>28</v>
      </c>
      <c r="F34" s="4" t="s">
        <v>29</v>
      </c>
      <c r="G34" s="4" t="s">
        <v>0</v>
      </c>
      <c r="H34">
        <f>H17/H18</f>
        <v>40</v>
      </c>
    </row>
    <row r="35" spans="1:17">
      <c r="B35" t="s">
        <v>30</v>
      </c>
    </row>
    <row r="36" spans="1:17">
      <c r="C36" t="s">
        <v>31</v>
      </c>
      <c r="F36" s="11" t="s">
        <v>63</v>
      </c>
      <c r="G36" s="4" t="s">
        <v>0</v>
      </c>
      <c r="H36" s="10">
        <f>0.09*H21/H19</f>
        <v>51.428571428571431</v>
      </c>
      <c r="L36" s="30"/>
      <c r="Q36" s="10"/>
    </row>
    <row r="37" spans="1:17">
      <c r="C37" t="s">
        <v>32</v>
      </c>
      <c r="F37" s="11" t="s">
        <v>64</v>
      </c>
      <c r="G37" s="4" t="s">
        <v>0</v>
      </c>
      <c r="H37" s="10">
        <f>0.31*H21/H19</f>
        <v>177.14285714285714</v>
      </c>
      <c r="L37" s="30"/>
    </row>
    <row r="38" spans="1:17">
      <c r="C38" t="s">
        <v>33</v>
      </c>
      <c r="G38" s="4" t="s">
        <v>0</v>
      </c>
      <c r="H38" s="10">
        <f>0.31*H21/H19</f>
        <v>177.14285714285714</v>
      </c>
      <c r="L38" s="30"/>
    </row>
    <row r="39" spans="1:17">
      <c r="B39" s="1" t="s">
        <v>39</v>
      </c>
      <c r="G39" s="4" t="s">
        <v>0</v>
      </c>
      <c r="H39" s="1" t="str">
        <f>IF(H34&lt;=H36, "Compact",IF(H34&lt;=H37,"Non Compact","Slender"))</f>
        <v>Compact</v>
      </c>
      <c r="L39" s="30"/>
    </row>
    <row r="40" spans="1:17">
      <c r="B40" s="1"/>
      <c r="H40" s="1"/>
      <c r="L40" s="30"/>
    </row>
    <row r="41" spans="1:17">
      <c r="A41" s="7" t="s">
        <v>135</v>
      </c>
      <c r="L41" s="30"/>
    </row>
    <row r="42" spans="1:17" ht="17.25">
      <c r="B42" t="s">
        <v>46</v>
      </c>
      <c r="F42" s="4" t="s">
        <v>47</v>
      </c>
      <c r="G42" s="4" t="s">
        <v>0</v>
      </c>
      <c r="H42">
        <f>PI()*(H17^2-(H17-2*H18)^2)/4</f>
        <v>76576.320931251204</v>
      </c>
      <c r="I42" t="s">
        <v>52</v>
      </c>
      <c r="L42" s="30"/>
      <c r="M42" s="31"/>
    </row>
    <row r="43" spans="1:17" ht="17.25">
      <c r="B43" t="s">
        <v>48</v>
      </c>
      <c r="F43" s="4" t="s">
        <v>49</v>
      </c>
      <c r="G43" s="4" t="s">
        <v>0</v>
      </c>
      <c r="H43">
        <f>PI()*(H17-2*H18)^2/4-H44</f>
        <v>708821.84246619709</v>
      </c>
      <c r="I43" t="s">
        <v>52</v>
      </c>
      <c r="L43" s="31"/>
      <c r="M43" s="31"/>
      <c r="Q43" s="10"/>
    </row>
    <row r="44" spans="1:17" ht="17.25">
      <c r="B44" t="s">
        <v>50</v>
      </c>
      <c r="F44" s="4" t="s">
        <v>51</v>
      </c>
      <c r="G44" s="4" t="s">
        <v>0</v>
      </c>
      <c r="H44">
        <f>H24*PI()*(H17-2*H18)^2/4</f>
        <v>0</v>
      </c>
      <c r="I44" t="s">
        <v>52</v>
      </c>
      <c r="L44" s="31"/>
    </row>
    <row r="45" spans="1:17">
      <c r="F45" s="4" t="s">
        <v>57</v>
      </c>
      <c r="G45" s="4" t="s">
        <v>0</v>
      </c>
      <c r="H45">
        <v>0.95</v>
      </c>
      <c r="L45" s="31"/>
      <c r="M45" s="31"/>
    </row>
    <row r="46" spans="1:17" ht="18">
      <c r="B46" t="s">
        <v>59</v>
      </c>
      <c r="F46" s="4" t="s">
        <v>58</v>
      </c>
      <c r="G46" s="4" t="s">
        <v>0</v>
      </c>
      <c r="H46" s="10">
        <f>(H19*H42+H45*H22*(H43+H44*H21/H23))/1000</f>
        <v>67204.557346511152</v>
      </c>
      <c r="I46" t="s">
        <v>21</v>
      </c>
      <c r="J46" s="26"/>
      <c r="L46" s="31"/>
      <c r="M46" s="31"/>
    </row>
    <row r="47" spans="1:17" ht="18">
      <c r="B47" t="s">
        <v>60</v>
      </c>
      <c r="F47" s="4" t="s">
        <v>62</v>
      </c>
      <c r="G47" s="4" t="s">
        <v>0</v>
      </c>
      <c r="H47">
        <f>(H19*H42+0.7*H22*(H43+H44*H21/H23))/1000</f>
        <v>56572.2297095182</v>
      </c>
      <c r="I47" t="s">
        <v>21</v>
      </c>
      <c r="L47" s="31"/>
      <c r="M47" s="31"/>
    </row>
    <row r="48" spans="1:17" ht="18">
      <c r="F48" s="4" t="s">
        <v>61</v>
      </c>
      <c r="G48" s="4" t="s">
        <v>0</v>
      </c>
      <c r="H48" s="10">
        <f>H46-(H46-H47)*(H34-H36)^2/(H37-H36)^2</f>
        <v>67116.686870172372</v>
      </c>
      <c r="I48" t="s">
        <v>21</v>
      </c>
      <c r="L48" s="31"/>
    </row>
    <row r="49" spans="1:13" ht="17.25">
      <c r="B49" t="s">
        <v>65</v>
      </c>
      <c r="F49" s="4" t="s">
        <v>66</v>
      </c>
      <c r="G49" s="4" t="s">
        <v>0</v>
      </c>
      <c r="H49" s="10">
        <f>0.72*H19/(H34*H19/H21)^0.2</f>
        <v>428.92457812179725</v>
      </c>
      <c r="I49" t="s">
        <v>38</v>
      </c>
      <c r="L49" s="31"/>
    </row>
    <row r="50" spans="1:13" ht="18">
      <c r="F50" s="4" t="s">
        <v>61</v>
      </c>
      <c r="G50" s="4" t="s">
        <v>0</v>
      </c>
      <c r="H50" s="10">
        <f>(H49*H42+0.7*H22*(H43+H44*H21/H23))/1000</f>
        <v>62615.983533136554</v>
      </c>
      <c r="I50" t="s">
        <v>21</v>
      </c>
      <c r="L50" s="31"/>
    </row>
    <row r="51" spans="1:13" ht="17.25">
      <c r="B51" t="s">
        <v>72</v>
      </c>
      <c r="F51" s="4" t="s">
        <v>75</v>
      </c>
      <c r="G51" s="4" t="s">
        <v>0</v>
      </c>
      <c r="H51" s="13">
        <f>PI()/64*(H17^4-(H17-2*H18)^4)</f>
        <v>9105403160.7315884</v>
      </c>
      <c r="I51" t="s">
        <v>78</v>
      </c>
      <c r="L51" s="31"/>
    </row>
    <row r="52" spans="1:13" ht="17.25">
      <c r="B52" t="s">
        <v>73</v>
      </c>
      <c r="F52" s="4" t="s">
        <v>76</v>
      </c>
      <c r="G52" s="4" t="s">
        <v>0</v>
      </c>
      <c r="H52" s="13">
        <f>PI()/64*(H17-2*H18)^4</f>
        <v>39981982051.608925</v>
      </c>
      <c r="I52" t="s">
        <v>78</v>
      </c>
      <c r="L52" s="31"/>
    </row>
    <row r="53" spans="1:13" ht="17.25">
      <c r="B53" t="s">
        <v>74</v>
      </c>
      <c r="F53" s="4" t="s">
        <v>77</v>
      </c>
      <c r="G53" s="4" t="s">
        <v>0</v>
      </c>
      <c r="H53" s="10">
        <f>(PI()*H25^4/64+((PI()*H25^2/4)*(H17/2-H26)^2))*H27</f>
        <v>0</v>
      </c>
      <c r="I53" t="s">
        <v>78</v>
      </c>
      <c r="L53" s="31"/>
    </row>
    <row r="54" spans="1:13">
      <c r="F54" s="4" t="s">
        <v>86</v>
      </c>
      <c r="G54" s="4" t="s">
        <v>0</v>
      </c>
      <c r="H54" s="18">
        <f>MIN(0.6+2*(H42/(H42+H43)),0.9)</f>
        <v>0.79499999999999993</v>
      </c>
      <c r="L54" s="31"/>
    </row>
    <row r="55" spans="1:13" ht="18">
      <c r="F55" s="4" t="s">
        <v>84</v>
      </c>
      <c r="G55" s="4" t="s">
        <v>0</v>
      </c>
      <c r="H55" s="13">
        <f>H21*H51+H54*H23*H52+0.5*H21*H53</f>
        <v>3144463604254235</v>
      </c>
      <c r="I55" t="s">
        <v>85</v>
      </c>
      <c r="L55" s="31"/>
      <c r="M55" s="31"/>
    </row>
    <row r="56" spans="1:13">
      <c r="B56" t="s">
        <v>70</v>
      </c>
      <c r="F56" s="4" t="s">
        <v>71</v>
      </c>
      <c r="G56" s="4" t="s">
        <v>0</v>
      </c>
      <c r="H56" s="19">
        <f>IFERROR(PI()*PI()*H55/(H28*H29)^2,0)/1000</f>
        <v>1064287.0997123767</v>
      </c>
      <c r="I56" t="s">
        <v>21</v>
      </c>
    </row>
    <row r="57" spans="1:13">
      <c r="B57" t="s">
        <v>90</v>
      </c>
      <c r="F57" s="4" t="s">
        <v>67</v>
      </c>
      <c r="G57" s="4" t="s">
        <v>0</v>
      </c>
      <c r="H57" s="19">
        <f>IF(H39="Compact",H46,IF(H39="Non Compact",H48,H50))</f>
        <v>67204.557346511152</v>
      </c>
      <c r="I57" t="s">
        <v>21</v>
      </c>
    </row>
    <row r="58" spans="1:13">
      <c r="F58" s="4" t="s">
        <v>89</v>
      </c>
      <c r="G58" s="4" t="s">
        <v>0</v>
      </c>
      <c r="H58" s="19">
        <f>H57/H56</f>
        <v>6.314513946910863E-2</v>
      </c>
    </row>
    <row r="59" spans="1:13">
      <c r="B59" s="1" t="s">
        <v>91</v>
      </c>
      <c r="F59" s="12" t="s">
        <v>67</v>
      </c>
      <c r="G59" s="12" t="s">
        <v>0</v>
      </c>
      <c r="H59" s="20">
        <f>IF(H58&lt;=2.25,H57*0.658^H58,0.877*H56)*0.75</f>
        <v>49088.734588360479</v>
      </c>
      <c r="I59" s="1" t="s">
        <v>21</v>
      </c>
      <c r="K59" s="26"/>
      <c r="L59" s="1"/>
    </row>
    <row r="61" spans="1:13">
      <c r="A61" s="7" t="s">
        <v>136</v>
      </c>
    </row>
    <row r="62" spans="1:13">
      <c r="B62" t="s">
        <v>69</v>
      </c>
    </row>
    <row r="63" spans="1:13" ht="20.25">
      <c r="B63" t="s">
        <v>92</v>
      </c>
      <c r="F63" s="4" t="s">
        <v>93</v>
      </c>
      <c r="G63" s="4" t="s">
        <v>0</v>
      </c>
      <c r="H63" s="21" t="s">
        <v>94</v>
      </c>
    </row>
    <row r="64" spans="1:13">
      <c r="G64" s="4" t="s">
        <v>0</v>
      </c>
      <c r="H64" s="27">
        <f>H30*(1-H19*H42/H57/1000)</f>
        <v>24823.219388202298</v>
      </c>
      <c r="I64" t="s">
        <v>21</v>
      </c>
    </row>
    <row r="65" spans="1:9">
      <c r="A65" s="7" t="s">
        <v>137</v>
      </c>
    </row>
    <row r="66" spans="1:9">
      <c r="B66" t="s">
        <v>96</v>
      </c>
    </row>
    <row r="67" spans="1:9" ht="20.25">
      <c r="B67" t="s">
        <v>97</v>
      </c>
      <c r="F67" s="4" t="s">
        <v>93</v>
      </c>
      <c r="G67" s="4" t="s">
        <v>0</v>
      </c>
      <c r="H67" s="21" t="s">
        <v>98</v>
      </c>
    </row>
    <row r="68" spans="1:9">
      <c r="G68" s="4" t="s">
        <v>0</v>
      </c>
      <c r="H68" s="28">
        <f>H30*(H19*H42/H57/1000)</f>
        <v>16466.780611797702</v>
      </c>
      <c r="I68" t="s">
        <v>21</v>
      </c>
    </row>
    <row r="70" spans="1:9">
      <c r="A70" s="7" t="s">
        <v>138</v>
      </c>
    </row>
    <row r="71" spans="1:9">
      <c r="B71" t="s">
        <v>99</v>
      </c>
    </row>
    <row r="72" spans="1:9" ht="19.5">
      <c r="B72" t="s">
        <v>102</v>
      </c>
      <c r="F72" s="4" t="s">
        <v>103</v>
      </c>
      <c r="G72" s="4" t="s">
        <v>0</v>
      </c>
      <c r="H72" s="24" t="s">
        <v>105</v>
      </c>
    </row>
    <row r="73" spans="1:9">
      <c r="E73" s="23" t="s">
        <v>104</v>
      </c>
      <c r="G73" s="4" t="s">
        <v>0</v>
      </c>
      <c r="H73" s="27">
        <f>H21*H42/(H21*H42+H23*H43)*H30</f>
        <v>14106.91501282358</v>
      </c>
      <c r="I73" t="s">
        <v>21</v>
      </c>
    </row>
    <row r="74" spans="1:9" ht="20.25">
      <c r="B74" t="s">
        <v>100</v>
      </c>
      <c r="F74" s="4" t="s">
        <v>93</v>
      </c>
      <c r="G74" s="4" t="s">
        <v>0</v>
      </c>
      <c r="H74" s="21" t="s">
        <v>101</v>
      </c>
    </row>
    <row r="75" spans="1:9">
      <c r="G75" s="4" t="s">
        <v>0</v>
      </c>
      <c r="H75" s="28">
        <f>ABS(H73-H68)</f>
        <v>2359.8655989741219</v>
      </c>
      <c r="I75" t="s">
        <v>21</v>
      </c>
    </row>
    <row r="77" spans="1:9">
      <c r="A77" s="1" t="s">
        <v>139</v>
      </c>
    </row>
    <row r="78" spans="1:9">
      <c r="A78" s="7" t="s">
        <v>119</v>
      </c>
    </row>
    <row r="79" spans="1:9">
      <c r="A79" s="25" t="s">
        <v>108</v>
      </c>
    </row>
    <row r="80" spans="1:9" ht="18">
      <c r="B80" t="s">
        <v>109</v>
      </c>
      <c r="F80" s="4" t="s">
        <v>110</v>
      </c>
      <c r="G80" s="4" t="s">
        <v>0</v>
      </c>
      <c r="H80" s="14">
        <v>25</v>
      </c>
      <c r="I80" t="s">
        <v>25</v>
      </c>
    </row>
    <row r="81" spans="1:9" ht="18">
      <c r="B81" t="s">
        <v>111</v>
      </c>
      <c r="F81" s="4" t="s">
        <v>112</v>
      </c>
      <c r="G81" s="4" t="s">
        <v>0</v>
      </c>
      <c r="H81" s="10">
        <f>PI()*((H17-2*H18)^2-(H17-2*H18-2*H80)^2)/4</f>
        <v>72649.330114263968</v>
      </c>
      <c r="I81" t="s">
        <v>52</v>
      </c>
    </row>
    <row r="82" spans="1:9" ht="18">
      <c r="B82" t="s">
        <v>113</v>
      </c>
      <c r="F82" s="4" t="s">
        <v>114</v>
      </c>
      <c r="G82" s="4" t="s">
        <v>0</v>
      </c>
      <c r="H82" s="26">
        <f>1.7*H22*H81/1000</f>
        <v>7410.2316716549249</v>
      </c>
      <c r="I82" t="s">
        <v>21</v>
      </c>
    </row>
    <row r="83" spans="1:9" ht="18">
      <c r="B83" t="s">
        <v>115</v>
      </c>
      <c r="F83" s="11" t="s">
        <v>116</v>
      </c>
      <c r="G83" s="4" t="s">
        <v>0</v>
      </c>
      <c r="H83" s="26">
        <f>0.65*H82</f>
        <v>4816.6505865757017</v>
      </c>
      <c r="I83" t="s">
        <v>21</v>
      </c>
    </row>
    <row r="84" spans="1:9">
      <c r="A84" s="25" t="s">
        <v>117</v>
      </c>
    </row>
    <row r="85" spans="1:9">
      <c r="B85" s="29" t="s">
        <v>118</v>
      </c>
    </row>
    <row r="87" spans="1:9">
      <c r="A87" s="7" t="s">
        <v>120</v>
      </c>
    </row>
    <row r="88" spans="1:9" ht="18">
      <c r="B88" t="s">
        <v>121</v>
      </c>
      <c r="F88" s="4" t="s">
        <v>122</v>
      </c>
      <c r="G88" s="4" t="s">
        <v>0</v>
      </c>
      <c r="H88" s="14"/>
      <c r="I88" t="s">
        <v>38</v>
      </c>
    </row>
    <row r="89" spans="1:9" ht="17.25">
      <c r="B89" t="s">
        <v>123</v>
      </c>
      <c r="F89" s="4" t="s">
        <v>124</v>
      </c>
      <c r="G89" s="4" t="s">
        <v>0</v>
      </c>
      <c r="H89" s="14"/>
      <c r="I89" t="s">
        <v>52</v>
      </c>
    </row>
    <row r="90" spans="1:9">
      <c r="B90" t="s">
        <v>127</v>
      </c>
      <c r="F90" s="4" t="s">
        <v>82</v>
      </c>
      <c r="G90" s="4" t="s">
        <v>0</v>
      </c>
      <c r="H90" s="14"/>
    </row>
    <row r="91" spans="1:9" ht="18">
      <c r="B91" t="s">
        <v>125</v>
      </c>
      <c r="F91" s="11" t="s">
        <v>126</v>
      </c>
      <c r="G91" s="4" t="s">
        <v>0</v>
      </c>
      <c r="H91" s="22">
        <f>0.65*H88*H89*H90/10003</f>
        <v>0</v>
      </c>
      <c r="I91" t="s">
        <v>21</v>
      </c>
    </row>
    <row r="93" spans="1:9">
      <c r="A93" s="7" t="s">
        <v>128</v>
      </c>
    </row>
    <row r="94" spans="1:9" ht="18">
      <c r="A94" s="7"/>
      <c r="F94" s="4" t="s">
        <v>132</v>
      </c>
      <c r="G94" s="4" t="s">
        <v>0</v>
      </c>
      <c r="H94">
        <v>4</v>
      </c>
    </row>
    <row r="95" spans="1:9" ht="18">
      <c r="A95" s="7"/>
      <c r="F95" s="4" t="s">
        <v>133</v>
      </c>
      <c r="G95" s="4" t="s">
        <v>0</v>
      </c>
      <c r="H95">
        <v>0.4</v>
      </c>
      <c r="I95" t="s">
        <v>38</v>
      </c>
    </row>
    <row r="96" spans="1:9" ht="19.5">
      <c r="B96" t="s">
        <v>129</v>
      </c>
      <c r="F96" s="11" t="s">
        <v>130</v>
      </c>
      <c r="G96" s="4" t="s">
        <v>0</v>
      </c>
      <c r="H96" s="24" t="s">
        <v>131</v>
      </c>
    </row>
    <row r="97" spans="7:9">
      <c r="G97" s="4" t="s">
        <v>0</v>
      </c>
      <c r="H97" s="10">
        <f>0.45*0.25*PI()*H17^2*H94*H95/1000</f>
        <v>565.48667764616278</v>
      </c>
      <c r="I97" t="s">
        <v>21</v>
      </c>
    </row>
  </sheetData>
  <sortState ref="L36:L55">
    <sortCondition ref="L36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2019-02-13T10:42:49Z</dcterms:created>
  <dcterms:modified xsi:type="dcterms:W3CDTF">2019-12-13T07:11:37Z</dcterms:modified>
</cp:coreProperties>
</file>