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52\Documents\GitHub\documentation\docs\_sources\hardware_sizing\"/>
    </mc:Choice>
  </mc:AlternateContent>
  <xr:revisionPtr revIDLastSave="0" documentId="13_ncr:1_{E69230D7-929A-4B2B-83CC-70BFE1F48EAB}" xr6:coauthVersionLast="36" xr6:coauthVersionMax="36" xr10:uidLastSave="{00000000-0000-0000-0000-000000000000}"/>
  <bookViews>
    <workbookView xWindow="0" yWindow="0" windowWidth="19200" windowHeight="6930" xr2:uid="{1EC5AC42-BAD7-4A03-8494-5044B1627450}"/>
  </bookViews>
  <sheets>
    <sheet name="Summary" sheetId="2" r:id="rId1"/>
    <sheet name="Calculation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2" l="1"/>
  <c r="F21" i="2"/>
  <c r="F22" i="2"/>
  <c r="F19" i="2"/>
  <c r="I48" i="1"/>
  <c r="L48" i="1" l="1"/>
  <c r="L58" i="1" s="1"/>
  <c r="L59" i="1" s="1"/>
  <c r="L61" i="1" s="1"/>
  <c r="L62" i="1" s="1"/>
  <c r="D26" i="2"/>
  <c r="D27" i="2"/>
  <c r="D28" i="2"/>
  <c r="D29" i="2"/>
  <c r="D25" i="2"/>
  <c r="I58" i="1"/>
  <c r="I59" i="1" s="1"/>
  <c r="I61" i="1" s="1"/>
  <c r="I62" i="1" s="1"/>
  <c r="F48" i="1"/>
  <c r="F58" i="1" s="1"/>
  <c r="F59" i="1" s="1"/>
  <c r="F61" i="1" s="1"/>
  <c r="F62" i="1" s="1"/>
  <c r="C48" i="1"/>
  <c r="C58" i="1" s="1"/>
  <c r="C59" i="1" s="1"/>
  <c r="C61" i="1" s="1"/>
  <c r="C62" i="1" s="1"/>
  <c r="C11" i="1"/>
  <c r="C7" i="1"/>
  <c r="F63" i="1" l="1"/>
  <c r="D43" i="2" s="1"/>
  <c r="I63" i="1"/>
  <c r="D44" i="2" s="1"/>
  <c r="C63" i="1"/>
  <c r="D42" i="2" s="1"/>
  <c r="L63" i="1"/>
  <c r="D45" i="2" s="1"/>
  <c r="C43" i="2"/>
  <c r="C44" i="2"/>
  <c r="C45" i="2"/>
  <c r="C42" i="2"/>
  <c r="F6" i="1"/>
  <c r="D30" i="2"/>
  <c r="C17" i="1"/>
  <c r="C18" i="1" s="1"/>
  <c r="C19" i="1" s="1"/>
  <c r="C21" i="1" s="1"/>
  <c r="L11" i="1"/>
  <c r="L20" i="1" s="1"/>
  <c r="C27" i="1"/>
  <c r="C31" i="1"/>
  <c r="C35" i="1"/>
  <c r="F31" i="1"/>
  <c r="F41" i="1" s="1"/>
  <c r="C41" i="1" l="1"/>
  <c r="D34" i="2"/>
  <c r="F7" i="1"/>
  <c r="I7" i="1"/>
  <c r="I20" i="1" s="1"/>
  <c r="F11" i="1" l="1"/>
  <c r="I73" i="1"/>
  <c r="I75" i="1" s="1"/>
  <c r="I76" i="1" s="1"/>
  <c r="F73" i="1"/>
  <c r="F75" i="1" s="1"/>
  <c r="C73" i="1"/>
  <c r="F20" i="1" l="1"/>
  <c r="F17" i="1"/>
  <c r="C75" i="1"/>
  <c r="C76" i="1" s="1"/>
  <c r="C79" i="1" s="1"/>
  <c r="G34" i="2" s="1"/>
  <c r="F76" i="1"/>
  <c r="F79" i="1" s="1"/>
  <c r="G35" i="2" s="1"/>
  <c r="I79" i="1"/>
  <c r="G36" i="2" s="1"/>
  <c r="L31" i="1"/>
  <c r="L27" i="1"/>
  <c r="L41" i="1" s="1"/>
  <c r="F27" i="1"/>
  <c r="L7" i="1"/>
  <c r="G37" i="2" l="1"/>
  <c r="F18" i="1"/>
  <c r="I17" i="1"/>
  <c r="I18" i="1" s="1"/>
  <c r="L17" i="1"/>
  <c r="L18" i="1" s="1"/>
  <c r="I35" i="1"/>
  <c r="F35" i="1"/>
  <c r="L37" i="1"/>
  <c r="L38" i="1" s="1"/>
  <c r="L40" i="1" s="1"/>
  <c r="L42" i="1" s="1"/>
  <c r="C37" i="1"/>
  <c r="C38" i="1" s="1"/>
  <c r="C40" i="1" s="1"/>
  <c r="C42" i="1" s="1"/>
  <c r="C41" i="2" l="1"/>
  <c r="D41" i="2"/>
  <c r="C38" i="2"/>
  <c r="D38" i="2"/>
  <c r="L19" i="1"/>
  <c r="L21" i="1" s="1"/>
  <c r="F19" i="1"/>
  <c r="F21" i="1" s="1"/>
  <c r="I19" i="1"/>
  <c r="I21" i="1" s="1"/>
  <c r="C34" i="2"/>
  <c r="I37" i="1"/>
  <c r="I38" i="1" s="1"/>
  <c r="I40" i="1" s="1"/>
  <c r="F37" i="1"/>
  <c r="F38" i="1" s="1"/>
  <c r="F40" i="1" s="1"/>
  <c r="F42" i="1" s="1"/>
  <c r="I42" i="1" l="1"/>
  <c r="D40" i="2" s="1"/>
  <c r="C39" i="2"/>
  <c r="D39" i="2"/>
  <c r="C35" i="2"/>
  <c r="D35" i="2"/>
  <c r="C36" i="2"/>
  <c r="D36" i="2"/>
  <c r="C37" i="2"/>
  <c r="D37" i="2"/>
  <c r="C40" i="2"/>
  <c r="D46" i="2" l="1"/>
  <c r="D48" i="2" s="1"/>
  <c r="C46" i="2"/>
  <c r="C48" i="2" s="1"/>
</calcChain>
</file>

<file path=xl/sharedStrings.xml><?xml version="1.0" encoding="utf-8"?>
<sst xmlns="http://schemas.openxmlformats.org/spreadsheetml/2006/main" count="287" uniqueCount="91">
  <si>
    <t>Value</t>
  </si>
  <si>
    <t>mosip_audit</t>
  </si>
  <si>
    <t>mosip_ida</t>
  </si>
  <si>
    <t>mosip_idmap</t>
  </si>
  <si>
    <t>mosip_regprc</t>
  </si>
  <si>
    <t>Core data row size</t>
  </si>
  <si>
    <t>mosip_idrepo</t>
  </si>
  <si>
    <t>mosip_kernel</t>
  </si>
  <si>
    <t>mosip_master</t>
  </si>
  <si>
    <t>mosip_prereg</t>
  </si>
  <si>
    <t>Grand Total</t>
  </si>
  <si>
    <t>Core table count</t>
  </si>
  <si>
    <t>Core row count</t>
  </si>
  <si>
    <t>Transaction table count</t>
  </si>
  <si>
    <t>Transaction data row size</t>
  </si>
  <si>
    <t>Transaction row count</t>
  </si>
  <si>
    <t>Misc table count</t>
  </si>
  <si>
    <t>Misc data row size</t>
  </si>
  <si>
    <t>Misc row count</t>
  </si>
  <si>
    <t>Parameter Assumed</t>
  </si>
  <si>
    <t>HDFS/CEPH</t>
  </si>
  <si>
    <t>Packet Size</t>
  </si>
  <si>
    <t>Documents in MB</t>
  </si>
  <si>
    <t>Misc data</t>
  </si>
  <si>
    <t>Database Name</t>
  </si>
  <si>
    <t>Size (GB)</t>
  </si>
  <si>
    <t>TBD by the Country</t>
  </si>
  <si>
    <t>pre_registration</t>
  </si>
  <si>
    <t>registration_processor</t>
  </si>
  <si>
    <t>id_repository</t>
  </si>
  <si>
    <t>No of years of auth transaction data</t>
  </si>
  <si>
    <t>Total size in MB</t>
  </si>
  <si>
    <t>Total size in GB</t>
  </si>
  <si>
    <t>Grand total in GB</t>
  </si>
  <si>
    <t>Iris image in MB</t>
  </si>
  <si>
    <t>Face image in MB</t>
  </si>
  <si>
    <t>Fingerprint image in MB</t>
  </si>
  <si>
    <t>Repelcation factor</t>
  </si>
  <si>
    <t>History table count</t>
  </si>
  <si>
    <t>History data row size</t>
  </si>
  <si>
    <t>History row count</t>
  </si>
  <si>
    <t>Total Number of Partners</t>
  </si>
  <si>
    <t>Number of updates to UIN data</t>
  </si>
  <si>
    <t>Avg number of auth requests per year per UIN</t>
  </si>
  <si>
    <t>mosip_pmp</t>
  </si>
  <si>
    <t>Fingerprint Data</t>
  </si>
  <si>
    <t>Iris Data</t>
  </si>
  <si>
    <t>Face Data</t>
  </si>
  <si>
    <t>Demographic Data</t>
  </si>
  <si>
    <t>mosip_audit_regprc</t>
  </si>
  <si>
    <t>mosip_audit_ida</t>
  </si>
  <si>
    <t>mosip_audit_prereg</t>
  </si>
  <si>
    <t>Parameter Assumed for VID</t>
  </si>
  <si>
    <t>Percentage of UIN having Perpetual virtual IDs</t>
  </si>
  <si>
    <t>Total VID Records</t>
  </si>
  <si>
    <t>% VID on Population</t>
  </si>
  <si>
    <t>Has data</t>
  </si>
  <si>
    <t>Total Number of VID Records</t>
  </si>
  <si>
    <t>Buffer Space factor</t>
  </si>
  <si>
    <t>Data Size in KB</t>
  </si>
  <si>
    <t>File System Storage</t>
  </si>
  <si>
    <t>Number of UINs (population) in Country</t>
  </si>
  <si>
    <t>Database Storage</t>
  </si>
  <si>
    <t>% Of population holds</t>
  </si>
  <si>
    <t>Archive / Purge data Size</t>
  </si>
  <si>
    <t>After Archive- Grand total in GB</t>
  </si>
  <si>
    <t xml:space="preserve">Buffer Space factor </t>
  </si>
  <si>
    <t>Data size on %</t>
  </si>
  <si>
    <t>Percentage of data archived where possible</t>
  </si>
  <si>
    <t>Number of days older data considered for archive</t>
  </si>
  <si>
    <t>Percentage of UIN having 1 temporary virtual IDs</t>
  </si>
  <si>
    <t>Percentage of UIN having 2 temporary virtual IDs</t>
  </si>
  <si>
    <t>Percentage of UIN having 3 temporary virtual IDs</t>
  </si>
  <si>
    <t>Percentage of UIN having 4 temporary virtual IDs</t>
  </si>
  <si>
    <t xml:space="preserve">Percentage of audit data archived </t>
  </si>
  <si>
    <t>MOSIP Storage Estimate Release 1.1</t>
  </si>
  <si>
    <t>Demographic/Biometric Assumptions in IDA</t>
  </si>
  <si>
    <t>HDFS/CEPH: pre_registration</t>
  </si>
  <si>
    <t>HDFS/CEPH: registration_processor</t>
  </si>
  <si>
    <t>HDFS/CEPH: id_repository</t>
  </si>
  <si>
    <t>HDFS/CEPH: archival</t>
  </si>
  <si>
    <t>This document is useful for calculating the storage size of database &amp; file system (HDFS or CEPH) requiered for running MOSIP. Countries can use this document to estimate their storage requierment when they install MOSIP.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</si>
  <si>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* The size of data related to biometric images (fingerprint, iris or face) and document will be decided by the country.
** The data archival strategy will be deceided by the country.</t>
    </r>
  </si>
  <si>
    <t>Revision History</t>
  </si>
  <si>
    <t>22nd June 2020</t>
  </si>
  <si>
    <t xml:space="preserve">Document created for MOSIP Release: 1.1 </t>
  </si>
  <si>
    <t>23rd July 2020</t>
  </si>
  <si>
    <t>Assumptions</t>
  </si>
  <si>
    <t>We have revisited the ddatabase sizing and updated the document for MOSIP Release: 1.1 with in depth assumptions</t>
  </si>
  <si>
    <t>Live data size (GB) after archival</t>
  </si>
  <si>
    <t>Live data size (GB) without archival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</si>
</sst>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0" fillId="0" borderId="0" xfId="0"/>
    <xf numFmtId="0" fontId="0" fillId="0" borderId="1" xfId="0" applyBorder="1"/>
    <xf numFmtId="4" fontId="1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2" fontId="6" fillId="0" borderId="10" xfId="0" applyNumberFormat="1" applyFont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2" fontId="9" fillId="2" borderId="10" xfId="0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/>
    </xf>
    <xf numFmtId="0" fontId="0" fillId="0" borderId="10" xfId="0" applyBorder="1"/>
    <xf numFmtId="0" fontId="9" fillId="4" borderId="2" xfId="0" applyFont="1" applyFill="1" applyBorder="1" applyAlignment="1">
      <alignment vertical="center"/>
    </xf>
    <xf numFmtId="2" fontId="9" fillId="4" borderId="11" xfId="0" applyNumberFormat="1" applyFont="1" applyFill="1" applyBorder="1" applyAlignment="1">
      <alignment vertical="center"/>
    </xf>
    <xf numFmtId="2" fontId="9" fillId="4" borderId="3" xfId="0" applyNumberFormat="1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2" fontId="9" fillId="6" borderId="3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" fontId="4" fillId="6" borderId="1" xfId="0" applyNumberFormat="1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left" vertical="center"/>
    </xf>
    <xf numFmtId="0" fontId="7" fillId="8" borderId="20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20EB-2114-4115-856F-33DCB8B3520D}">
  <dimension ref="B2:L56"/>
  <sheetViews>
    <sheetView showGridLines="0" tabSelected="1" zoomScale="80" zoomScaleNormal="80" workbookViewId="0">
      <pane ySplit="2" topLeftCell="A24" activePane="bottomLeft" state="frozen"/>
      <selection pane="bottomLeft" activeCell="F43" sqref="F43"/>
    </sheetView>
  </sheetViews>
  <sheetFormatPr defaultRowHeight="14.5" x14ac:dyDescent="0.35"/>
  <cols>
    <col min="1" max="1" width="3.1796875" customWidth="1"/>
    <col min="2" max="2" width="43.7265625" bestFit="1" customWidth="1"/>
    <col min="3" max="3" width="33.1796875" bestFit="1" customWidth="1"/>
    <col min="4" max="4" width="30.453125" bestFit="1" customWidth="1"/>
    <col min="5" max="5" width="8.7265625" bestFit="1" customWidth="1"/>
    <col min="6" max="6" width="20.36328125" bestFit="1" customWidth="1"/>
    <col min="7" max="7" width="26.54296875" customWidth="1"/>
  </cols>
  <sheetData>
    <row r="2" spans="2:12" s="1" customFormat="1" ht="18.5" x14ac:dyDescent="0.35">
      <c r="B2" s="56" t="s">
        <v>75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2" s="7" customFormat="1" ht="14.5" customHeight="1" x14ac:dyDescent="0.35">
      <c r="B3" s="45" t="s">
        <v>81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2" s="7" customFormat="1" x14ac:dyDescent="0.3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2:12" s="7" customFormat="1" x14ac:dyDescent="0.35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2:12" s="7" customFormat="1" ht="15" customHeight="1" x14ac:dyDescent="0.35">
      <c r="B6" s="57" t="s">
        <v>87</v>
      </c>
      <c r="C6" s="58"/>
      <c r="D6" s="58"/>
      <c r="E6" s="58"/>
      <c r="F6" s="58"/>
      <c r="G6" s="58"/>
      <c r="H6" s="58"/>
      <c r="I6" s="58"/>
      <c r="J6" s="58"/>
      <c r="K6" s="58"/>
      <c r="L6" s="59"/>
    </row>
    <row r="7" spans="2:12" ht="15" customHeight="1" x14ac:dyDescent="0.35">
      <c r="H7" s="7"/>
      <c r="I7" s="7"/>
      <c r="K7" s="7"/>
      <c r="L7" s="7"/>
    </row>
    <row r="8" spans="2:12" ht="15.5" x14ac:dyDescent="0.35">
      <c r="B8" s="5" t="s">
        <v>19</v>
      </c>
      <c r="C8" s="5" t="s">
        <v>0</v>
      </c>
      <c r="H8" s="7"/>
      <c r="I8" s="7"/>
      <c r="J8" s="7"/>
      <c r="K8" s="7"/>
      <c r="L8" s="7"/>
    </row>
    <row r="9" spans="2:12" x14ac:dyDescent="0.35">
      <c r="B9" s="17" t="s">
        <v>61</v>
      </c>
      <c r="C9" s="19">
        <v>100000000</v>
      </c>
    </row>
    <row r="10" spans="2:12" x14ac:dyDescent="0.35">
      <c r="B10" s="17" t="s">
        <v>42</v>
      </c>
      <c r="C10" s="17">
        <v>3</v>
      </c>
    </row>
    <row r="11" spans="2:12" x14ac:dyDescent="0.35">
      <c r="B11" s="17" t="s">
        <v>43</v>
      </c>
      <c r="C11" s="17">
        <v>10</v>
      </c>
    </row>
    <row r="12" spans="2:12" x14ac:dyDescent="0.35">
      <c r="B12" s="17" t="s">
        <v>30</v>
      </c>
      <c r="C12" s="17">
        <v>5</v>
      </c>
    </row>
    <row r="13" spans="2:12" x14ac:dyDescent="0.35">
      <c r="B13" s="18" t="s">
        <v>41</v>
      </c>
      <c r="C13" s="18">
        <v>1000000</v>
      </c>
    </row>
    <row r="14" spans="2:12" s="7" customFormat="1" x14ac:dyDescent="0.35">
      <c r="B14" s="23" t="s">
        <v>68</v>
      </c>
      <c r="C14" s="16">
        <v>75</v>
      </c>
    </row>
    <row r="15" spans="2:12" s="7" customFormat="1" x14ac:dyDescent="0.35">
      <c r="B15" s="23" t="s">
        <v>69</v>
      </c>
      <c r="C15" s="16">
        <v>365</v>
      </c>
    </row>
    <row r="16" spans="2:12" s="7" customFormat="1" x14ac:dyDescent="0.35">
      <c r="B16" s="23" t="s">
        <v>74</v>
      </c>
      <c r="C16" s="16">
        <v>95</v>
      </c>
    </row>
    <row r="17" spans="2:7" s="7" customFormat="1" x14ac:dyDescent="0.35">
      <c r="B17" s="22"/>
      <c r="C17" s="22"/>
    </row>
    <row r="18" spans="2:7" ht="15.5" x14ac:dyDescent="0.35">
      <c r="B18" s="5" t="s">
        <v>76</v>
      </c>
      <c r="C18" s="5" t="s">
        <v>59</v>
      </c>
      <c r="D18" s="5" t="s">
        <v>63</v>
      </c>
      <c r="E18" s="5" t="s">
        <v>56</v>
      </c>
      <c r="F18" s="5" t="s">
        <v>67</v>
      </c>
    </row>
    <row r="19" spans="2:7" x14ac:dyDescent="0.35">
      <c r="B19" s="17" t="s">
        <v>45</v>
      </c>
      <c r="C19" s="17">
        <v>26</v>
      </c>
      <c r="D19" s="19">
        <v>100</v>
      </c>
      <c r="E19" s="19">
        <v>1</v>
      </c>
      <c r="F19" s="19">
        <f>(D19/100*C19)*E19</f>
        <v>26</v>
      </c>
    </row>
    <row r="20" spans="2:7" x14ac:dyDescent="0.35">
      <c r="B20" s="17" t="s">
        <v>46</v>
      </c>
      <c r="C20" s="17">
        <v>4</v>
      </c>
      <c r="D20" s="19">
        <v>100</v>
      </c>
      <c r="E20" s="19">
        <v>1</v>
      </c>
      <c r="F20" s="19">
        <f t="shared" ref="F20:F22" si="0">(D20/100*C20)*E20</f>
        <v>4</v>
      </c>
    </row>
    <row r="21" spans="2:7" x14ac:dyDescent="0.35">
      <c r="B21" s="17" t="s">
        <v>47</v>
      </c>
      <c r="C21" s="17">
        <v>3</v>
      </c>
      <c r="D21" s="19">
        <v>100</v>
      </c>
      <c r="E21" s="19">
        <v>1</v>
      </c>
      <c r="F21" s="19">
        <f t="shared" si="0"/>
        <v>3</v>
      </c>
    </row>
    <row r="22" spans="2:7" x14ac:dyDescent="0.35">
      <c r="B22" s="17" t="s">
        <v>48</v>
      </c>
      <c r="C22" s="17">
        <v>5</v>
      </c>
      <c r="D22" s="19">
        <v>100</v>
      </c>
      <c r="E22" s="19">
        <v>1</v>
      </c>
      <c r="F22" s="19">
        <f t="shared" si="0"/>
        <v>5</v>
      </c>
    </row>
    <row r="23" spans="2:7" s="7" customFormat="1" x14ac:dyDescent="0.35">
      <c r="B23" s="14"/>
      <c r="C23" s="14"/>
      <c r="D23" s="15"/>
      <c r="E23" s="15"/>
      <c r="F23" s="15"/>
    </row>
    <row r="24" spans="2:7" ht="15.5" x14ac:dyDescent="0.35">
      <c r="B24" s="5" t="s">
        <v>52</v>
      </c>
      <c r="C24" s="5" t="s">
        <v>55</v>
      </c>
      <c r="D24" s="5" t="s">
        <v>54</v>
      </c>
    </row>
    <row r="25" spans="2:7" x14ac:dyDescent="0.35">
      <c r="B25" s="17" t="s">
        <v>53</v>
      </c>
      <c r="C25" s="17">
        <v>100</v>
      </c>
      <c r="D25" s="16">
        <f>C25/100*C9</f>
        <v>100000000</v>
      </c>
    </row>
    <row r="26" spans="2:7" x14ac:dyDescent="0.35">
      <c r="B26" s="17" t="s">
        <v>70</v>
      </c>
      <c r="C26" s="18">
        <v>50</v>
      </c>
      <c r="D26" s="16">
        <f>C26/100*C9</f>
        <v>50000000</v>
      </c>
    </row>
    <row r="27" spans="2:7" x14ac:dyDescent="0.35">
      <c r="B27" s="17" t="s">
        <v>71</v>
      </c>
      <c r="C27" s="18">
        <v>30</v>
      </c>
      <c r="D27" s="16">
        <f>C27/100*C9</f>
        <v>30000000</v>
      </c>
    </row>
    <row r="28" spans="2:7" x14ac:dyDescent="0.35">
      <c r="B28" s="17" t="s">
        <v>72</v>
      </c>
      <c r="C28" s="18">
        <v>20</v>
      </c>
      <c r="D28" s="16">
        <f>C28/100*C9</f>
        <v>20000000</v>
      </c>
    </row>
    <row r="29" spans="2:7" x14ac:dyDescent="0.35">
      <c r="B29" s="17" t="s">
        <v>73</v>
      </c>
      <c r="C29" s="18">
        <v>10</v>
      </c>
      <c r="D29" s="16">
        <f>C29/100*C9</f>
        <v>10000000</v>
      </c>
    </row>
    <row r="30" spans="2:7" x14ac:dyDescent="0.35">
      <c r="B30" s="21" t="s">
        <v>57</v>
      </c>
      <c r="C30" s="21"/>
      <c r="D30" s="21">
        <f>SUM(D25:D29)</f>
        <v>210000000</v>
      </c>
    </row>
    <row r="31" spans="2:7" ht="15" thickBot="1" x14ac:dyDescent="0.4"/>
    <row r="32" spans="2:7" ht="15.5" x14ac:dyDescent="0.35">
      <c r="B32" s="51" t="s">
        <v>62</v>
      </c>
      <c r="C32" s="52"/>
      <c r="D32" s="53"/>
      <c r="F32" s="54" t="s">
        <v>60</v>
      </c>
      <c r="G32" s="55"/>
    </row>
    <row r="33" spans="2:7" ht="15.5" x14ac:dyDescent="0.35">
      <c r="B33" s="26" t="s">
        <v>24</v>
      </c>
      <c r="C33" s="5" t="s">
        <v>90</v>
      </c>
      <c r="D33" s="27" t="s">
        <v>89</v>
      </c>
      <c r="F33" s="37" t="s">
        <v>20</v>
      </c>
      <c r="G33" s="38" t="s">
        <v>25</v>
      </c>
    </row>
    <row r="34" spans="2:7" x14ac:dyDescent="0.35">
      <c r="B34" s="28" t="s">
        <v>44</v>
      </c>
      <c r="C34" s="20">
        <f>Calculations!C19</f>
        <v>2.4121254682540894</v>
      </c>
      <c r="D34" s="29">
        <f>Calculations!C21</f>
        <v>2.4121254682540894</v>
      </c>
      <c r="F34" s="28" t="s">
        <v>27</v>
      </c>
      <c r="G34" s="29">
        <f>Calculations!C79</f>
        <v>512695.3125</v>
      </c>
    </row>
    <row r="35" spans="2:7" x14ac:dyDescent="0.35">
      <c r="B35" s="28" t="s">
        <v>2</v>
      </c>
      <c r="C35" s="20">
        <f>Calculations!F19</f>
        <v>14959.853142499924</v>
      </c>
      <c r="D35" s="29">
        <f>Calculations!F21</f>
        <v>12165.885418653488</v>
      </c>
      <c r="F35" s="28" t="s">
        <v>28</v>
      </c>
      <c r="G35" s="29">
        <f>Calculations!F79</f>
        <v>2197265.625</v>
      </c>
    </row>
    <row r="36" spans="2:7" x14ac:dyDescent="0.35">
      <c r="B36" s="28" t="s">
        <v>3</v>
      </c>
      <c r="C36" s="20">
        <f>Calculations!I19</f>
        <v>195.95026969909668</v>
      </c>
      <c r="D36" s="29">
        <f>Calculations!I21</f>
        <v>147.05583453178406</v>
      </c>
      <c r="F36" s="28" t="s">
        <v>29</v>
      </c>
      <c r="G36" s="29">
        <f>Calculations!I79</f>
        <v>659179.6875</v>
      </c>
    </row>
    <row r="37" spans="2:7" ht="15" thickBot="1" x14ac:dyDescent="0.4">
      <c r="B37" s="28" t="s">
        <v>4</v>
      </c>
      <c r="C37" s="20">
        <f>Calculations!L19</f>
        <v>3953.5574615001678</v>
      </c>
      <c r="D37" s="29">
        <f>Calculations!L21</f>
        <v>1334.2127203941345</v>
      </c>
      <c r="F37" s="39" t="s">
        <v>10</v>
      </c>
      <c r="G37" s="40">
        <f>SUM(G34:G36)</f>
        <v>3369140.625</v>
      </c>
    </row>
    <row r="38" spans="2:7" x14ac:dyDescent="0.35">
      <c r="B38" s="28" t="s">
        <v>6</v>
      </c>
      <c r="C38" s="20">
        <f>Calculations!C40</f>
        <v>2095.9414541721344</v>
      </c>
      <c r="D38" s="29">
        <f>Calculations!C42</f>
        <v>1152.9773473739624</v>
      </c>
    </row>
    <row r="39" spans="2:7" x14ac:dyDescent="0.35">
      <c r="B39" s="28" t="s">
        <v>7</v>
      </c>
      <c r="C39" s="20">
        <f>Calculations!F40</f>
        <v>977.91664302349091</v>
      </c>
      <c r="D39" s="29">
        <f>Calculations!F42</f>
        <v>454.04769480228424</v>
      </c>
    </row>
    <row r="40" spans="2:7" x14ac:dyDescent="0.35">
      <c r="B40" s="28" t="s">
        <v>8</v>
      </c>
      <c r="C40" s="20">
        <f>Calculations!I40</f>
        <v>61.700120568275452</v>
      </c>
      <c r="D40" s="29">
        <f>Calculations!I42</f>
        <v>61.700120568275452</v>
      </c>
    </row>
    <row r="41" spans="2:7" x14ac:dyDescent="0.35">
      <c r="B41" s="28" t="s">
        <v>9</v>
      </c>
      <c r="C41" s="20">
        <f>Calculations!L40</f>
        <v>1247.9722499847412</v>
      </c>
      <c r="D41" s="29">
        <f>Calculations!L42</f>
        <v>759.02789831161499</v>
      </c>
    </row>
    <row r="42" spans="2:7" x14ac:dyDescent="0.35">
      <c r="B42" s="28" t="s">
        <v>1</v>
      </c>
      <c r="C42" s="20">
        <f>Calculations!C61</f>
        <v>7823.1096267700195</v>
      </c>
      <c r="D42" s="29">
        <f>Calculations!C63</f>
        <v>391.15548133850098</v>
      </c>
    </row>
    <row r="43" spans="2:7" x14ac:dyDescent="0.35">
      <c r="B43" s="28" t="s">
        <v>51</v>
      </c>
      <c r="C43" s="20">
        <f>Calculations!F61</f>
        <v>2346.9328880310059</v>
      </c>
      <c r="D43" s="29">
        <f>Calculations!F63</f>
        <v>117.34664440155029</v>
      </c>
    </row>
    <row r="44" spans="2:7" x14ac:dyDescent="0.35">
      <c r="B44" s="28" t="s">
        <v>49</v>
      </c>
      <c r="C44" s="20">
        <f>Calculations!I61</f>
        <v>10952.353477478027</v>
      </c>
      <c r="D44" s="29">
        <f>Calculations!I63</f>
        <v>547.61767387390137</v>
      </c>
    </row>
    <row r="45" spans="2:7" x14ac:dyDescent="0.35">
      <c r="B45" s="28" t="s">
        <v>50</v>
      </c>
      <c r="C45" s="20">
        <f>Calculations!L61</f>
        <v>5215.4064178466797</v>
      </c>
      <c r="D45" s="29">
        <f>Calculations!L63</f>
        <v>260.77032089233398</v>
      </c>
    </row>
    <row r="46" spans="2:7" x14ac:dyDescent="0.35">
      <c r="B46" s="30" t="s">
        <v>10</v>
      </c>
      <c r="C46" s="25">
        <f>SUM(C34:C41)</f>
        <v>23495.303466916084</v>
      </c>
      <c r="D46" s="31">
        <f>SUM(D34:D45)</f>
        <v>17394.209280610085</v>
      </c>
    </row>
    <row r="47" spans="2:7" x14ac:dyDescent="0.35">
      <c r="B47" s="32" t="s">
        <v>66</v>
      </c>
      <c r="C47" s="8">
        <v>1.25</v>
      </c>
      <c r="D47" s="33">
        <v>1.25</v>
      </c>
    </row>
    <row r="48" spans="2:7" ht="15" thickBot="1" x14ac:dyDescent="0.4">
      <c r="B48" s="34" t="s">
        <v>10</v>
      </c>
      <c r="C48" s="35">
        <f>C46*C47</f>
        <v>29369.129333645105</v>
      </c>
      <c r="D48" s="36">
        <f>D46*D47</f>
        <v>21742.761600762606</v>
      </c>
    </row>
    <row r="50" spans="2:12" x14ac:dyDescent="0.35">
      <c r="B50" s="45" t="s">
        <v>82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2:12" x14ac:dyDescent="0.35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2:12" x14ac:dyDescent="0.35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2:12" x14ac:dyDescent="0.35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2:12" x14ac:dyDescent="0.35">
      <c r="B54" s="46" t="s">
        <v>83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2:12" x14ac:dyDescent="0.35">
      <c r="B55" s="47" t="s">
        <v>85</v>
      </c>
      <c r="C55" s="47"/>
      <c r="D55" s="47"/>
      <c r="E55" s="47"/>
      <c r="F55" s="47"/>
      <c r="G55" s="47"/>
      <c r="H55" s="47"/>
      <c r="I55" s="47"/>
      <c r="J55" s="47" t="s">
        <v>84</v>
      </c>
      <c r="K55" s="47"/>
      <c r="L55" s="47"/>
    </row>
    <row r="56" spans="2:12" x14ac:dyDescent="0.35">
      <c r="B56" s="48" t="s">
        <v>88</v>
      </c>
      <c r="C56" s="49"/>
      <c r="D56" s="49"/>
      <c r="E56" s="49"/>
      <c r="F56" s="49"/>
      <c r="G56" s="49"/>
      <c r="H56" s="49"/>
      <c r="I56" s="50"/>
      <c r="J56" s="48" t="s">
        <v>86</v>
      </c>
      <c r="K56" s="49"/>
      <c r="L56" s="50"/>
    </row>
  </sheetData>
  <mergeCells count="11">
    <mergeCell ref="B32:D32"/>
    <mergeCell ref="F32:G32"/>
    <mergeCell ref="B3:L4"/>
    <mergeCell ref="B2:L2"/>
    <mergeCell ref="B6:L6"/>
    <mergeCell ref="B50:L52"/>
    <mergeCell ref="B54:L54"/>
    <mergeCell ref="B55:I55"/>
    <mergeCell ref="J55:L55"/>
    <mergeCell ref="B56:I56"/>
    <mergeCell ref="J56:L56"/>
  </mergeCells>
  <conditionalFormatting sqref="C34:C45">
    <cfRule type="dataBar" priority="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{814E8584-7247-4ED8-9E83-47B919E53F85}</x14:id>
        </ext>
      </extLst>
    </cfRule>
  </conditionalFormatting>
  <conditionalFormatting sqref="G34:G3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{1EA89635-5B66-49C8-B08A-B2F7F5B9D35F}</x14:id>
        </ext>
      </extLst>
    </cfRule>
  </conditionalFormatting>
  <conditionalFormatting sqref="D34:D45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{088CD85F-9A86-452F-AD1E-9B363AB0E0BB}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E8584-7247-4ED8-9E83-47B919E5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C34:C45</xm:sqref>
        </x14:conditionalFormatting>
        <x14:conditionalFormatting xmlns:xm="http://schemas.microsoft.com/office/excel/2006/main">
          <x14:cfRule type="dataBar" id="{1EA89635-5B66-49C8-B08A-B2F7F5B9D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G34:G36</xm:sqref>
        </x14:conditionalFormatting>
        <x14:conditionalFormatting xmlns:xm="http://schemas.microsoft.com/office/excel/2006/main">
          <x14:cfRule type="dataBar" id="{088CD85F-9A86-452F-AD1E-9B363AB0E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D34:D45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95B-9988-45B7-9D98-7487AFB47652}">
  <dimension ref="B2:P79"/>
  <sheetViews>
    <sheetView showGridLines="0" zoomScale="80" zoomScaleNormal="80" workbookViewId="0">
      <pane ySplit="2" topLeftCell="A70" activePane="bottomLeft" state="frozen"/>
      <selection pane="bottomLeft" activeCell="A87" sqref="A87"/>
    </sheetView>
  </sheetViews>
  <sheetFormatPr defaultColWidth="9.1796875" defaultRowHeight="13" x14ac:dyDescent="0.35"/>
  <cols>
    <col min="1" max="1" width="3.90625" style="1" customWidth="1"/>
    <col min="2" max="2" width="26.08984375" style="1" bestFit="1" customWidth="1"/>
    <col min="3" max="3" width="18.1796875" style="1" customWidth="1"/>
    <col min="4" max="4" width="2.7265625" style="1" customWidth="1"/>
    <col min="5" max="5" width="26.08984375" style="1" bestFit="1" customWidth="1"/>
    <col min="6" max="6" width="18.1796875" style="1" customWidth="1"/>
    <col min="7" max="7" width="2.7265625" style="1" customWidth="1"/>
    <col min="8" max="8" width="26.08984375" style="1" bestFit="1" customWidth="1"/>
    <col min="9" max="9" width="18.1796875" style="1" customWidth="1"/>
    <col min="10" max="10" width="2.7265625" style="1" customWidth="1"/>
    <col min="11" max="11" width="26.08984375" style="1" bestFit="1" customWidth="1"/>
    <col min="12" max="12" width="18.1796875" style="1" customWidth="1"/>
    <col min="13" max="13" width="2.7265625" style="1" customWidth="1"/>
    <col min="14" max="14" width="20.453125" style="1" bestFit="1" customWidth="1"/>
    <col min="15" max="15" width="12.1796875" style="1" bestFit="1" customWidth="1"/>
    <col min="16" max="16" width="2.7265625" style="1" customWidth="1"/>
    <col min="17" max="17" width="13.453125" style="1" bestFit="1" customWidth="1"/>
    <col min="18" max="18" width="13.1796875" style="1" bestFit="1" customWidth="1"/>
    <col min="19" max="16384" width="9.1796875" style="1"/>
  </cols>
  <sheetData>
    <row r="2" spans="2:16" ht="18.5" x14ac:dyDescent="0.35">
      <c r="B2" s="56" t="s">
        <v>75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4" spans="2:16" ht="18.5" x14ac:dyDescent="0.35">
      <c r="B4" s="60" t="s">
        <v>44</v>
      </c>
      <c r="C4" s="61"/>
      <c r="D4" s="2"/>
      <c r="E4" s="60" t="s">
        <v>2</v>
      </c>
      <c r="F4" s="61"/>
      <c r="G4" s="2"/>
      <c r="H4" s="60" t="s">
        <v>3</v>
      </c>
      <c r="I4" s="61"/>
      <c r="J4" s="2"/>
      <c r="K4" s="60" t="s">
        <v>4</v>
      </c>
      <c r="L4" s="61"/>
      <c r="P4" s="2"/>
    </row>
    <row r="5" spans="2:16" x14ac:dyDescent="0.35">
      <c r="B5" s="3" t="s">
        <v>11</v>
      </c>
      <c r="C5" s="4">
        <v>4</v>
      </c>
      <c r="E5" s="3" t="s">
        <v>11</v>
      </c>
      <c r="F5" s="4">
        <v>1</v>
      </c>
      <c r="H5" s="3" t="s">
        <v>11</v>
      </c>
      <c r="I5" s="4">
        <v>1</v>
      </c>
      <c r="K5" s="3" t="s">
        <v>11</v>
      </c>
      <c r="L5" s="4">
        <v>3</v>
      </c>
    </row>
    <row r="6" spans="2:16" x14ac:dyDescent="0.35">
      <c r="B6" s="3" t="s">
        <v>5</v>
      </c>
      <c r="C6" s="4">
        <v>350</v>
      </c>
      <c r="E6" s="3" t="s">
        <v>5</v>
      </c>
      <c r="F6" s="4">
        <f>(Summary!F19+Summary!F20+Summary!F21+Summary!F22)*1024</f>
        <v>38912</v>
      </c>
      <c r="H6" s="3" t="s">
        <v>5</v>
      </c>
      <c r="I6" s="4">
        <v>1000</v>
      </c>
      <c r="K6" s="3" t="s">
        <v>5</v>
      </c>
      <c r="L6" s="4">
        <v>550</v>
      </c>
    </row>
    <row r="7" spans="2:16" x14ac:dyDescent="0.35">
      <c r="B7" s="3" t="s">
        <v>12</v>
      </c>
      <c r="C7" s="4">
        <f>Summary!$C$13</f>
        <v>1000000</v>
      </c>
      <c r="E7" s="3" t="s">
        <v>12</v>
      </c>
      <c r="F7" s="4">
        <f>Summary!D30+Summary!C9</f>
        <v>310000000</v>
      </c>
      <c r="H7" s="3" t="s">
        <v>12</v>
      </c>
      <c r="I7" s="4">
        <f>Summary!$D$30</f>
        <v>210000000</v>
      </c>
      <c r="K7" s="3" t="s">
        <v>12</v>
      </c>
      <c r="L7" s="4">
        <f>Summary!$C$9*Summary!C10</f>
        <v>300000000</v>
      </c>
    </row>
    <row r="8" spans="2:16" x14ac:dyDescent="0.35">
      <c r="B8" s="3"/>
      <c r="C8" s="4"/>
      <c r="E8" s="3"/>
      <c r="F8" s="4"/>
      <c r="H8" s="3"/>
      <c r="I8" s="4"/>
      <c r="K8" s="3"/>
      <c r="L8" s="4"/>
    </row>
    <row r="9" spans="2:16" x14ac:dyDescent="0.35">
      <c r="B9" s="3" t="s">
        <v>13</v>
      </c>
      <c r="C9" s="4">
        <v>2</v>
      </c>
      <c r="E9" s="3" t="s">
        <v>13</v>
      </c>
      <c r="F9" s="4">
        <v>1</v>
      </c>
      <c r="H9" s="3" t="s">
        <v>13</v>
      </c>
      <c r="I9" s="4">
        <v>0</v>
      </c>
      <c r="K9" s="3" t="s">
        <v>13</v>
      </c>
      <c r="L9" s="4">
        <v>5</v>
      </c>
    </row>
    <row r="10" spans="2:16" x14ac:dyDescent="0.35">
      <c r="B10" s="3" t="s">
        <v>14</v>
      </c>
      <c r="C10" s="4">
        <v>200</v>
      </c>
      <c r="E10" s="3" t="s">
        <v>14</v>
      </c>
      <c r="F10" s="4">
        <v>800</v>
      </c>
      <c r="H10" s="3" t="s">
        <v>14</v>
      </c>
      <c r="I10" s="4">
        <v>0</v>
      </c>
      <c r="K10" s="3" t="s">
        <v>14</v>
      </c>
      <c r="L10" s="4">
        <v>500</v>
      </c>
    </row>
    <row r="11" spans="2:16" x14ac:dyDescent="0.35">
      <c r="B11" s="3" t="s">
        <v>15</v>
      </c>
      <c r="C11" s="4">
        <f>Summary!$C$13*2</f>
        <v>2000000</v>
      </c>
      <c r="E11" s="3" t="s">
        <v>15</v>
      </c>
      <c r="F11" s="4">
        <f>Summary!$C$9*Summary!$C$11*Summary!$C$12</f>
        <v>5000000000</v>
      </c>
      <c r="H11" s="3" t="s">
        <v>15</v>
      </c>
      <c r="I11" s="4">
        <v>0</v>
      </c>
      <c r="K11" s="3" t="s">
        <v>15</v>
      </c>
      <c r="L11" s="4">
        <f>Summary!$C$9*Summary!$C$10*5</f>
        <v>1500000000</v>
      </c>
    </row>
    <row r="12" spans="2:16" x14ac:dyDescent="0.35">
      <c r="B12" s="3"/>
      <c r="C12" s="4"/>
      <c r="E12" s="3"/>
      <c r="F12" s="4"/>
      <c r="H12" s="3"/>
      <c r="I12" s="4"/>
      <c r="K12" s="3"/>
      <c r="L12" s="4"/>
    </row>
    <row r="13" spans="2:16" x14ac:dyDescent="0.35">
      <c r="B13" s="3" t="s">
        <v>16</v>
      </c>
      <c r="C13" s="4">
        <v>3</v>
      </c>
      <c r="E13" s="3" t="s">
        <v>16</v>
      </c>
      <c r="F13" s="4">
        <v>6</v>
      </c>
      <c r="H13" s="3" t="s">
        <v>16</v>
      </c>
      <c r="I13" s="4">
        <v>2</v>
      </c>
      <c r="K13" s="3" t="s">
        <v>16</v>
      </c>
      <c r="L13" s="4">
        <v>5</v>
      </c>
    </row>
    <row r="14" spans="2:16" x14ac:dyDescent="0.35">
      <c r="B14" s="3" t="s">
        <v>17</v>
      </c>
      <c r="C14" s="4">
        <v>1300</v>
      </c>
      <c r="E14" s="3" t="s">
        <v>17</v>
      </c>
      <c r="F14" s="4">
        <v>200</v>
      </c>
      <c r="H14" s="3" t="s">
        <v>17</v>
      </c>
      <c r="I14" s="4">
        <v>200</v>
      </c>
      <c r="K14" s="3" t="s">
        <v>17</v>
      </c>
      <c r="L14" s="4">
        <v>200</v>
      </c>
    </row>
    <row r="15" spans="2:16" x14ac:dyDescent="0.35">
      <c r="B15" s="3" t="s">
        <v>18</v>
      </c>
      <c r="C15" s="4">
        <v>100000</v>
      </c>
      <c r="E15" s="3" t="s">
        <v>18</v>
      </c>
      <c r="F15" s="4">
        <v>250000</v>
      </c>
      <c r="H15" s="3" t="s">
        <v>18</v>
      </c>
      <c r="I15" s="4">
        <v>1000000</v>
      </c>
      <c r="K15" s="3" t="s">
        <v>18</v>
      </c>
      <c r="L15" s="4">
        <v>100000</v>
      </c>
    </row>
    <row r="16" spans="2:16" x14ac:dyDescent="0.35">
      <c r="B16" s="3"/>
      <c r="C16" s="3"/>
      <c r="E16" s="3"/>
      <c r="F16" s="3"/>
      <c r="H16" s="3"/>
      <c r="I16" s="3"/>
      <c r="K16" s="3"/>
      <c r="L16" s="3"/>
    </row>
    <row r="17" spans="2:16" x14ac:dyDescent="0.35">
      <c r="B17" s="3" t="s">
        <v>31</v>
      </c>
      <c r="C17" s="3">
        <f>((C5*C6*C7)+(C9*C10*C11)+(C13*C14*C15))/1024/1024</f>
        <v>2470.0164794921875</v>
      </c>
      <c r="E17" s="3" t="s">
        <v>31</v>
      </c>
      <c r="F17" s="3">
        <f>((F5*F6*F7)+(F9*F10*F11)+(F13*F14*F15))/1024/1024</f>
        <v>15318889.617919922</v>
      </c>
      <c r="H17" s="3" t="s">
        <v>31</v>
      </c>
      <c r="I17" s="3">
        <f>((I5*I6*I7)+(I9*I10*I11)+(I13*I14*I15))/1024/1024</f>
        <v>200653.076171875</v>
      </c>
      <c r="K17" s="3" t="s">
        <v>31</v>
      </c>
      <c r="L17" s="3">
        <f>((L5*L6*L7)+(L9*L10*L11)+(L13*L14*L15))/1024/1024</f>
        <v>4048442.8405761719</v>
      </c>
    </row>
    <row r="18" spans="2:16" x14ac:dyDescent="0.35">
      <c r="B18" s="3" t="s">
        <v>32</v>
      </c>
      <c r="C18" s="3">
        <f>C17/1024</f>
        <v>2.4121254682540894</v>
      </c>
      <c r="E18" s="3" t="s">
        <v>32</v>
      </c>
      <c r="F18" s="3">
        <f>F17/1024</f>
        <v>14959.853142499924</v>
      </c>
      <c r="H18" s="3" t="s">
        <v>32</v>
      </c>
      <c r="I18" s="3">
        <f>I17/1024</f>
        <v>195.95026969909668</v>
      </c>
      <c r="K18" s="3" t="s">
        <v>32</v>
      </c>
      <c r="L18" s="3">
        <f>L17/1024</f>
        <v>3953.5574615001678</v>
      </c>
      <c r="N18" s="6"/>
    </row>
    <row r="19" spans="2:16" x14ac:dyDescent="0.35">
      <c r="B19" s="10" t="s">
        <v>33</v>
      </c>
      <c r="C19" s="11">
        <f>C18</f>
        <v>2.4121254682540894</v>
      </c>
      <c r="E19" s="10" t="s">
        <v>33</v>
      </c>
      <c r="F19" s="11">
        <f>F18</f>
        <v>14959.853142499924</v>
      </c>
      <c r="H19" s="10" t="s">
        <v>33</v>
      </c>
      <c r="I19" s="11">
        <f>I18</f>
        <v>195.95026969909668</v>
      </c>
      <c r="K19" s="10" t="s">
        <v>33</v>
      </c>
      <c r="L19" s="11">
        <f>L18</f>
        <v>3953.5574615001678</v>
      </c>
    </row>
    <row r="20" spans="2:16" x14ac:dyDescent="0.35">
      <c r="B20" s="3" t="s">
        <v>64</v>
      </c>
      <c r="C20" s="3">
        <v>0</v>
      </c>
      <c r="E20" s="3" t="s">
        <v>64</v>
      </c>
      <c r="F20" s="24">
        <f>((F9*F10*F11)/1024/1024/1024)*75%</f>
        <v>2793.9677238464355</v>
      </c>
      <c r="H20" s="3" t="s">
        <v>64</v>
      </c>
      <c r="I20" s="24">
        <f>((I5*I6*I7)/1024/1024/1024)*25%</f>
        <v>48.894435167312622</v>
      </c>
      <c r="K20" s="3" t="s">
        <v>64</v>
      </c>
      <c r="L20" s="24">
        <f>((L9*L10*L11)/1024/1024/1024)*75%</f>
        <v>2619.3447411060333</v>
      </c>
    </row>
    <row r="21" spans="2:16" x14ac:dyDescent="0.35">
      <c r="B21" s="12" t="s">
        <v>65</v>
      </c>
      <c r="C21" s="13">
        <f>(C19-C20)</f>
        <v>2.4121254682540894</v>
      </c>
      <c r="E21" s="12" t="s">
        <v>65</v>
      </c>
      <c r="F21" s="13">
        <f>(F19-F20)</f>
        <v>12165.885418653488</v>
      </c>
      <c r="H21" s="12" t="s">
        <v>65</v>
      </c>
      <c r="I21" s="13">
        <f>(I19-I20)</f>
        <v>147.05583453178406</v>
      </c>
      <c r="K21" s="12" t="s">
        <v>65</v>
      </c>
      <c r="L21" s="13">
        <f>(L19-L20)</f>
        <v>1334.2127203941345</v>
      </c>
    </row>
    <row r="24" spans="2:16" ht="18.5" x14ac:dyDescent="0.35">
      <c r="B24" s="60" t="s">
        <v>6</v>
      </c>
      <c r="C24" s="61"/>
      <c r="D24" s="2"/>
      <c r="E24" s="60" t="s">
        <v>7</v>
      </c>
      <c r="F24" s="61"/>
      <c r="G24" s="2"/>
      <c r="H24" s="60" t="s">
        <v>8</v>
      </c>
      <c r="I24" s="61"/>
      <c r="J24" s="2"/>
      <c r="K24" s="60" t="s">
        <v>9</v>
      </c>
      <c r="L24" s="61"/>
      <c r="P24" s="2"/>
    </row>
    <row r="25" spans="2:16" x14ac:dyDescent="0.35">
      <c r="B25" s="3" t="s">
        <v>11</v>
      </c>
      <c r="C25" s="4">
        <v>3</v>
      </c>
      <c r="E25" s="3" t="s">
        <v>11</v>
      </c>
      <c r="F25" s="4">
        <v>3</v>
      </c>
      <c r="H25" s="3" t="s">
        <v>11</v>
      </c>
      <c r="I25" s="4">
        <v>35</v>
      </c>
      <c r="K25" s="3" t="s">
        <v>11</v>
      </c>
      <c r="L25" s="4">
        <v>3</v>
      </c>
    </row>
    <row r="26" spans="2:16" x14ac:dyDescent="0.35">
      <c r="B26" s="3" t="s">
        <v>5</v>
      </c>
      <c r="C26" s="4">
        <v>1500</v>
      </c>
      <c r="E26" s="3" t="s">
        <v>5</v>
      </c>
      <c r="F26" s="4">
        <v>300</v>
      </c>
      <c r="H26" s="3" t="s">
        <v>5</v>
      </c>
      <c r="I26" s="4">
        <v>1500</v>
      </c>
      <c r="K26" s="3" t="s">
        <v>5</v>
      </c>
      <c r="L26" s="4">
        <v>3500</v>
      </c>
    </row>
    <row r="27" spans="2:16" x14ac:dyDescent="0.35">
      <c r="B27" s="3" t="s">
        <v>12</v>
      </c>
      <c r="C27" s="4">
        <f>Summary!$C$9</f>
        <v>100000000</v>
      </c>
      <c r="E27" s="3" t="s">
        <v>12</v>
      </c>
      <c r="F27" s="4">
        <f>Summary!$C$9</f>
        <v>100000000</v>
      </c>
      <c r="H27" s="3" t="s">
        <v>12</v>
      </c>
      <c r="I27" s="4">
        <v>1000000</v>
      </c>
      <c r="K27" s="3" t="s">
        <v>12</v>
      </c>
      <c r="L27" s="4">
        <f>Summary!$C$9</f>
        <v>100000000</v>
      </c>
    </row>
    <row r="28" spans="2:16" x14ac:dyDescent="0.35">
      <c r="B28" s="3"/>
      <c r="C28" s="4"/>
      <c r="E28" s="3"/>
      <c r="F28" s="4"/>
      <c r="H28" s="3"/>
      <c r="I28" s="4"/>
      <c r="K28" s="3"/>
      <c r="L28" s="4"/>
    </row>
    <row r="29" spans="2:16" x14ac:dyDescent="0.35">
      <c r="B29" s="3" t="s">
        <v>38</v>
      </c>
      <c r="C29" s="4">
        <v>3</v>
      </c>
      <c r="E29" s="3" t="s">
        <v>13</v>
      </c>
      <c r="F29" s="4">
        <v>1</v>
      </c>
      <c r="H29" s="3" t="s">
        <v>13</v>
      </c>
      <c r="I29" s="4">
        <v>0</v>
      </c>
      <c r="K29" s="3" t="s">
        <v>13</v>
      </c>
      <c r="L29" s="4">
        <v>1</v>
      </c>
    </row>
    <row r="30" spans="2:16" x14ac:dyDescent="0.35">
      <c r="B30" s="3" t="s">
        <v>39</v>
      </c>
      <c r="C30" s="4">
        <v>1500</v>
      </c>
      <c r="E30" s="3" t="s">
        <v>14</v>
      </c>
      <c r="F30" s="4">
        <v>1500</v>
      </c>
      <c r="H30" s="3" t="s">
        <v>14</v>
      </c>
      <c r="I30" s="4">
        <v>0</v>
      </c>
      <c r="K30" s="3" t="s">
        <v>14</v>
      </c>
      <c r="L30" s="4">
        <v>200</v>
      </c>
    </row>
    <row r="31" spans="2:16" x14ac:dyDescent="0.35">
      <c r="B31" s="3" t="s">
        <v>40</v>
      </c>
      <c r="C31" s="4">
        <f>Summary!$C$9*Summary!$C$10</f>
        <v>300000000</v>
      </c>
      <c r="E31" s="3" t="s">
        <v>15</v>
      </c>
      <c r="F31" s="4">
        <f>Summary!C9*Summary!C11*50%</f>
        <v>500000000</v>
      </c>
      <c r="H31" s="3" t="s">
        <v>15</v>
      </c>
      <c r="I31" s="4">
        <v>0</v>
      </c>
      <c r="K31" s="3" t="s">
        <v>15</v>
      </c>
      <c r="L31" s="4">
        <f>Summary!$C$9</f>
        <v>100000000</v>
      </c>
    </row>
    <row r="32" spans="2:16" x14ac:dyDescent="0.35">
      <c r="B32" s="3"/>
      <c r="C32" s="4"/>
      <c r="E32" s="3"/>
      <c r="F32" s="4"/>
      <c r="H32" s="3"/>
      <c r="I32" s="4"/>
      <c r="K32" s="3"/>
      <c r="L32" s="4"/>
    </row>
    <row r="33" spans="2:12" x14ac:dyDescent="0.35">
      <c r="B33" s="3" t="s">
        <v>16</v>
      </c>
      <c r="C33" s="4">
        <v>2</v>
      </c>
      <c r="E33" s="3" t="s">
        <v>16</v>
      </c>
      <c r="F33" s="4">
        <v>6</v>
      </c>
      <c r="H33" s="3" t="s">
        <v>16</v>
      </c>
      <c r="I33" s="4">
        <v>50</v>
      </c>
      <c r="K33" s="3" t="s">
        <v>16</v>
      </c>
      <c r="L33" s="4">
        <v>10</v>
      </c>
    </row>
    <row r="34" spans="2:12" x14ac:dyDescent="0.35">
      <c r="B34" s="3" t="s">
        <v>17</v>
      </c>
      <c r="C34" s="4">
        <v>200</v>
      </c>
      <c r="E34" s="3" t="s">
        <v>17</v>
      </c>
      <c r="F34" s="4">
        <v>200</v>
      </c>
      <c r="H34" s="3" t="s">
        <v>17</v>
      </c>
      <c r="I34" s="4">
        <v>500</v>
      </c>
      <c r="K34" s="3" t="s">
        <v>17</v>
      </c>
      <c r="L34" s="4">
        <v>200</v>
      </c>
    </row>
    <row r="35" spans="2:12" x14ac:dyDescent="0.35">
      <c r="B35" s="3" t="s">
        <v>18</v>
      </c>
      <c r="C35" s="4">
        <f>Summary!$C$9/100</f>
        <v>1000000</v>
      </c>
      <c r="E35" s="3" t="s">
        <v>18</v>
      </c>
      <c r="F35" s="4">
        <f>20000</f>
        <v>20000</v>
      </c>
      <c r="H35" s="3" t="s">
        <v>18</v>
      </c>
      <c r="I35" s="4">
        <f>20000</f>
        <v>20000</v>
      </c>
      <c r="K35" s="3" t="s">
        <v>18</v>
      </c>
      <c r="L35" s="4">
        <v>1000000</v>
      </c>
    </row>
    <row r="36" spans="2:12" x14ac:dyDescent="0.35">
      <c r="B36" s="3"/>
      <c r="C36" s="3"/>
      <c r="E36" s="3"/>
      <c r="F36" s="3"/>
      <c r="H36" s="3"/>
      <c r="I36" s="3"/>
      <c r="K36" s="3"/>
      <c r="L36" s="3"/>
    </row>
    <row r="37" spans="2:12" x14ac:dyDescent="0.35">
      <c r="B37" s="3" t="s">
        <v>31</v>
      </c>
      <c r="C37" s="3">
        <f>((C25*C26*C27)+(C29*C30*C31)+(C33*C34*C35))/1024/1024</f>
        <v>1716995.2392578125</v>
      </c>
      <c r="E37" s="3" t="s">
        <v>31</v>
      </c>
      <c r="F37" s="3">
        <f>((F25*F26*F27)+(F29*F30*F31)+(F33*F34*F35))/1024/1024</f>
        <v>801109.31396484375</v>
      </c>
      <c r="H37" s="3" t="s">
        <v>31</v>
      </c>
      <c r="I37" s="3">
        <f>((I25*I26*I27)+(I29*I30*I31)+(I33*I34*I35))/1024/1024</f>
        <v>50544.73876953125</v>
      </c>
      <c r="K37" s="3" t="s">
        <v>31</v>
      </c>
      <c r="L37" s="3">
        <f>((L25*L26*L27)+(L29*L30*L31)+(L33*L34*L35))/1024/1024</f>
        <v>1022338.8671875</v>
      </c>
    </row>
    <row r="38" spans="2:12" x14ac:dyDescent="0.35">
      <c r="B38" s="3" t="s">
        <v>32</v>
      </c>
      <c r="C38" s="3">
        <f>C37/1024</f>
        <v>1676.7531633377075</v>
      </c>
      <c r="E38" s="3" t="s">
        <v>32</v>
      </c>
      <c r="F38" s="3">
        <f>F37/1024</f>
        <v>782.33331441879272</v>
      </c>
      <c r="H38" s="3" t="s">
        <v>32</v>
      </c>
      <c r="I38" s="3">
        <f>I37/1024</f>
        <v>49.360096454620361</v>
      </c>
      <c r="K38" s="3" t="s">
        <v>32</v>
      </c>
      <c r="L38" s="3">
        <f>L37/1024</f>
        <v>998.37779998779297</v>
      </c>
    </row>
    <row r="39" spans="2:12" x14ac:dyDescent="0.35">
      <c r="B39" s="3" t="s">
        <v>58</v>
      </c>
      <c r="C39" s="3">
        <v>1.25</v>
      </c>
      <c r="E39" s="3" t="s">
        <v>58</v>
      </c>
      <c r="F39" s="3">
        <v>1.25</v>
      </c>
      <c r="H39" s="3" t="s">
        <v>58</v>
      </c>
      <c r="I39" s="3">
        <v>1.25</v>
      </c>
      <c r="K39" s="3" t="s">
        <v>58</v>
      </c>
      <c r="L39" s="3">
        <v>1.25</v>
      </c>
    </row>
    <row r="40" spans="2:12" x14ac:dyDescent="0.35">
      <c r="B40" s="10" t="s">
        <v>33</v>
      </c>
      <c r="C40" s="11">
        <f>C38*C39</f>
        <v>2095.9414541721344</v>
      </c>
      <c r="E40" s="10" t="s">
        <v>33</v>
      </c>
      <c r="F40" s="11">
        <f>F38*F39</f>
        <v>977.91664302349091</v>
      </c>
      <c r="H40" s="10" t="s">
        <v>33</v>
      </c>
      <c r="I40" s="11">
        <f>I38*I39</f>
        <v>61.700120568275452</v>
      </c>
      <c r="K40" s="10" t="s">
        <v>33</v>
      </c>
      <c r="L40" s="11">
        <f>L38*L39</f>
        <v>1247.9722499847412</v>
      </c>
    </row>
    <row r="41" spans="2:12" x14ac:dyDescent="0.35">
      <c r="B41" s="3" t="s">
        <v>64</v>
      </c>
      <c r="C41" s="24">
        <f>((C29*C30*C31)/1024/1024/1024)*75%</f>
        <v>942.964106798172</v>
      </c>
      <c r="E41" s="3" t="s">
        <v>64</v>
      </c>
      <c r="F41" s="24">
        <f>((F29*F30*F31)/1024/1024/1024)*75%</f>
        <v>523.86894822120667</v>
      </c>
      <c r="H41" s="3" t="s">
        <v>64</v>
      </c>
      <c r="I41" s="24">
        <v>0</v>
      </c>
      <c r="K41" s="3" t="s">
        <v>64</v>
      </c>
      <c r="L41" s="24">
        <f>((L25*L26*L27)/1024/1024/1024)*50%</f>
        <v>488.94435167312622</v>
      </c>
    </row>
    <row r="42" spans="2:12" x14ac:dyDescent="0.35">
      <c r="B42" s="12" t="s">
        <v>65</v>
      </c>
      <c r="C42" s="13">
        <f>(C40-C41)</f>
        <v>1152.9773473739624</v>
      </c>
      <c r="E42" s="12" t="s">
        <v>65</v>
      </c>
      <c r="F42" s="13">
        <f>(F40-F41)</f>
        <v>454.04769480228424</v>
      </c>
      <c r="H42" s="12" t="s">
        <v>65</v>
      </c>
      <c r="I42" s="13">
        <f>(I40-I41)</f>
        <v>61.700120568275452</v>
      </c>
      <c r="K42" s="12" t="s">
        <v>65</v>
      </c>
      <c r="L42" s="13">
        <f>(L40-L41)</f>
        <v>759.02789831161499</v>
      </c>
    </row>
    <row r="45" spans="2:12" ht="15.5" x14ac:dyDescent="0.35">
      <c r="B45" s="60" t="s">
        <v>1</v>
      </c>
      <c r="C45" s="61"/>
      <c r="E45" s="60" t="s">
        <v>51</v>
      </c>
      <c r="F45" s="61"/>
      <c r="H45" s="60" t="s">
        <v>49</v>
      </c>
      <c r="I45" s="61"/>
      <c r="K45" s="60" t="s">
        <v>50</v>
      </c>
      <c r="L45" s="61"/>
    </row>
    <row r="46" spans="2:12" x14ac:dyDescent="0.35">
      <c r="B46" s="3" t="s">
        <v>11</v>
      </c>
      <c r="C46" s="4">
        <v>1</v>
      </c>
      <c r="E46" s="3" t="s">
        <v>11</v>
      </c>
      <c r="F46" s="4">
        <v>1</v>
      </c>
      <c r="H46" s="3" t="s">
        <v>11</v>
      </c>
      <c r="I46" s="4">
        <v>1</v>
      </c>
      <c r="K46" s="3" t="s">
        <v>11</v>
      </c>
      <c r="L46" s="4">
        <v>1</v>
      </c>
    </row>
    <row r="47" spans="2:12" x14ac:dyDescent="0.35">
      <c r="B47" s="3" t="s">
        <v>5</v>
      </c>
      <c r="C47" s="4">
        <v>560</v>
      </c>
      <c r="E47" s="3" t="s">
        <v>5</v>
      </c>
      <c r="F47" s="4">
        <v>560</v>
      </c>
      <c r="H47" s="3" t="s">
        <v>5</v>
      </c>
      <c r="I47" s="4">
        <v>560</v>
      </c>
      <c r="K47" s="3" t="s">
        <v>5</v>
      </c>
      <c r="L47" s="4">
        <v>560</v>
      </c>
    </row>
    <row r="48" spans="2:12" x14ac:dyDescent="0.35">
      <c r="B48" s="3" t="s">
        <v>12</v>
      </c>
      <c r="C48" s="4">
        <f>Summary!$C$9*Summary!$C$10*50</f>
        <v>15000000000</v>
      </c>
      <c r="E48" s="3" t="s">
        <v>12</v>
      </c>
      <c r="F48" s="4">
        <f>Summary!$C$9*45</f>
        <v>4500000000</v>
      </c>
      <c r="H48" s="3" t="s">
        <v>12</v>
      </c>
      <c r="I48" s="4">
        <f>Summary!$C$9*Summary!$C$10*70</f>
        <v>21000000000</v>
      </c>
      <c r="K48" s="3" t="s">
        <v>12</v>
      </c>
      <c r="L48" s="4">
        <f>Summary!$C$9*Summary!$C$11*10</f>
        <v>10000000000</v>
      </c>
    </row>
    <row r="49" spans="2:12" x14ac:dyDescent="0.35">
      <c r="B49" s="3"/>
      <c r="C49" s="4"/>
      <c r="E49" s="3"/>
      <c r="F49" s="4"/>
      <c r="H49" s="3"/>
      <c r="I49" s="4"/>
      <c r="K49" s="3"/>
      <c r="L49" s="4"/>
    </row>
    <row r="50" spans="2:12" x14ac:dyDescent="0.35">
      <c r="B50" s="3" t="s">
        <v>13</v>
      </c>
      <c r="C50" s="4">
        <v>0</v>
      </c>
      <c r="E50" s="3" t="s">
        <v>13</v>
      </c>
      <c r="F50" s="4">
        <v>0</v>
      </c>
      <c r="H50" s="3" t="s">
        <v>13</v>
      </c>
      <c r="I50" s="4">
        <v>0</v>
      </c>
      <c r="K50" s="3" t="s">
        <v>13</v>
      </c>
      <c r="L50" s="4">
        <v>0</v>
      </c>
    </row>
    <row r="51" spans="2:12" x14ac:dyDescent="0.35">
      <c r="B51" s="3" t="s">
        <v>14</v>
      </c>
      <c r="C51" s="4">
        <v>0</v>
      </c>
      <c r="E51" s="3" t="s">
        <v>14</v>
      </c>
      <c r="F51" s="4">
        <v>0</v>
      </c>
      <c r="H51" s="3" t="s">
        <v>14</v>
      </c>
      <c r="I51" s="4">
        <v>0</v>
      </c>
      <c r="K51" s="3" t="s">
        <v>14</v>
      </c>
      <c r="L51" s="4">
        <v>0</v>
      </c>
    </row>
    <row r="52" spans="2:12" x14ac:dyDescent="0.35">
      <c r="B52" s="3" t="s">
        <v>15</v>
      </c>
      <c r="C52" s="4">
        <v>0</v>
      </c>
      <c r="E52" s="3" t="s">
        <v>15</v>
      </c>
      <c r="F52" s="4">
        <v>0</v>
      </c>
      <c r="H52" s="3" t="s">
        <v>15</v>
      </c>
      <c r="I52" s="4">
        <v>0</v>
      </c>
      <c r="K52" s="3" t="s">
        <v>15</v>
      </c>
      <c r="L52" s="4">
        <v>0</v>
      </c>
    </row>
    <row r="53" spans="2:12" x14ac:dyDescent="0.35">
      <c r="B53" s="3"/>
      <c r="C53" s="4"/>
      <c r="E53" s="3"/>
      <c r="F53" s="4"/>
      <c r="H53" s="3"/>
      <c r="I53" s="4"/>
      <c r="K53" s="3"/>
      <c r="L53" s="4"/>
    </row>
    <row r="54" spans="2:12" x14ac:dyDescent="0.35">
      <c r="B54" s="3" t="s">
        <v>16</v>
      </c>
      <c r="C54" s="4">
        <v>0</v>
      </c>
      <c r="E54" s="3" t="s">
        <v>16</v>
      </c>
      <c r="F54" s="4">
        <v>0</v>
      </c>
      <c r="H54" s="3" t="s">
        <v>16</v>
      </c>
      <c r="I54" s="4">
        <v>0</v>
      </c>
      <c r="K54" s="3" t="s">
        <v>16</v>
      </c>
      <c r="L54" s="4">
        <v>0</v>
      </c>
    </row>
    <row r="55" spans="2:12" x14ac:dyDescent="0.35">
      <c r="B55" s="3" t="s">
        <v>17</v>
      </c>
      <c r="C55" s="4">
        <v>0</v>
      </c>
      <c r="E55" s="3" t="s">
        <v>17</v>
      </c>
      <c r="F55" s="4">
        <v>0</v>
      </c>
      <c r="H55" s="3" t="s">
        <v>17</v>
      </c>
      <c r="I55" s="4">
        <v>0</v>
      </c>
      <c r="K55" s="3" t="s">
        <v>17</v>
      </c>
      <c r="L55" s="4">
        <v>0</v>
      </c>
    </row>
    <row r="56" spans="2:12" x14ac:dyDescent="0.35">
      <c r="B56" s="3" t="s">
        <v>18</v>
      </c>
      <c r="C56" s="4">
        <v>0</v>
      </c>
      <c r="E56" s="3" t="s">
        <v>18</v>
      </c>
      <c r="F56" s="4">
        <v>0</v>
      </c>
      <c r="H56" s="3" t="s">
        <v>18</v>
      </c>
      <c r="I56" s="4">
        <v>0</v>
      </c>
      <c r="K56" s="3" t="s">
        <v>18</v>
      </c>
      <c r="L56" s="4">
        <v>0</v>
      </c>
    </row>
    <row r="57" spans="2:12" x14ac:dyDescent="0.35">
      <c r="B57" s="3"/>
      <c r="C57" s="4"/>
      <c r="E57" s="3"/>
      <c r="F57" s="4"/>
      <c r="H57" s="3"/>
      <c r="I57" s="4"/>
      <c r="K57" s="3"/>
      <c r="L57" s="4"/>
    </row>
    <row r="58" spans="2:12" x14ac:dyDescent="0.35">
      <c r="B58" s="3" t="s">
        <v>31</v>
      </c>
      <c r="C58" s="3">
        <f>((C46*C47*C48)+(C50*C51*C52)+(C54*C55*C56))/1024/1024</f>
        <v>8010864.2578125</v>
      </c>
      <c r="E58" s="3" t="s">
        <v>31</v>
      </c>
      <c r="F58" s="3">
        <f>((F46*F47*F48)+(F50*F51*F52)+(F54*F55*F56))/1024/1024</f>
        <v>2403259.27734375</v>
      </c>
      <c r="H58" s="3" t="s">
        <v>31</v>
      </c>
      <c r="I58" s="3">
        <f>((I46*I47*I48)+(I50*I51*I52)+(I54*I55*I56))/1024/1024</f>
        <v>11215209.9609375</v>
      </c>
      <c r="K58" s="3" t="s">
        <v>31</v>
      </c>
      <c r="L58" s="3">
        <f>((L46*L47*L48)+(L50*L51*L52)+(L54*L55*L56))/1024/1024</f>
        <v>5340576.171875</v>
      </c>
    </row>
    <row r="59" spans="2:12" x14ac:dyDescent="0.35">
      <c r="B59" s="3" t="s">
        <v>32</v>
      </c>
      <c r="C59" s="3">
        <f>C58/1024</f>
        <v>7823.1096267700195</v>
      </c>
      <c r="E59" s="3" t="s">
        <v>32</v>
      </c>
      <c r="F59" s="3">
        <f>F58/1024</f>
        <v>2346.9328880310059</v>
      </c>
      <c r="H59" s="3" t="s">
        <v>32</v>
      </c>
      <c r="I59" s="3">
        <f>I58/1024</f>
        <v>10952.353477478027</v>
      </c>
      <c r="K59" s="3" t="s">
        <v>32</v>
      </c>
      <c r="L59" s="3">
        <f>L58/1024</f>
        <v>5215.4064178466797</v>
      </c>
    </row>
    <row r="60" spans="2:12" x14ac:dyDescent="0.35">
      <c r="B60" s="3" t="s">
        <v>58</v>
      </c>
      <c r="C60" s="9">
        <v>1</v>
      </c>
      <c r="E60" s="3" t="s">
        <v>58</v>
      </c>
      <c r="F60" s="9">
        <v>1</v>
      </c>
      <c r="H60" s="3" t="s">
        <v>58</v>
      </c>
      <c r="I60" s="9">
        <v>1</v>
      </c>
      <c r="K60" s="3" t="s">
        <v>58</v>
      </c>
      <c r="L60" s="9">
        <v>1</v>
      </c>
    </row>
    <row r="61" spans="2:12" x14ac:dyDescent="0.35">
      <c r="B61" s="10" t="s">
        <v>33</v>
      </c>
      <c r="C61" s="11">
        <f>C59*C60</f>
        <v>7823.1096267700195</v>
      </c>
      <c r="E61" s="10" t="s">
        <v>33</v>
      </c>
      <c r="F61" s="11">
        <f>F59*F60</f>
        <v>2346.9328880310059</v>
      </c>
      <c r="H61" s="10" t="s">
        <v>33</v>
      </c>
      <c r="I61" s="11">
        <f>I59*I60</f>
        <v>10952.353477478027</v>
      </c>
      <c r="K61" s="10" t="s">
        <v>33</v>
      </c>
      <c r="L61" s="11">
        <f>L59*L60</f>
        <v>5215.4064178466797</v>
      </c>
    </row>
    <row r="62" spans="2:12" x14ac:dyDescent="0.35">
      <c r="B62" s="3" t="s">
        <v>64</v>
      </c>
      <c r="C62" s="24">
        <f>C61*95%</f>
        <v>7431.9541454315186</v>
      </c>
      <c r="E62" s="3" t="s">
        <v>64</v>
      </c>
      <c r="F62" s="24">
        <f>F61*95%</f>
        <v>2229.5862436294556</v>
      </c>
      <c r="H62" s="3" t="s">
        <v>64</v>
      </c>
      <c r="I62" s="24">
        <f>I61*95%</f>
        <v>10404.735803604126</v>
      </c>
      <c r="K62" s="3" t="s">
        <v>64</v>
      </c>
      <c r="L62" s="24">
        <f>L61*95%</f>
        <v>4954.6360969543457</v>
      </c>
    </row>
    <row r="63" spans="2:12" x14ac:dyDescent="0.35">
      <c r="B63" s="12" t="s">
        <v>65</v>
      </c>
      <c r="C63" s="13">
        <f>(C61-C62)</f>
        <v>391.15548133850098</v>
      </c>
      <c r="E63" s="12" t="s">
        <v>65</v>
      </c>
      <c r="F63" s="13">
        <f>(F61-F62)</f>
        <v>117.34664440155029</v>
      </c>
      <c r="H63" s="12" t="s">
        <v>65</v>
      </c>
      <c r="I63" s="13">
        <f>(I61-I62)</f>
        <v>547.61767387390137</v>
      </c>
      <c r="K63" s="12" t="s">
        <v>65</v>
      </c>
      <c r="L63" s="13">
        <f>(L61-L62)</f>
        <v>260.77032089233398</v>
      </c>
    </row>
    <row r="66" spans="2:12" ht="15.5" x14ac:dyDescent="0.35">
      <c r="B66" s="68" t="s">
        <v>77</v>
      </c>
      <c r="C66" s="69"/>
      <c r="E66" s="68" t="s">
        <v>78</v>
      </c>
      <c r="F66" s="69"/>
      <c r="H66" s="68" t="s">
        <v>79</v>
      </c>
      <c r="I66" s="69"/>
      <c r="K66" s="68" t="s">
        <v>80</v>
      </c>
      <c r="L66" s="69"/>
    </row>
    <row r="67" spans="2:12" x14ac:dyDescent="0.35">
      <c r="B67" s="3" t="s">
        <v>34</v>
      </c>
      <c r="C67" s="3">
        <v>0</v>
      </c>
      <c r="E67" s="3" t="s">
        <v>34</v>
      </c>
      <c r="F67" s="3">
        <v>0.25</v>
      </c>
      <c r="H67" s="3" t="s">
        <v>34</v>
      </c>
      <c r="I67" s="3">
        <v>0.25</v>
      </c>
      <c r="K67" s="62" t="s">
        <v>26</v>
      </c>
      <c r="L67" s="63"/>
    </row>
    <row r="68" spans="2:12" x14ac:dyDescent="0.35">
      <c r="B68" s="3" t="s">
        <v>35</v>
      </c>
      <c r="C68" s="3">
        <v>0</v>
      </c>
      <c r="E68" s="3" t="s">
        <v>35</v>
      </c>
      <c r="F68" s="3">
        <v>0.25</v>
      </c>
      <c r="H68" s="3" t="s">
        <v>35</v>
      </c>
      <c r="I68" s="3">
        <v>0.25</v>
      </c>
      <c r="K68" s="64"/>
      <c r="L68" s="65"/>
    </row>
    <row r="69" spans="2:12" x14ac:dyDescent="0.35">
      <c r="B69" s="3" t="s">
        <v>36</v>
      </c>
      <c r="C69" s="3">
        <v>0</v>
      </c>
      <c r="E69" s="3" t="s">
        <v>36</v>
      </c>
      <c r="F69" s="3">
        <v>0.25</v>
      </c>
      <c r="H69" s="3" t="s">
        <v>36</v>
      </c>
      <c r="I69" s="3">
        <v>0.25</v>
      </c>
      <c r="K69" s="64"/>
      <c r="L69" s="65"/>
    </row>
    <row r="70" spans="2:12" x14ac:dyDescent="0.35">
      <c r="B70" s="3" t="s">
        <v>22</v>
      </c>
      <c r="C70" s="3">
        <v>1.5</v>
      </c>
      <c r="E70" s="3" t="s">
        <v>22</v>
      </c>
      <c r="F70" s="3">
        <v>1.5</v>
      </c>
      <c r="H70" s="3" t="s">
        <v>22</v>
      </c>
      <c r="I70" s="3">
        <v>0</v>
      </c>
      <c r="K70" s="64"/>
      <c r="L70" s="65"/>
    </row>
    <row r="71" spans="2:12" x14ac:dyDescent="0.35">
      <c r="B71" s="3" t="s">
        <v>23</v>
      </c>
      <c r="C71" s="3">
        <v>0.25</v>
      </c>
      <c r="E71" s="3" t="s">
        <v>23</v>
      </c>
      <c r="F71" s="3">
        <v>0.25</v>
      </c>
      <c r="H71" s="3" t="s">
        <v>23</v>
      </c>
      <c r="I71" s="3">
        <v>0</v>
      </c>
      <c r="K71" s="64"/>
      <c r="L71" s="65"/>
    </row>
    <row r="72" spans="2:12" x14ac:dyDescent="0.35">
      <c r="B72" s="3"/>
      <c r="C72" s="3"/>
      <c r="E72" s="3"/>
      <c r="F72" s="3"/>
      <c r="H72" s="3"/>
      <c r="I72" s="3"/>
      <c r="K72" s="64"/>
      <c r="L72" s="65"/>
    </row>
    <row r="73" spans="2:12" x14ac:dyDescent="0.35">
      <c r="B73" s="3" t="s">
        <v>21</v>
      </c>
      <c r="C73" s="3">
        <f>C67+C68+C69+C70+C71</f>
        <v>1.75</v>
      </c>
      <c r="E73" s="3" t="s">
        <v>21</v>
      </c>
      <c r="F73" s="3">
        <f>F67+F68+F69+F70+F71</f>
        <v>2.5</v>
      </c>
      <c r="H73" s="3" t="s">
        <v>21</v>
      </c>
      <c r="I73" s="3">
        <f>I67+I68+I69+I70+I71</f>
        <v>0.75</v>
      </c>
      <c r="K73" s="64"/>
      <c r="L73" s="65"/>
    </row>
    <row r="74" spans="2:12" x14ac:dyDescent="0.35">
      <c r="B74" s="3"/>
      <c r="C74" s="3"/>
      <c r="E74" s="3"/>
      <c r="F74" s="3"/>
      <c r="H74" s="3"/>
      <c r="I74" s="3"/>
      <c r="K74" s="64"/>
      <c r="L74" s="65"/>
    </row>
    <row r="75" spans="2:12" x14ac:dyDescent="0.35">
      <c r="B75" s="3" t="s">
        <v>31</v>
      </c>
      <c r="C75" s="3">
        <f>Summary!$C$9*C73</f>
        <v>175000000</v>
      </c>
      <c r="E75" s="3" t="s">
        <v>31</v>
      </c>
      <c r="F75" s="3">
        <f>Summary!$C$9*Summary!$C$10*F73</f>
        <v>750000000</v>
      </c>
      <c r="H75" s="3" t="s">
        <v>31</v>
      </c>
      <c r="I75" s="3">
        <f>Summary!$C$9*Summary!$C$10*I73</f>
        <v>225000000</v>
      </c>
      <c r="K75" s="64"/>
      <c r="L75" s="65"/>
    </row>
    <row r="76" spans="2:12" x14ac:dyDescent="0.35">
      <c r="B76" s="3" t="s">
        <v>32</v>
      </c>
      <c r="C76" s="3">
        <f>C75/1024</f>
        <v>170898.4375</v>
      </c>
      <c r="E76" s="3" t="s">
        <v>32</v>
      </c>
      <c r="F76" s="3">
        <f>F75/1024</f>
        <v>732421.875</v>
      </c>
      <c r="H76" s="3" t="s">
        <v>32</v>
      </c>
      <c r="I76" s="3">
        <f>I75/1024</f>
        <v>219726.5625</v>
      </c>
      <c r="K76" s="64"/>
      <c r="L76" s="65"/>
    </row>
    <row r="77" spans="2:12" x14ac:dyDescent="0.35">
      <c r="B77" s="3"/>
      <c r="C77" s="3"/>
      <c r="E77" s="3"/>
      <c r="F77" s="3"/>
      <c r="H77" s="3"/>
      <c r="I77" s="3"/>
      <c r="K77" s="64"/>
      <c r="L77" s="65"/>
    </row>
    <row r="78" spans="2:12" x14ac:dyDescent="0.35">
      <c r="B78" s="3" t="s">
        <v>37</v>
      </c>
      <c r="C78" s="3">
        <v>3</v>
      </c>
      <c r="E78" s="3" t="s">
        <v>37</v>
      </c>
      <c r="F78" s="3">
        <v>3</v>
      </c>
      <c r="H78" s="3" t="s">
        <v>37</v>
      </c>
      <c r="I78" s="3">
        <v>3</v>
      </c>
      <c r="K78" s="66"/>
      <c r="L78" s="67"/>
    </row>
    <row r="79" spans="2:12" x14ac:dyDescent="0.35">
      <c r="B79" s="41" t="s">
        <v>33</v>
      </c>
      <c r="C79" s="42">
        <f>C76*C78</f>
        <v>512695.3125</v>
      </c>
      <c r="E79" s="41" t="s">
        <v>33</v>
      </c>
      <c r="F79" s="42">
        <f>F76*F78</f>
        <v>2197265.625</v>
      </c>
      <c r="H79" s="41" t="s">
        <v>33</v>
      </c>
      <c r="I79" s="42">
        <f>I76*I78</f>
        <v>659179.6875</v>
      </c>
      <c r="K79" s="41"/>
      <c r="L79" s="42"/>
    </row>
  </sheetData>
  <mergeCells count="18">
    <mergeCell ref="B2:L2"/>
    <mergeCell ref="B66:C66"/>
    <mergeCell ref="B4:C4"/>
    <mergeCell ref="B24:C24"/>
    <mergeCell ref="E66:F66"/>
    <mergeCell ref="H66:I66"/>
    <mergeCell ref="K66:L66"/>
    <mergeCell ref="E24:F24"/>
    <mergeCell ref="H24:I24"/>
    <mergeCell ref="K24:L24"/>
    <mergeCell ref="H4:I4"/>
    <mergeCell ref="K4:L4"/>
    <mergeCell ref="E4:F4"/>
    <mergeCell ref="B45:C45"/>
    <mergeCell ref="E45:F45"/>
    <mergeCell ref="H45:I45"/>
    <mergeCell ref="K45:L45"/>
    <mergeCell ref="K67:L7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Rounak Nayak</cp:lastModifiedBy>
  <dcterms:created xsi:type="dcterms:W3CDTF">2019-07-29T06:24:59Z</dcterms:created>
  <dcterms:modified xsi:type="dcterms:W3CDTF">2020-07-24T04:52:25Z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e5ffd-ebee-41cb-83d4-15a3d6148dfe_Enabled">
    <vt:lpwstr>True</vt:lpwstr>
  </property>
  <property fmtid="{D5CDD505-2E9C-101B-9397-08002B2CF9AE}" pid="3" name="MSIP_Label_cdce5ffd-ebee-41cb-83d4-15a3d6148dfe_SiteId">
    <vt:lpwstr>85c997b9-f494-46b3-a11d-772983cf6f11</vt:lpwstr>
  </property>
  <property fmtid="{D5CDD505-2E9C-101B-9397-08002B2CF9AE}" pid="4" name="MSIP_Label_cdce5ffd-ebee-41cb-83d4-15a3d6148dfe_Owner">
    <vt:lpwstr>M1045452@mindtree.com</vt:lpwstr>
  </property>
  <property fmtid="{D5CDD505-2E9C-101B-9397-08002B2CF9AE}" pid="5" name="MSIP_Label_cdce5ffd-ebee-41cb-83d4-15a3d6148dfe_SetDate">
    <vt:lpwstr>2020-07-23T12:33:21.8791121Z</vt:lpwstr>
  </property>
  <property fmtid="{D5CDD505-2E9C-101B-9397-08002B2CF9AE}" pid="6" name="MSIP_Label_cdce5ffd-ebee-41cb-83d4-15a3d6148dfe_Name">
    <vt:lpwstr>Confidential</vt:lpwstr>
  </property>
  <property fmtid="{D5CDD505-2E9C-101B-9397-08002B2CF9AE}" pid="7" name="MSIP_Label_cdce5ffd-ebee-41cb-83d4-15a3d6148dfe_Application">
    <vt:lpwstr>Microsoft Azure Information Protection</vt:lpwstr>
  </property>
  <property fmtid="{D5CDD505-2E9C-101B-9397-08002B2CF9AE}" pid="8" name="MSIP_Label_cdce5ffd-ebee-41cb-83d4-15a3d6148dfe_ActionId">
    <vt:lpwstr>7ce45903-d676-412b-a62e-a85b919bca23</vt:lpwstr>
  </property>
  <property fmtid="{D5CDD505-2E9C-101B-9397-08002B2CF9AE}" pid="9" name="MSIP_Label_cdce5ffd-ebee-41cb-83d4-15a3d6148dfe_Extended_MSFT_Method">
    <vt:lpwstr>Manual</vt:lpwstr>
  </property>
  <property fmtid="{D5CDD505-2E9C-101B-9397-08002B2CF9AE}" pid="10" name="Sensitivity">
    <vt:lpwstr>Confidential</vt:lpwstr>
  </property>
</Properties>
</file>