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 Nair\Desktop\"/>
    </mc:Choice>
  </mc:AlternateContent>
  <xr:revisionPtr revIDLastSave="0" documentId="13_ncr:1_{1B1C3D8C-A310-4873-926B-3AAF0F582193}" xr6:coauthVersionLast="47" xr6:coauthVersionMax="47" xr10:uidLastSave="{00000000-0000-0000-0000-000000000000}"/>
  <bookViews>
    <workbookView xWindow="-108" yWindow="-108" windowWidth="23256" windowHeight="12456" xr2:uid="{47CE9264-88A3-4232-BD1B-906342900AD5}"/>
  </bookViews>
  <sheets>
    <sheet name="P&amp;L" sheetId="5" r:id="rId1"/>
    <sheet name="BS" sheetId="6" r:id="rId2"/>
    <sheet name="CFS" sheetId="7" r:id="rId3"/>
    <sheet name="P&amp;L Schedule" sheetId="1" r:id="rId4"/>
    <sheet name="S&amp;D Exp" sheetId="2" r:id="rId5"/>
    <sheet name="Channel Wise" sheetId="8" r:id="rId6"/>
    <sheet name="CC" sheetId="9" r:id="rId7"/>
    <sheet name="Pivot_Sep_TGP" sheetId="10" r:id="rId8"/>
    <sheet name="TGP SEP24" sheetId="11" r:id="rId9"/>
  </sheets>
  <externalReferences>
    <externalReference r:id="rId10"/>
  </externalReferences>
  <definedNames>
    <definedName name="_xlnm._FilterDatabase" localSheetId="8" hidden="1">'TGP SEP24'!$A$2:$AF$62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5" l="1"/>
  <c r="D13" i="5"/>
  <c r="E13" i="5"/>
  <c r="F13" i="5"/>
  <c r="G13" i="5"/>
  <c r="H13" i="5"/>
  <c r="I13" i="5"/>
  <c r="J13" i="5"/>
  <c r="K13" i="5"/>
  <c r="L13" i="5"/>
  <c r="M13" i="5"/>
  <c r="N13" i="5"/>
  <c r="C13" i="5"/>
  <c r="I10" i="5"/>
  <c r="H20" i="8"/>
  <c r="H21" i="8"/>
  <c r="H19" i="8"/>
  <c r="H13" i="8"/>
  <c r="H14" i="8"/>
  <c r="H12" i="8"/>
  <c r="H6" i="8"/>
  <c r="H7" i="8"/>
  <c r="H5" i="8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O41" i="1" l="1"/>
  <c r="O42" i="1"/>
  <c r="O43" i="1"/>
  <c r="O44" i="1"/>
  <c r="O45" i="1"/>
  <c r="O50" i="1" s="1"/>
  <c r="O46" i="1"/>
  <c r="O47" i="1"/>
  <c r="O48" i="1"/>
  <c r="O40" i="1"/>
  <c r="E25" i="9"/>
  <c r="F25" i="9"/>
  <c r="G25" i="9"/>
  <c r="H25" i="9"/>
  <c r="D25" i="9"/>
  <c r="E10" i="9" l="1"/>
  <c r="E18" i="9" s="1"/>
  <c r="E19" i="9" s="1"/>
  <c r="F10" i="9"/>
  <c r="F18" i="9" s="1"/>
  <c r="F19" i="9" s="1"/>
  <c r="G10" i="9"/>
  <c r="G18" i="9" s="1"/>
  <c r="G19" i="9" s="1"/>
  <c r="H10" i="9"/>
  <c r="H18" i="9" s="1"/>
  <c r="H19" i="9" s="1"/>
  <c r="D10" i="9"/>
  <c r="I6" i="9"/>
  <c r="I7" i="9"/>
  <c r="I8" i="9"/>
  <c r="I9" i="9"/>
  <c r="I11" i="9"/>
  <c r="I12" i="9"/>
  <c r="I13" i="9"/>
  <c r="I14" i="9"/>
  <c r="I15" i="9"/>
  <c r="I16" i="9"/>
  <c r="I17" i="9"/>
  <c r="C14" i="8"/>
  <c r="I10" i="9" l="1"/>
  <c r="I18" i="9" s="1"/>
  <c r="I19" i="9" s="1"/>
  <c r="D18" i="9"/>
  <c r="D19" i="9" s="1"/>
  <c r="G15" i="8"/>
  <c r="G8" i="8"/>
  <c r="G22" i="8"/>
  <c r="F15" i="8"/>
  <c r="F8" i="8"/>
  <c r="F22" i="8"/>
  <c r="E15" i="8"/>
  <c r="E8" i="8"/>
  <c r="E22" i="8"/>
  <c r="D15" i="8"/>
  <c r="D8" i="8"/>
  <c r="D22" i="8"/>
  <c r="D20" i="8"/>
  <c r="E20" i="8"/>
  <c r="F20" i="8"/>
  <c r="G20" i="8"/>
  <c r="C20" i="8"/>
  <c r="D13" i="8"/>
  <c r="E13" i="8"/>
  <c r="F13" i="8"/>
  <c r="F16" i="8" s="1"/>
  <c r="G13" i="8"/>
  <c r="G16" i="8" s="1"/>
  <c r="C13" i="8"/>
  <c r="D6" i="8"/>
  <c r="D9" i="8" s="1"/>
  <c r="E6" i="8"/>
  <c r="E9" i="8" s="1"/>
  <c r="F6" i="8"/>
  <c r="G6" i="8"/>
  <c r="C6" i="8"/>
  <c r="D16" i="8" l="1"/>
  <c r="E16" i="8"/>
  <c r="G23" i="8"/>
  <c r="F23" i="8"/>
  <c r="C22" i="8"/>
  <c r="C15" i="8"/>
  <c r="C8" i="8"/>
  <c r="G9" i="8"/>
  <c r="E23" i="8"/>
  <c r="F9" i="8"/>
  <c r="D23" i="8"/>
  <c r="C9" i="8" l="1"/>
  <c r="H9" i="8" s="1"/>
  <c r="H10" i="8" s="1"/>
  <c r="H8" i="8"/>
  <c r="C16" i="8"/>
  <c r="H15" i="8"/>
  <c r="C23" i="8"/>
  <c r="H23" i="8" s="1"/>
  <c r="H24" i="8" s="1"/>
  <c r="H22" i="8"/>
  <c r="C17" i="8" l="1"/>
  <c r="H16" i="8"/>
  <c r="H17" i="8" s="1"/>
  <c r="E17" i="8" l="1"/>
  <c r="D17" i="8"/>
  <c r="F17" i="8"/>
  <c r="G17" i="8"/>
  <c r="D79" i="5"/>
  <c r="E79" i="5"/>
  <c r="F79" i="5"/>
  <c r="G79" i="5"/>
  <c r="H79" i="5"/>
  <c r="I79" i="5"/>
  <c r="C79" i="5"/>
  <c r="D24" i="8" l="1"/>
  <c r="E24" i="8"/>
  <c r="F24" i="8"/>
  <c r="G24" i="8"/>
  <c r="C24" i="8"/>
  <c r="D10" i="8"/>
  <c r="E10" i="8"/>
  <c r="F10" i="8"/>
  <c r="G10" i="8"/>
  <c r="C10" i="8"/>
  <c r="O66" i="5"/>
  <c r="O55" i="5"/>
  <c r="O49" i="5"/>
  <c r="O39" i="5"/>
  <c r="O33" i="5"/>
  <c r="O10" i="5"/>
  <c r="O8" i="5"/>
  <c r="O5" i="5"/>
  <c r="K127" i="1"/>
  <c r="L127" i="1"/>
  <c r="M127" i="1"/>
  <c r="N127" i="1"/>
  <c r="J127" i="1"/>
  <c r="K74" i="1"/>
  <c r="L74" i="1"/>
  <c r="M74" i="1"/>
  <c r="N74" i="1"/>
  <c r="J74" i="1"/>
  <c r="K11" i="1" l="1"/>
  <c r="L11" i="1"/>
  <c r="M11" i="1"/>
  <c r="N11" i="1"/>
  <c r="J11" i="1"/>
  <c r="D16" i="1" l="1"/>
  <c r="E16" i="1"/>
  <c r="F16" i="1"/>
  <c r="G16" i="1"/>
  <c r="H16" i="1"/>
  <c r="I16" i="1"/>
  <c r="C16" i="1"/>
  <c r="K31" i="1"/>
  <c r="L31" i="1"/>
  <c r="M31" i="1"/>
  <c r="N31" i="1"/>
  <c r="J31" i="1"/>
  <c r="K7" i="1"/>
  <c r="K16" i="1" s="1"/>
  <c r="L7" i="1"/>
  <c r="L16" i="1" s="1"/>
  <c r="M7" i="1"/>
  <c r="M16" i="1" s="1"/>
  <c r="N7" i="1"/>
  <c r="N16" i="1" s="1"/>
  <c r="J7" i="1"/>
  <c r="J16" i="1" s="1"/>
  <c r="O102" i="1"/>
  <c r="O103" i="1"/>
  <c r="O104" i="1"/>
  <c r="O105" i="1"/>
  <c r="O106" i="1"/>
  <c r="O107" i="1"/>
  <c r="O108" i="1"/>
  <c r="O109" i="1"/>
  <c r="O101" i="1"/>
  <c r="O9" i="1"/>
  <c r="O10" i="1"/>
  <c r="O11" i="1"/>
  <c r="O12" i="1"/>
  <c r="O13" i="1"/>
  <c r="O14" i="1"/>
  <c r="L22" i="1" l="1"/>
  <c r="L5" i="5"/>
  <c r="N22" i="1"/>
  <c r="N5" i="5"/>
  <c r="M22" i="1"/>
  <c r="M8" i="5" s="1"/>
  <c r="M5" i="5"/>
  <c r="K22" i="1"/>
  <c r="K8" i="5" s="1"/>
  <c r="K5" i="5"/>
  <c r="O7" i="1"/>
  <c r="J22" i="1"/>
  <c r="J8" i="5" s="1"/>
  <c r="J5" i="5"/>
  <c r="N8" i="5"/>
  <c r="L8" i="5"/>
  <c r="H12" i="7"/>
  <c r="I12" i="7"/>
  <c r="I24" i="7" s="1"/>
  <c r="J12" i="7"/>
  <c r="K12" i="7"/>
  <c r="L12" i="7"/>
  <c r="M12" i="7"/>
  <c r="N12" i="7"/>
  <c r="N24" i="7" s="1"/>
  <c r="O12" i="7"/>
  <c r="O24" i="7" s="1"/>
  <c r="P12" i="7"/>
  <c r="P24" i="7" s="1"/>
  <c r="Q12" i="7"/>
  <c r="Q24" i="7" s="1"/>
  <c r="H13" i="7"/>
  <c r="H40" i="7" s="1"/>
  <c r="H43" i="7" s="1"/>
  <c r="I13" i="7"/>
  <c r="I40" i="7" s="1"/>
  <c r="I43" i="7" s="1"/>
  <c r="J13" i="7"/>
  <c r="J40" i="7" s="1"/>
  <c r="K13" i="7"/>
  <c r="L13" i="7"/>
  <c r="M13" i="7"/>
  <c r="M40" i="7" s="1"/>
  <c r="N13" i="7"/>
  <c r="O13" i="7"/>
  <c r="P13" i="7"/>
  <c r="Q13" i="7"/>
  <c r="Q40" i="7" s="1"/>
  <c r="Q43" i="7" s="1"/>
  <c r="H14" i="7"/>
  <c r="I14" i="7"/>
  <c r="I49" i="7" s="1"/>
  <c r="J14" i="7"/>
  <c r="J49" i="7" s="1"/>
  <c r="K14" i="7"/>
  <c r="K49" i="7" s="1"/>
  <c r="L14" i="7"/>
  <c r="L49" i="7" s="1"/>
  <c r="M14" i="7"/>
  <c r="M49" i="7" s="1"/>
  <c r="N14" i="7"/>
  <c r="O14" i="7"/>
  <c r="P14" i="7"/>
  <c r="Q14" i="7"/>
  <c r="Q49" i="7" s="1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3" i="7"/>
  <c r="I23" i="7"/>
  <c r="J23" i="7"/>
  <c r="K23" i="7"/>
  <c r="L23" i="7"/>
  <c r="M23" i="7"/>
  <c r="N23" i="7"/>
  <c r="O23" i="7"/>
  <c r="P23" i="7"/>
  <c r="Q23" i="7"/>
  <c r="J24" i="7"/>
  <c r="K24" i="7"/>
  <c r="L24" i="7"/>
  <c r="M24" i="7"/>
  <c r="H25" i="7"/>
  <c r="I25" i="7"/>
  <c r="J25" i="7"/>
  <c r="K25" i="7"/>
  <c r="L25" i="7"/>
  <c r="M25" i="7"/>
  <c r="N25" i="7"/>
  <c r="O25" i="7"/>
  <c r="P25" i="7"/>
  <c r="Q25" i="7"/>
  <c r="H35" i="7"/>
  <c r="I35" i="7"/>
  <c r="J35" i="7"/>
  <c r="K35" i="7"/>
  <c r="L35" i="7"/>
  <c r="M35" i="7"/>
  <c r="N35" i="7"/>
  <c r="O35" i="7"/>
  <c r="P35" i="7"/>
  <c r="Q35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L43" i="7" s="1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L40" i="7"/>
  <c r="N40" i="7"/>
  <c r="O40" i="7"/>
  <c r="P40" i="7"/>
  <c r="P43" i="7" s="1"/>
  <c r="H41" i="7"/>
  <c r="I41" i="7"/>
  <c r="J41" i="7"/>
  <c r="K41" i="7"/>
  <c r="L41" i="7"/>
  <c r="M41" i="7"/>
  <c r="N41" i="7"/>
  <c r="O41" i="7"/>
  <c r="P41" i="7"/>
  <c r="Q41" i="7"/>
  <c r="H47" i="7"/>
  <c r="H51" i="7" s="1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H49" i="7"/>
  <c r="N49" i="7"/>
  <c r="O49" i="7"/>
  <c r="P49" i="7"/>
  <c r="H55" i="7"/>
  <c r="I55" i="7"/>
  <c r="O55" i="7"/>
  <c r="P55" i="7"/>
  <c r="Q55" i="7"/>
  <c r="H59" i="7"/>
  <c r="I59" i="7"/>
  <c r="J55" i="7" s="1"/>
  <c r="J59" i="7"/>
  <c r="K55" i="7" s="1"/>
  <c r="K59" i="7"/>
  <c r="L55" i="7" s="1"/>
  <c r="L59" i="7"/>
  <c r="M55" i="7" s="1"/>
  <c r="M59" i="7"/>
  <c r="N55" i="7" s="1"/>
  <c r="N59" i="7"/>
  <c r="O59" i="7"/>
  <c r="P59" i="7"/>
  <c r="Q59" i="7"/>
  <c r="G14" i="7"/>
  <c r="G12" i="7"/>
  <c r="F14" i="7"/>
  <c r="F13" i="7"/>
  <c r="F12" i="7"/>
  <c r="G13" i="7"/>
  <c r="J47" i="6"/>
  <c r="I47" i="6"/>
  <c r="H47" i="6"/>
  <c r="G47" i="6"/>
  <c r="F47" i="6"/>
  <c r="E47" i="6"/>
  <c r="D47" i="6"/>
  <c r="M43" i="7" l="1"/>
  <c r="O43" i="7"/>
  <c r="N43" i="7"/>
  <c r="J43" i="7"/>
  <c r="K51" i="7"/>
  <c r="L51" i="7"/>
  <c r="J51" i="7"/>
  <c r="I51" i="7"/>
  <c r="H24" i="7"/>
  <c r="K40" i="7"/>
  <c r="K43" i="7" s="1"/>
  <c r="K41" i="6" l="1"/>
  <c r="L41" i="6"/>
  <c r="M41" i="6"/>
  <c r="N41" i="6"/>
  <c r="O41" i="6"/>
  <c r="K28" i="6"/>
  <c r="L28" i="6"/>
  <c r="M28" i="6"/>
  <c r="N28" i="6"/>
  <c r="O28" i="6"/>
  <c r="K16" i="6"/>
  <c r="L16" i="6"/>
  <c r="M16" i="6"/>
  <c r="N16" i="6"/>
  <c r="O16" i="6"/>
  <c r="K18" i="6"/>
  <c r="L18" i="6"/>
  <c r="M18" i="6"/>
  <c r="N18" i="6"/>
  <c r="O18" i="6"/>
  <c r="L17" i="6"/>
  <c r="M17" i="6"/>
  <c r="N17" i="6"/>
  <c r="O17" i="6"/>
  <c r="K17" i="6"/>
  <c r="K12" i="6"/>
  <c r="L12" i="6"/>
  <c r="M12" i="6"/>
  <c r="N12" i="6"/>
  <c r="O12" i="6"/>
  <c r="L8" i="6"/>
  <c r="M8" i="6"/>
  <c r="N8" i="6"/>
  <c r="O8" i="6"/>
  <c r="K8" i="6"/>
  <c r="J229" i="1" l="1"/>
  <c r="K229" i="1"/>
  <c r="L229" i="1"/>
  <c r="M229" i="1"/>
  <c r="N229" i="1"/>
  <c r="O229" i="1"/>
  <c r="J16" i="6"/>
  <c r="I16" i="6"/>
  <c r="G59" i="7"/>
  <c r="F59" i="7"/>
  <c r="G55" i="7"/>
  <c r="G48" i="7"/>
  <c r="G47" i="7"/>
  <c r="F47" i="7"/>
  <c r="G41" i="7"/>
  <c r="G39" i="7"/>
  <c r="F39" i="7"/>
  <c r="G38" i="7"/>
  <c r="F38" i="7"/>
  <c r="G37" i="7"/>
  <c r="F37" i="7"/>
  <c r="G35" i="7"/>
  <c r="F35" i="7"/>
  <c r="G25" i="7"/>
  <c r="F25" i="7"/>
  <c r="G23" i="7"/>
  <c r="F23" i="7"/>
  <c r="G20" i="7"/>
  <c r="F20" i="7"/>
  <c r="G19" i="7"/>
  <c r="F19" i="7"/>
  <c r="G18" i="7"/>
  <c r="F18" i="7"/>
  <c r="G17" i="7"/>
  <c r="G49" i="7"/>
  <c r="F49" i="7"/>
  <c r="G40" i="7"/>
  <c r="F40" i="7"/>
  <c r="G24" i="7"/>
  <c r="F24" i="7"/>
  <c r="O81" i="6"/>
  <c r="N81" i="6"/>
  <c r="M81" i="6"/>
  <c r="L81" i="6"/>
  <c r="K81" i="6"/>
  <c r="J81" i="6"/>
  <c r="I81" i="6"/>
  <c r="H81" i="6"/>
  <c r="G81" i="6"/>
  <c r="F81" i="6"/>
  <c r="E81" i="6"/>
  <c r="D81" i="6"/>
  <c r="O80" i="6"/>
  <c r="N80" i="6"/>
  <c r="M80" i="6"/>
  <c r="L80" i="6"/>
  <c r="K80" i="6"/>
  <c r="J80" i="6"/>
  <c r="I80" i="6"/>
  <c r="H80" i="6"/>
  <c r="G80" i="6"/>
  <c r="F80" i="6"/>
  <c r="E80" i="6"/>
  <c r="D80" i="6"/>
  <c r="O77" i="6"/>
  <c r="N77" i="6"/>
  <c r="M77" i="6"/>
  <c r="L77" i="6"/>
  <c r="K77" i="6"/>
  <c r="I77" i="6"/>
  <c r="H77" i="6"/>
  <c r="G77" i="6"/>
  <c r="F77" i="6"/>
  <c r="E77" i="6"/>
  <c r="D77" i="6"/>
  <c r="O73" i="6"/>
  <c r="N73" i="6"/>
  <c r="M73" i="6"/>
  <c r="L73" i="6"/>
  <c r="K73" i="6"/>
  <c r="J73" i="6"/>
  <c r="I73" i="6"/>
  <c r="H73" i="6"/>
  <c r="G73" i="6"/>
  <c r="F73" i="6"/>
  <c r="E73" i="6"/>
  <c r="D73" i="6"/>
  <c r="H69" i="6"/>
  <c r="G69" i="6"/>
  <c r="F69" i="6"/>
  <c r="E69" i="6"/>
  <c r="H68" i="6"/>
  <c r="G68" i="6"/>
  <c r="F68" i="6"/>
  <c r="E68" i="6"/>
  <c r="O62" i="6"/>
  <c r="O76" i="6" s="1"/>
  <c r="N62" i="6"/>
  <c r="N76" i="6" s="1"/>
  <c r="M62" i="6"/>
  <c r="M76" i="6" s="1"/>
  <c r="L62" i="6"/>
  <c r="K62" i="6"/>
  <c r="K76" i="6" s="1"/>
  <c r="J62" i="6"/>
  <c r="J76" i="6" s="1"/>
  <c r="H62" i="6"/>
  <c r="G62" i="6"/>
  <c r="G76" i="6" s="1"/>
  <c r="F62" i="6"/>
  <c r="E62" i="6"/>
  <c r="I59" i="6"/>
  <c r="F17" i="7"/>
  <c r="D46" i="6"/>
  <c r="F41" i="7" s="1"/>
  <c r="J41" i="6"/>
  <c r="J28" i="6"/>
  <c r="J69" i="6" s="1"/>
  <c r="J18" i="6"/>
  <c r="I18" i="6"/>
  <c r="H18" i="6"/>
  <c r="H16" i="6"/>
  <c r="G16" i="6"/>
  <c r="F16" i="6"/>
  <c r="E16" i="6"/>
  <c r="D16" i="6"/>
  <c r="F48" i="7" s="1"/>
  <c r="J12" i="6"/>
  <c r="I12" i="6"/>
  <c r="F51" i="7" l="1"/>
  <c r="F43" i="7"/>
  <c r="G51" i="7"/>
  <c r="G43" i="7"/>
  <c r="L76" i="6"/>
  <c r="D62" i="6"/>
  <c r="D68" i="6"/>
  <c r="D69" i="6"/>
  <c r="E76" i="6"/>
  <c r="F76" i="6"/>
  <c r="H76" i="6"/>
  <c r="I68" i="6"/>
  <c r="I69" i="6"/>
  <c r="I62" i="6"/>
  <c r="J68" i="6"/>
  <c r="J77" i="6"/>
  <c r="D76" i="6" l="1"/>
  <c r="I76" i="6"/>
  <c r="I64" i="5" l="1"/>
  <c r="H64" i="5"/>
  <c r="F64" i="5"/>
  <c r="E64" i="5"/>
  <c r="D64" i="5"/>
  <c r="C64" i="5"/>
  <c r="D8" i="5"/>
  <c r="E8" i="5"/>
  <c r="F8" i="5"/>
  <c r="G8" i="5"/>
  <c r="H8" i="5"/>
  <c r="I8" i="5"/>
  <c r="C8" i="5"/>
  <c r="G134" i="1"/>
  <c r="G50" i="5" s="1"/>
  <c r="D229" i="1"/>
  <c r="E229" i="1"/>
  <c r="F229" i="1"/>
  <c r="G229" i="1"/>
  <c r="G64" i="5" s="1"/>
  <c r="H229" i="1"/>
  <c r="I229" i="1"/>
  <c r="C229" i="1"/>
  <c r="D207" i="1"/>
  <c r="E207" i="1"/>
  <c r="F207" i="1"/>
  <c r="F63" i="5" s="1"/>
  <c r="G207" i="1"/>
  <c r="G63" i="5" s="1"/>
  <c r="H207" i="1"/>
  <c r="H63" i="5" s="1"/>
  <c r="I207" i="1"/>
  <c r="I63" i="5" s="1"/>
  <c r="J207" i="1"/>
  <c r="K207" i="1"/>
  <c r="L207" i="1"/>
  <c r="M207" i="1"/>
  <c r="N207" i="1"/>
  <c r="D111" i="1"/>
  <c r="E111" i="1"/>
  <c r="E23" i="5" s="1"/>
  <c r="F111" i="1"/>
  <c r="F23" i="5" s="1"/>
  <c r="G111" i="1"/>
  <c r="G23" i="5" s="1"/>
  <c r="H111" i="1"/>
  <c r="H23" i="5" s="1"/>
  <c r="I111" i="1"/>
  <c r="I23" i="5" s="1"/>
  <c r="J111" i="1"/>
  <c r="K111" i="1"/>
  <c r="L111" i="1"/>
  <c r="M111" i="1"/>
  <c r="N111" i="1"/>
  <c r="O111" i="1"/>
  <c r="C111" i="1"/>
  <c r="C23" i="5" s="1"/>
  <c r="D134" i="1"/>
  <c r="D50" i="5" s="1"/>
  <c r="E134" i="1"/>
  <c r="E50" i="5" s="1"/>
  <c r="F134" i="1"/>
  <c r="F50" i="5" s="1"/>
  <c r="H134" i="1"/>
  <c r="I134" i="1"/>
  <c r="I50" i="5" s="1"/>
  <c r="J134" i="1"/>
  <c r="J50" i="5" s="1"/>
  <c r="C134" i="1"/>
  <c r="C50" i="5" s="1"/>
  <c r="N10" i="5"/>
  <c r="N11" i="5" s="1"/>
  <c r="M10" i="5"/>
  <c r="M11" i="5" s="1"/>
  <c r="L10" i="5"/>
  <c r="L11" i="5" s="1"/>
  <c r="K10" i="5"/>
  <c r="K11" i="5" s="1"/>
  <c r="J10" i="5"/>
  <c r="J11" i="5" s="1"/>
  <c r="D18" i="5"/>
  <c r="E18" i="5"/>
  <c r="F18" i="5"/>
  <c r="G18" i="5"/>
  <c r="H18" i="5"/>
  <c r="I18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42" i="5"/>
  <c r="E42" i="5"/>
  <c r="G42" i="5"/>
  <c r="H42" i="5"/>
  <c r="I42" i="5"/>
  <c r="H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8" i="5"/>
  <c r="E58" i="5"/>
  <c r="F58" i="5"/>
  <c r="G58" i="5"/>
  <c r="H58" i="5"/>
  <c r="I58" i="5"/>
  <c r="D70" i="5"/>
  <c r="E70" i="5"/>
  <c r="F70" i="5"/>
  <c r="G70" i="5"/>
  <c r="H70" i="5"/>
  <c r="I70" i="5"/>
  <c r="C70" i="5"/>
  <c r="C58" i="5"/>
  <c r="C53" i="5"/>
  <c r="C52" i="5"/>
  <c r="C51" i="5"/>
  <c r="C37" i="5"/>
  <c r="C36" i="5"/>
  <c r="C35" i="5"/>
  <c r="C34" i="5"/>
  <c r="C18" i="5"/>
  <c r="J18" i="5"/>
  <c r="K18" i="5"/>
  <c r="L18" i="5"/>
  <c r="M18" i="5"/>
  <c r="N18" i="5"/>
  <c r="D39" i="2"/>
  <c r="D44" i="5" s="1"/>
  <c r="E39" i="2"/>
  <c r="E44" i="5" s="1"/>
  <c r="F39" i="2"/>
  <c r="F44" i="5" s="1"/>
  <c r="G39" i="2"/>
  <c r="G44" i="5" s="1"/>
  <c r="H39" i="2"/>
  <c r="H44" i="5" s="1"/>
  <c r="I39" i="2"/>
  <c r="I44" i="5" s="1"/>
  <c r="J39" i="2"/>
  <c r="K39" i="2"/>
  <c r="L39" i="2"/>
  <c r="M39" i="2"/>
  <c r="M44" i="5" s="1"/>
  <c r="N39" i="2"/>
  <c r="N44" i="5" s="1"/>
  <c r="C39" i="2"/>
  <c r="C44" i="5" s="1"/>
  <c r="D50" i="1"/>
  <c r="D14" i="5" s="1"/>
  <c r="E50" i="1"/>
  <c r="E14" i="5" s="1"/>
  <c r="F50" i="1"/>
  <c r="F14" i="5" s="1"/>
  <c r="G50" i="1"/>
  <c r="G14" i="5" s="1"/>
  <c r="H50" i="1"/>
  <c r="H14" i="5" s="1"/>
  <c r="I50" i="1"/>
  <c r="I14" i="5" s="1"/>
  <c r="J50" i="1"/>
  <c r="J14" i="5" s="1"/>
  <c r="J79" i="5" s="1"/>
  <c r="K50" i="1"/>
  <c r="K14" i="5" s="1"/>
  <c r="K79" i="5" s="1"/>
  <c r="L50" i="1"/>
  <c r="L14" i="5" s="1"/>
  <c r="L79" i="5" s="1"/>
  <c r="M50" i="1"/>
  <c r="M14" i="5" s="1"/>
  <c r="M79" i="5" s="1"/>
  <c r="N50" i="1"/>
  <c r="N14" i="5" s="1"/>
  <c r="N79" i="5" s="1"/>
  <c r="C50" i="1"/>
  <c r="C14" i="5" s="1"/>
  <c r="K70" i="5"/>
  <c r="L70" i="5"/>
  <c r="M70" i="5"/>
  <c r="N70" i="5"/>
  <c r="J70" i="5"/>
  <c r="K58" i="5"/>
  <c r="L58" i="5"/>
  <c r="M58" i="5"/>
  <c r="N58" i="5"/>
  <c r="J58" i="5"/>
  <c r="J52" i="5"/>
  <c r="K52" i="5"/>
  <c r="L52" i="5"/>
  <c r="M52" i="5"/>
  <c r="N52" i="5"/>
  <c r="J53" i="5"/>
  <c r="K53" i="5"/>
  <c r="L53" i="5"/>
  <c r="M53" i="5"/>
  <c r="N53" i="5"/>
  <c r="K51" i="5"/>
  <c r="L51" i="5"/>
  <c r="M51" i="5"/>
  <c r="N51" i="5"/>
  <c r="J51" i="5"/>
  <c r="K134" i="1"/>
  <c r="K50" i="5" s="1"/>
  <c r="L134" i="1"/>
  <c r="L50" i="5" s="1"/>
  <c r="M134" i="1"/>
  <c r="M50" i="5" s="1"/>
  <c r="N134" i="1"/>
  <c r="N50" i="5" s="1"/>
  <c r="D52" i="2"/>
  <c r="D45" i="5" s="1"/>
  <c r="E52" i="2"/>
  <c r="E45" i="5" s="1"/>
  <c r="F52" i="2"/>
  <c r="F45" i="5" s="1"/>
  <c r="G52" i="2"/>
  <c r="G45" i="5" s="1"/>
  <c r="H52" i="2"/>
  <c r="H45" i="5" s="1"/>
  <c r="I52" i="2"/>
  <c r="I45" i="5" s="1"/>
  <c r="J52" i="2"/>
  <c r="J45" i="5" s="1"/>
  <c r="K52" i="2"/>
  <c r="K45" i="5" s="1"/>
  <c r="L52" i="2"/>
  <c r="L45" i="5" s="1"/>
  <c r="M52" i="2"/>
  <c r="M45" i="5" s="1"/>
  <c r="N52" i="2"/>
  <c r="C52" i="2"/>
  <c r="C45" i="5" s="1"/>
  <c r="D29" i="2"/>
  <c r="D43" i="5" s="1"/>
  <c r="E29" i="2"/>
  <c r="E43" i="5" s="1"/>
  <c r="F29" i="2"/>
  <c r="F43" i="5" s="1"/>
  <c r="G29" i="2"/>
  <c r="G43" i="5" s="1"/>
  <c r="H29" i="2"/>
  <c r="H43" i="5" s="1"/>
  <c r="I29" i="2"/>
  <c r="I43" i="5" s="1"/>
  <c r="J29" i="2"/>
  <c r="J43" i="5" s="1"/>
  <c r="K29" i="2"/>
  <c r="L29" i="2"/>
  <c r="M29" i="2"/>
  <c r="M43" i="5" s="1"/>
  <c r="N29" i="2"/>
  <c r="N43" i="5" s="1"/>
  <c r="C29" i="2"/>
  <c r="C43" i="5" s="1"/>
  <c r="D24" i="2"/>
  <c r="D46" i="5" s="1"/>
  <c r="E24" i="2"/>
  <c r="E46" i="5" s="1"/>
  <c r="F24" i="2"/>
  <c r="F46" i="5" s="1"/>
  <c r="G24" i="2"/>
  <c r="G46" i="5" s="1"/>
  <c r="H24" i="2"/>
  <c r="H46" i="5" s="1"/>
  <c r="I24" i="2"/>
  <c r="I46" i="5" s="1"/>
  <c r="J24" i="2"/>
  <c r="J46" i="5" s="1"/>
  <c r="K24" i="2"/>
  <c r="K46" i="5" s="1"/>
  <c r="L24" i="2"/>
  <c r="L46" i="5" s="1"/>
  <c r="M24" i="2"/>
  <c r="M46" i="5" s="1"/>
  <c r="N24" i="2"/>
  <c r="N46" i="5" s="1"/>
  <c r="C24" i="2"/>
  <c r="C46" i="5" s="1"/>
  <c r="D22" i="2"/>
  <c r="E22" i="2"/>
  <c r="F22" i="2"/>
  <c r="F42" i="5" s="1"/>
  <c r="G22" i="2"/>
  <c r="H22" i="2"/>
  <c r="I22" i="2"/>
  <c r="J22" i="2"/>
  <c r="J42" i="5" s="1"/>
  <c r="K22" i="2"/>
  <c r="K42" i="5" s="1"/>
  <c r="L22" i="2"/>
  <c r="L42" i="5" s="1"/>
  <c r="M22" i="2"/>
  <c r="M42" i="5" s="1"/>
  <c r="N22" i="2"/>
  <c r="N42" i="5" s="1"/>
  <c r="C22" i="2"/>
  <c r="C42" i="5" s="1"/>
  <c r="D14" i="2"/>
  <c r="D41" i="5" s="1"/>
  <c r="E14" i="2"/>
  <c r="E41" i="5" s="1"/>
  <c r="F14" i="2"/>
  <c r="F41" i="5" s="1"/>
  <c r="G14" i="2"/>
  <c r="G41" i="5" s="1"/>
  <c r="H14" i="2"/>
  <c r="H41" i="5" s="1"/>
  <c r="I14" i="2"/>
  <c r="I41" i="5" s="1"/>
  <c r="J14" i="2"/>
  <c r="J41" i="5" s="1"/>
  <c r="K14" i="2"/>
  <c r="K41" i="5" s="1"/>
  <c r="L14" i="2"/>
  <c r="L41" i="5" s="1"/>
  <c r="M14" i="2"/>
  <c r="M41" i="5" s="1"/>
  <c r="N14" i="2"/>
  <c r="N41" i="5" s="1"/>
  <c r="C14" i="2"/>
  <c r="C41" i="5" s="1"/>
  <c r="D4" i="2"/>
  <c r="D40" i="5" s="1"/>
  <c r="E4" i="2"/>
  <c r="E40" i="5" s="1"/>
  <c r="F4" i="2"/>
  <c r="F40" i="5" s="1"/>
  <c r="G4" i="2"/>
  <c r="G40" i="5" s="1"/>
  <c r="H4" i="2"/>
  <c r="H40" i="5" s="1"/>
  <c r="I4" i="2"/>
  <c r="I40" i="5" s="1"/>
  <c r="J4" i="2"/>
  <c r="J40" i="5" s="1"/>
  <c r="K4" i="2"/>
  <c r="K40" i="5" s="1"/>
  <c r="L4" i="2"/>
  <c r="L40" i="5" s="1"/>
  <c r="M4" i="2"/>
  <c r="N4" i="2"/>
  <c r="N40" i="5" s="1"/>
  <c r="C4" i="2"/>
  <c r="C40" i="5" s="1"/>
  <c r="N45" i="5"/>
  <c r="K44" i="5"/>
  <c r="L44" i="5"/>
  <c r="J44" i="5"/>
  <c r="K43" i="5"/>
  <c r="L43" i="5"/>
  <c r="M40" i="5"/>
  <c r="K37" i="5"/>
  <c r="L37" i="5"/>
  <c r="M37" i="5"/>
  <c r="N37" i="5"/>
  <c r="J37" i="5"/>
  <c r="K36" i="5"/>
  <c r="L36" i="5"/>
  <c r="M36" i="5"/>
  <c r="N36" i="5"/>
  <c r="J36" i="5"/>
  <c r="K35" i="5"/>
  <c r="L35" i="5"/>
  <c r="M35" i="5"/>
  <c r="N35" i="5"/>
  <c r="J35" i="5"/>
  <c r="K120" i="1"/>
  <c r="K34" i="5" s="1"/>
  <c r="L120" i="1"/>
  <c r="L34" i="5" s="1"/>
  <c r="M120" i="1"/>
  <c r="M34" i="5" s="1"/>
  <c r="N120" i="1"/>
  <c r="N34" i="5" s="1"/>
  <c r="J120" i="1"/>
  <c r="J34" i="5" s="1"/>
  <c r="C33" i="5" l="1"/>
  <c r="M39" i="5"/>
  <c r="N39" i="5"/>
  <c r="J39" i="5"/>
  <c r="L39" i="5"/>
  <c r="C39" i="5"/>
  <c r="K39" i="5"/>
  <c r="I39" i="5"/>
  <c r="H39" i="5"/>
  <c r="L33" i="5"/>
  <c r="M49" i="5"/>
  <c r="G33" i="5"/>
  <c r="L49" i="5"/>
  <c r="J33" i="5"/>
  <c r="I33" i="5"/>
  <c r="D33" i="5"/>
  <c r="N33" i="5"/>
  <c r="M33" i="5"/>
  <c r="K33" i="5"/>
  <c r="N49" i="5"/>
  <c r="K49" i="5"/>
  <c r="H33" i="5"/>
  <c r="F33" i="5"/>
  <c r="C49" i="5"/>
  <c r="J49" i="5"/>
  <c r="I49" i="5"/>
  <c r="H49" i="5"/>
  <c r="E33" i="5"/>
  <c r="G49" i="5"/>
  <c r="G39" i="5"/>
  <c r="F39" i="5"/>
  <c r="F49" i="5"/>
  <c r="E39" i="5"/>
  <c r="E49" i="5"/>
  <c r="D39" i="5"/>
  <c r="D49" i="5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O142" i="1" l="1"/>
  <c r="N142" i="1"/>
  <c r="M142" i="1"/>
  <c r="L142" i="1"/>
  <c r="K142" i="1"/>
  <c r="J142" i="1"/>
  <c r="I142" i="1"/>
  <c r="H142" i="1"/>
  <c r="G142" i="1"/>
  <c r="F142" i="1"/>
  <c r="E142" i="1"/>
  <c r="D142" i="1"/>
  <c r="C142" i="1"/>
  <c r="O127" i="1"/>
  <c r="I127" i="1"/>
  <c r="H127" i="1"/>
  <c r="G127" i="1"/>
  <c r="F127" i="1"/>
  <c r="E127" i="1"/>
  <c r="D127" i="1"/>
  <c r="C127" i="1"/>
  <c r="O207" i="1"/>
  <c r="N63" i="5"/>
  <c r="M63" i="5"/>
  <c r="L63" i="5"/>
  <c r="K63" i="5"/>
  <c r="J63" i="5"/>
  <c r="E63" i="5"/>
  <c r="D63" i="5"/>
  <c r="C207" i="1"/>
  <c r="C63" i="5" s="1"/>
  <c r="O177" i="1"/>
  <c r="N177" i="1"/>
  <c r="N60" i="5" s="1"/>
  <c r="M177" i="1"/>
  <c r="M60" i="5" s="1"/>
  <c r="L177" i="1"/>
  <c r="L60" i="5" s="1"/>
  <c r="K177" i="1"/>
  <c r="K60" i="5" s="1"/>
  <c r="J177" i="1"/>
  <c r="J60" i="5" s="1"/>
  <c r="I177" i="1"/>
  <c r="I60" i="5" s="1"/>
  <c r="H177" i="1"/>
  <c r="H60" i="5" s="1"/>
  <c r="G177" i="1"/>
  <c r="G60" i="5" s="1"/>
  <c r="F177" i="1"/>
  <c r="F60" i="5" s="1"/>
  <c r="E177" i="1"/>
  <c r="E60" i="5" s="1"/>
  <c r="D177" i="1"/>
  <c r="D60" i="5" s="1"/>
  <c r="C177" i="1"/>
  <c r="C60" i="5" s="1"/>
  <c r="O169" i="1"/>
  <c r="N169" i="1"/>
  <c r="N57" i="5" s="1"/>
  <c r="M169" i="1"/>
  <c r="M57" i="5" s="1"/>
  <c r="L169" i="1"/>
  <c r="L57" i="5" s="1"/>
  <c r="K169" i="1"/>
  <c r="K57" i="5" s="1"/>
  <c r="J169" i="1"/>
  <c r="J57" i="5" s="1"/>
  <c r="I169" i="1"/>
  <c r="I57" i="5" s="1"/>
  <c r="H169" i="1"/>
  <c r="H57" i="5" s="1"/>
  <c r="G169" i="1"/>
  <c r="G57" i="5" s="1"/>
  <c r="F169" i="1"/>
  <c r="F57" i="5" s="1"/>
  <c r="E169" i="1"/>
  <c r="E57" i="5" s="1"/>
  <c r="D169" i="1"/>
  <c r="D57" i="5" s="1"/>
  <c r="C169" i="1"/>
  <c r="C57" i="5" s="1"/>
  <c r="O186" i="1"/>
  <c r="N186" i="1"/>
  <c r="N61" i="5" s="1"/>
  <c r="M186" i="1"/>
  <c r="M61" i="5" s="1"/>
  <c r="L186" i="1"/>
  <c r="L61" i="5" s="1"/>
  <c r="K186" i="1"/>
  <c r="K61" i="5" s="1"/>
  <c r="J186" i="1"/>
  <c r="J61" i="5" s="1"/>
  <c r="I186" i="1"/>
  <c r="I61" i="5" s="1"/>
  <c r="H186" i="1"/>
  <c r="H61" i="5" s="1"/>
  <c r="G186" i="1"/>
  <c r="G61" i="5" s="1"/>
  <c r="F186" i="1"/>
  <c r="F61" i="5" s="1"/>
  <c r="E186" i="1"/>
  <c r="E61" i="5" s="1"/>
  <c r="D186" i="1"/>
  <c r="D61" i="5" s="1"/>
  <c r="C186" i="1"/>
  <c r="C61" i="5" s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O248" i="1"/>
  <c r="N248" i="1"/>
  <c r="N71" i="5" s="1"/>
  <c r="M248" i="1"/>
  <c r="M71" i="5" s="1"/>
  <c r="L248" i="1"/>
  <c r="L71" i="5" s="1"/>
  <c r="K248" i="1"/>
  <c r="K71" i="5" s="1"/>
  <c r="J248" i="1"/>
  <c r="J71" i="5" s="1"/>
  <c r="I248" i="1"/>
  <c r="I71" i="5" s="1"/>
  <c r="H248" i="1"/>
  <c r="H71" i="5" s="1"/>
  <c r="G248" i="1"/>
  <c r="G71" i="5" s="1"/>
  <c r="F248" i="1"/>
  <c r="F71" i="5" s="1"/>
  <c r="E248" i="1"/>
  <c r="E71" i="5" s="1"/>
  <c r="D248" i="1"/>
  <c r="D71" i="5" s="1"/>
  <c r="C248" i="1"/>
  <c r="C71" i="5" s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64" i="5"/>
  <c r="M64" i="5"/>
  <c r="L64" i="5"/>
  <c r="K64" i="5"/>
  <c r="J64" i="5"/>
  <c r="O195" i="1"/>
  <c r="N195" i="1"/>
  <c r="N62" i="5" s="1"/>
  <c r="M195" i="1"/>
  <c r="M62" i="5" s="1"/>
  <c r="L195" i="1"/>
  <c r="L62" i="5" s="1"/>
  <c r="K195" i="1"/>
  <c r="K62" i="5" s="1"/>
  <c r="J195" i="1"/>
  <c r="J62" i="5" s="1"/>
  <c r="I195" i="1"/>
  <c r="I62" i="5" s="1"/>
  <c r="H195" i="1"/>
  <c r="H62" i="5" s="1"/>
  <c r="G195" i="1"/>
  <c r="G62" i="5" s="1"/>
  <c r="F195" i="1"/>
  <c r="F62" i="5" s="1"/>
  <c r="E195" i="1"/>
  <c r="E62" i="5" s="1"/>
  <c r="D195" i="1"/>
  <c r="D62" i="5" s="1"/>
  <c r="C195" i="1"/>
  <c r="C62" i="5" s="1"/>
  <c r="O153" i="1"/>
  <c r="N153" i="1"/>
  <c r="N56" i="5" s="1"/>
  <c r="M153" i="1"/>
  <c r="M56" i="5" s="1"/>
  <c r="M55" i="5" s="1"/>
  <c r="L153" i="1"/>
  <c r="L56" i="5" s="1"/>
  <c r="K153" i="1"/>
  <c r="K56" i="5" s="1"/>
  <c r="J153" i="1"/>
  <c r="J56" i="5" s="1"/>
  <c r="I153" i="1"/>
  <c r="I56" i="5" s="1"/>
  <c r="H153" i="1"/>
  <c r="H56" i="5" s="1"/>
  <c r="G153" i="1"/>
  <c r="G56" i="5" s="1"/>
  <c r="F153" i="1"/>
  <c r="F56" i="5" s="1"/>
  <c r="F55" i="5" s="1"/>
  <c r="E153" i="1"/>
  <c r="E56" i="5" s="1"/>
  <c r="D153" i="1"/>
  <c r="D56" i="5" s="1"/>
  <c r="C153" i="1"/>
  <c r="C56" i="5" s="1"/>
  <c r="C55" i="5" s="1"/>
  <c r="N23" i="5"/>
  <c r="M23" i="5"/>
  <c r="L23" i="5"/>
  <c r="K23" i="5"/>
  <c r="J23" i="5"/>
  <c r="D23" i="5"/>
  <c r="O94" i="1"/>
  <c r="N94" i="1"/>
  <c r="N28" i="5" s="1"/>
  <c r="M94" i="1"/>
  <c r="M28" i="5" s="1"/>
  <c r="L94" i="1"/>
  <c r="L28" i="5" s="1"/>
  <c r="K94" i="1"/>
  <c r="K28" i="5" s="1"/>
  <c r="J94" i="1"/>
  <c r="J28" i="5" s="1"/>
  <c r="I94" i="1"/>
  <c r="I28" i="5" s="1"/>
  <c r="H94" i="1"/>
  <c r="H28" i="5" s="1"/>
  <c r="G94" i="1"/>
  <c r="G28" i="5" s="1"/>
  <c r="F94" i="1"/>
  <c r="F28" i="5" s="1"/>
  <c r="E94" i="1"/>
  <c r="E28" i="5" s="1"/>
  <c r="D94" i="1"/>
  <c r="D28" i="5" s="1"/>
  <c r="C94" i="1"/>
  <c r="C28" i="5" s="1"/>
  <c r="O60" i="1"/>
  <c r="N60" i="1"/>
  <c r="N15" i="5" s="1"/>
  <c r="M60" i="1"/>
  <c r="M15" i="5" s="1"/>
  <c r="L60" i="1"/>
  <c r="L15" i="5" s="1"/>
  <c r="K60" i="1"/>
  <c r="K15" i="5" s="1"/>
  <c r="J60" i="1"/>
  <c r="J15" i="5" s="1"/>
  <c r="I60" i="1"/>
  <c r="I15" i="5" s="1"/>
  <c r="H60" i="1"/>
  <c r="H15" i="5" s="1"/>
  <c r="G60" i="1"/>
  <c r="G15" i="5" s="1"/>
  <c r="F60" i="1"/>
  <c r="F15" i="5" s="1"/>
  <c r="E60" i="1"/>
  <c r="E15" i="5" s="1"/>
  <c r="D60" i="1"/>
  <c r="D15" i="5" s="1"/>
  <c r="C60" i="1"/>
  <c r="C15" i="5" s="1"/>
  <c r="O68" i="1"/>
  <c r="N68" i="1"/>
  <c r="N16" i="5" s="1"/>
  <c r="M68" i="1"/>
  <c r="M16" i="5" s="1"/>
  <c r="L68" i="1"/>
  <c r="L16" i="5" s="1"/>
  <c r="K68" i="1"/>
  <c r="K16" i="5" s="1"/>
  <c r="J68" i="1"/>
  <c r="J16" i="5" s="1"/>
  <c r="I68" i="1"/>
  <c r="I16" i="5" s="1"/>
  <c r="H68" i="1"/>
  <c r="H16" i="5" s="1"/>
  <c r="G68" i="1"/>
  <c r="G16" i="5" s="1"/>
  <c r="F68" i="1"/>
  <c r="F16" i="5" s="1"/>
  <c r="E68" i="1"/>
  <c r="E16" i="5" s="1"/>
  <c r="D68" i="1"/>
  <c r="D16" i="5" s="1"/>
  <c r="C68" i="1"/>
  <c r="C16" i="5" s="1"/>
  <c r="D77" i="1"/>
  <c r="D17" i="5" s="1"/>
  <c r="E77" i="1"/>
  <c r="E17" i="5" s="1"/>
  <c r="F77" i="1"/>
  <c r="F17" i="5" s="1"/>
  <c r="G77" i="1"/>
  <c r="G17" i="5" s="1"/>
  <c r="H77" i="1"/>
  <c r="H17" i="5" s="1"/>
  <c r="I77" i="1"/>
  <c r="I17" i="5" s="1"/>
  <c r="O77" i="1"/>
  <c r="C77" i="1"/>
  <c r="C17" i="5" s="1"/>
  <c r="N33" i="1"/>
  <c r="M33" i="1"/>
  <c r="L33" i="1"/>
  <c r="K33" i="1"/>
  <c r="J33" i="1"/>
  <c r="I33" i="1"/>
  <c r="H33" i="1"/>
  <c r="G33" i="1"/>
  <c r="F33" i="1"/>
  <c r="E33" i="1"/>
  <c r="C33" i="1"/>
  <c r="O31" i="1"/>
  <c r="O30" i="1"/>
  <c r="M24" i="1"/>
  <c r="D24" i="1"/>
  <c r="N24" i="1"/>
  <c r="L24" i="1"/>
  <c r="K24" i="1"/>
  <c r="J24" i="1"/>
  <c r="I24" i="1"/>
  <c r="H24" i="1"/>
  <c r="G24" i="1"/>
  <c r="F24" i="1"/>
  <c r="E24" i="1"/>
  <c r="C24" i="1"/>
  <c r="J55" i="5" l="1"/>
  <c r="J66" i="5" s="1"/>
  <c r="H55" i="5"/>
  <c r="H66" i="5" s="1"/>
  <c r="N55" i="5"/>
  <c r="N66" i="5" s="1"/>
  <c r="I55" i="5"/>
  <c r="I66" i="5" s="1"/>
  <c r="K55" i="5"/>
  <c r="K66" i="5" s="1"/>
  <c r="C66" i="5"/>
  <c r="L55" i="5"/>
  <c r="L66" i="5" s="1"/>
  <c r="G55" i="5"/>
  <c r="G66" i="5" s="1"/>
  <c r="F66" i="5"/>
  <c r="M66" i="5"/>
  <c r="E55" i="5"/>
  <c r="E66" i="5" s="1"/>
  <c r="D55" i="5"/>
  <c r="D66" i="5"/>
  <c r="D33" i="1"/>
  <c r="O33" i="1"/>
  <c r="O22" i="1"/>
  <c r="O24" i="1" s="1"/>
  <c r="M77" i="1" l="1"/>
  <c r="M17" i="5" s="1"/>
  <c r="M20" i="5" s="1"/>
  <c r="H5" i="5"/>
  <c r="H10" i="5" s="1"/>
  <c r="E5" i="5"/>
  <c r="E10" i="5" s="1"/>
  <c r="D5" i="5"/>
  <c r="D10" i="5" s="1"/>
  <c r="N77" i="1"/>
  <c r="N17" i="5" s="1"/>
  <c r="N20" i="5" s="1"/>
  <c r="L77" i="1"/>
  <c r="L17" i="5" s="1"/>
  <c r="L20" i="5" s="1"/>
  <c r="K77" i="1"/>
  <c r="K17" i="5" s="1"/>
  <c r="K20" i="5" s="1"/>
  <c r="J77" i="1"/>
  <c r="J17" i="5" s="1"/>
  <c r="J20" i="5" s="1"/>
  <c r="G5" i="5"/>
  <c r="G10" i="5" s="1"/>
  <c r="F5" i="5"/>
  <c r="F10" i="5" s="1"/>
  <c r="D11" i="5" l="1"/>
  <c r="D20" i="5"/>
  <c r="H11" i="5"/>
  <c r="H20" i="5"/>
  <c r="F11" i="5"/>
  <c r="F20" i="5"/>
  <c r="E11" i="5"/>
  <c r="E20" i="5"/>
  <c r="O16" i="1"/>
  <c r="C5" i="5"/>
  <c r="C10" i="5" s="1"/>
  <c r="G11" i="5"/>
  <c r="G20" i="5"/>
  <c r="I11" i="5"/>
  <c r="I20" i="5"/>
  <c r="O20" i="5" s="1"/>
  <c r="M21" i="5"/>
  <c r="M25" i="5"/>
  <c r="J21" i="5"/>
  <c r="J25" i="5"/>
  <c r="K21" i="5"/>
  <c r="K25" i="5"/>
  <c r="L21" i="5"/>
  <c r="L25" i="5"/>
  <c r="N21" i="5"/>
  <c r="N25" i="5"/>
  <c r="O25" i="5" l="1"/>
  <c r="E25" i="5"/>
  <c r="E21" i="5"/>
  <c r="F25" i="5"/>
  <c r="F21" i="5"/>
  <c r="G21" i="5"/>
  <c r="G25" i="5"/>
  <c r="C11" i="5"/>
  <c r="O11" i="5"/>
  <c r="C20" i="5"/>
  <c r="H21" i="5"/>
  <c r="H25" i="5"/>
  <c r="D21" i="5"/>
  <c r="D25" i="5"/>
  <c r="I21" i="5"/>
  <c r="I25" i="5"/>
  <c r="J26" i="5"/>
  <c r="J30" i="5"/>
  <c r="M30" i="5"/>
  <c r="M26" i="5"/>
  <c r="N26" i="5"/>
  <c r="N30" i="5"/>
  <c r="L26" i="5"/>
  <c r="L30" i="5"/>
  <c r="K26" i="5"/>
  <c r="K30" i="5"/>
  <c r="O21" i="5" l="1"/>
  <c r="C21" i="5"/>
  <c r="C25" i="5"/>
  <c r="H30" i="5"/>
  <c r="H26" i="5"/>
  <c r="G30" i="5"/>
  <c r="G26" i="5"/>
  <c r="F30" i="5"/>
  <c r="F26" i="5"/>
  <c r="D26" i="5"/>
  <c r="D30" i="5"/>
  <c r="E26" i="5"/>
  <c r="E30" i="5"/>
  <c r="N31" i="5"/>
  <c r="N73" i="5"/>
  <c r="M31" i="5"/>
  <c r="M73" i="5"/>
  <c r="L31" i="5"/>
  <c r="L73" i="5"/>
  <c r="K31" i="5"/>
  <c r="K73" i="5"/>
  <c r="J31" i="5"/>
  <c r="J73" i="5"/>
  <c r="I26" i="5"/>
  <c r="I30" i="5"/>
  <c r="O30" i="5" s="1"/>
  <c r="D31" i="5" l="1"/>
  <c r="D73" i="5"/>
  <c r="H31" i="5"/>
  <c r="H73" i="5"/>
  <c r="F31" i="5"/>
  <c r="F73" i="5"/>
  <c r="G31" i="5"/>
  <c r="G73" i="5"/>
  <c r="O26" i="5"/>
  <c r="C26" i="5"/>
  <c r="C30" i="5"/>
  <c r="E31" i="5"/>
  <c r="E73" i="5"/>
  <c r="Q9" i="7"/>
  <c r="Q27" i="7" s="1"/>
  <c r="Q31" i="7" s="1"/>
  <c r="O11" i="6"/>
  <c r="P9" i="7"/>
  <c r="P27" i="7" s="1"/>
  <c r="P31" i="7" s="1"/>
  <c r="N11" i="6"/>
  <c r="O9" i="7"/>
  <c r="O27" i="7" s="1"/>
  <c r="O31" i="7" s="1"/>
  <c r="M11" i="6"/>
  <c r="N9" i="7"/>
  <c r="N27" i="7" s="1"/>
  <c r="N31" i="7" s="1"/>
  <c r="L11" i="6"/>
  <c r="M9" i="7"/>
  <c r="M27" i="7" s="1"/>
  <c r="M31" i="7" s="1"/>
  <c r="K11" i="6"/>
  <c r="I31" i="5"/>
  <c r="I73" i="5"/>
  <c r="J11" i="6" l="1"/>
  <c r="L9" i="7"/>
  <c r="L27" i="7" s="1"/>
  <c r="L31" i="7" s="1"/>
  <c r="L53" i="7" s="1"/>
  <c r="L57" i="7" s="1"/>
  <c r="L60" i="7" s="1"/>
  <c r="O73" i="5"/>
  <c r="I9" i="7"/>
  <c r="I27" i="7" s="1"/>
  <c r="I31" i="7" s="1"/>
  <c r="I53" i="7" s="1"/>
  <c r="I57" i="7" s="1"/>
  <c r="I60" i="7" s="1"/>
  <c r="G11" i="6"/>
  <c r="K9" i="7"/>
  <c r="K27" i="7" s="1"/>
  <c r="K31" i="7" s="1"/>
  <c r="K53" i="7" s="1"/>
  <c r="K57" i="7" s="1"/>
  <c r="K60" i="7" s="1"/>
  <c r="I11" i="6"/>
  <c r="C31" i="5"/>
  <c r="C73" i="5"/>
  <c r="O31" i="5"/>
  <c r="J9" i="7"/>
  <c r="J27" i="7" s="1"/>
  <c r="J31" i="7" s="1"/>
  <c r="J53" i="7" s="1"/>
  <c r="J57" i="7" s="1"/>
  <c r="J60" i="7" s="1"/>
  <c r="H11" i="6"/>
  <c r="G9" i="7"/>
  <c r="G27" i="7" s="1"/>
  <c r="G31" i="7" s="1"/>
  <c r="G53" i="7" s="1"/>
  <c r="G57" i="7" s="1"/>
  <c r="G60" i="7" s="1"/>
  <c r="E11" i="6"/>
  <c r="H9" i="7"/>
  <c r="H27" i="7" s="1"/>
  <c r="H31" i="7" s="1"/>
  <c r="H53" i="7" s="1"/>
  <c r="H57" i="7" s="1"/>
  <c r="H60" i="7" s="1"/>
  <c r="F11" i="6"/>
  <c r="F9" i="7" l="1"/>
  <c r="F27" i="7" s="1"/>
  <c r="F31" i="7" s="1"/>
  <c r="F53" i="7" s="1"/>
  <c r="F57" i="7" s="1"/>
  <c r="F60" i="7" s="1"/>
  <c r="D11" i="6"/>
  <c r="D74" i="6" l="1"/>
  <c r="D32" i="6"/>
  <c r="D64" i="6" s="1"/>
  <c r="E10" i="6"/>
  <c r="D71" i="6"/>
  <c r="E32" i="6" l="1"/>
  <c r="E64" i="6" s="1"/>
  <c r="E71" i="6"/>
  <c r="F10" i="6"/>
  <c r="E74" i="6"/>
  <c r="F32" i="6" l="1"/>
  <c r="F64" i="6" s="1"/>
  <c r="F74" i="6"/>
  <c r="F71" i="6"/>
  <c r="G10" i="6"/>
  <c r="G32" i="6" l="1"/>
  <c r="G64" i="6" s="1"/>
  <c r="G71" i="6"/>
  <c r="H10" i="6"/>
  <c r="G74" i="6"/>
  <c r="H71" i="6" l="1"/>
  <c r="I10" i="6"/>
  <c r="H74" i="6"/>
  <c r="H32" i="6"/>
  <c r="H64" i="6" s="1"/>
  <c r="J10" i="6" l="1"/>
  <c r="I71" i="6"/>
  <c r="I74" i="6"/>
  <c r="I32" i="6"/>
  <c r="I64" i="6" s="1"/>
  <c r="K10" i="6" l="1"/>
  <c r="J74" i="6"/>
  <c r="J71" i="6"/>
  <c r="J32" i="6"/>
  <c r="J64" i="6" s="1"/>
  <c r="K22" i="6" l="1"/>
  <c r="K32" i="6" s="1"/>
  <c r="K64" i="6" s="1"/>
  <c r="L10" i="6"/>
  <c r="K74" i="6"/>
  <c r="K71" i="6"/>
  <c r="M10" i="6" l="1"/>
  <c r="L71" i="6"/>
  <c r="L22" i="6"/>
  <c r="L32" i="6" s="1"/>
  <c r="L64" i="6" s="1"/>
  <c r="L74" i="6"/>
  <c r="M48" i="7"/>
  <c r="M51" i="7" s="1"/>
  <c r="M53" i="7" s="1"/>
  <c r="M57" i="7" s="1"/>
  <c r="M60" i="7" s="1"/>
  <c r="K68" i="6"/>
  <c r="K69" i="6"/>
  <c r="N48" i="7" l="1"/>
  <c r="N51" i="7" s="1"/>
  <c r="N53" i="7" s="1"/>
  <c r="N57" i="7" s="1"/>
  <c r="N60" i="7" s="1"/>
  <c r="L69" i="6"/>
  <c r="L68" i="6"/>
  <c r="M22" i="6"/>
  <c r="M32" i="6" s="1"/>
  <c r="M64" i="6" s="1"/>
  <c r="M71" i="6"/>
  <c r="N10" i="6"/>
  <c r="M74" i="6"/>
  <c r="N22" i="6" l="1"/>
  <c r="N32" i="6" s="1"/>
  <c r="N64" i="6" s="1"/>
  <c r="N74" i="6"/>
  <c r="O10" i="6"/>
  <c r="N71" i="6"/>
  <c r="O48" i="7"/>
  <c r="O51" i="7" s="1"/>
  <c r="O53" i="7" s="1"/>
  <c r="O57" i="7" s="1"/>
  <c r="O60" i="7" s="1"/>
  <c r="M69" i="6"/>
  <c r="M68" i="6"/>
  <c r="O22" i="6" l="1"/>
  <c r="O32" i="6" s="1"/>
  <c r="O64" i="6" s="1"/>
  <c r="O71" i="6"/>
  <c r="O74" i="6"/>
  <c r="P48" i="7"/>
  <c r="P51" i="7" s="1"/>
  <c r="P53" i="7" s="1"/>
  <c r="P57" i="7" s="1"/>
  <c r="P60" i="7" s="1"/>
  <c r="N68" i="6"/>
  <c r="N69" i="6"/>
  <c r="Q48" i="7" l="1"/>
  <c r="Q51" i="7" s="1"/>
  <c r="Q53" i="7" s="1"/>
  <c r="Q57" i="7" s="1"/>
  <c r="Q60" i="7" s="1"/>
  <c r="O69" i="6"/>
  <c r="O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tc={A4CB0058-7CDB-4163-8114-D4B7547C6FC2}</author>
    <author>tc={7DC0E148-E968-44AD-B03E-F659A59C7409}</author>
  </authors>
  <commentList>
    <comment ref="D40" authorId="0" shapeId="0" xr:uid="{A4CB0058-7CDB-4163-8114-D4B7547C6FC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Year Cost</t>
      </text>
    </comment>
    <comment ref="C73" authorId="1" shapeId="0" xr:uid="{7DC0E148-E968-44AD-B03E-F659A59C740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SOR 1,44,02,088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tc={FFDDB056-546A-4931-8687-CFD9013E759E}</author>
    <author>tc={B039B3B5-A5BB-4BCC-9A16-F409476DFB88}</author>
  </authors>
  <commentList>
    <comment ref="D12" authorId="0" shapeId="0" xr:uid="{FFDDB056-546A-4931-8687-CFD9013E759E}">
      <text>
        <t>[Threaded comment]
Your version of Excel allows you to read this threaded comment; however, any edits to it will get removed if the file is opened in a newer version of Excel. Learn more: https://go.microsoft.com/fwlink/?linkid=870924
Comment:
    GP WIP Delta</t>
      </text>
    </comment>
    <comment ref="B46" authorId="1" shapeId="0" xr:uid="{B039B3B5-A5BB-4BCC-9A16-F409476DFB88}">
      <text>
        <t>[Threaded comment]
Your version of Excel allows you to read this threaded comment; however, any edits to it will get removed if the file is opened in a newer version of Excel. Learn more: https://go.microsoft.com/fwlink/?linkid=870924
Comment:
    LC Margin money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tc={48CE7790-815C-480D-B1EC-CA8AB60C3C6B}</author>
  </authors>
  <commentList>
    <comment ref="F24" authorId="0" shapeId="0" xr:uid="{48CE7790-815C-480D-B1EC-CA8AB60C3C6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Provision for Dep</t>
      </text>
    </comment>
  </commentList>
</comments>
</file>

<file path=xl/sharedStrings.xml><?xml version="1.0" encoding="utf-8"?>
<sst xmlns="http://schemas.openxmlformats.org/spreadsheetml/2006/main" count="869" uniqueCount="572">
  <si>
    <t>Revenue</t>
  </si>
  <si>
    <t>Particulars</t>
  </si>
  <si>
    <t>Total</t>
  </si>
  <si>
    <t xml:space="preserve">Assumption :  As per data provided by sales team for projection of revenue for FY 2024-25 </t>
  </si>
  <si>
    <t>LFS</t>
  </si>
  <si>
    <t>MBO</t>
  </si>
  <si>
    <t>Online</t>
  </si>
  <si>
    <t>Others</t>
  </si>
  <si>
    <t>FOB</t>
  </si>
  <si>
    <t>Job Work</t>
  </si>
  <si>
    <t>Purchases</t>
  </si>
  <si>
    <t>Purchase of Materials</t>
  </si>
  <si>
    <t>Change in Stock</t>
  </si>
  <si>
    <t>Closing Stock</t>
  </si>
  <si>
    <t>Opening Stock</t>
  </si>
  <si>
    <t>Assumption : as per trend and average basis</t>
  </si>
  <si>
    <t>of Revenue</t>
  </si>
  <si>
    <t>Job Work Charge</t>
  </si>
  <si>
    <t>Job Work Purchase-Dyeing</t>
  </si>
  <si>
    <t>Job Work Purchase-Embroidery</t>
  </si>
  <si>
    <t>Job Work Purchase-Others</t>
  </si>
  <si>
    <t>Job Work Purchase-Printing</t>
  </si>
  <si>
    <t>Job Work Purchase-Quilting</t>
  </si>
  <si>
    <t>Job Work Purchase-Stiching</t>
  </si>
  <si>
    <t>Job Work Purchase-Washing Gst@18%</t>
  </si>
  <si>
    <t>Job Work Purchase-Washing Gst@5%</t>
  </si>
  <si>
    <t>Carriage Inward</t>
  </si>
  <si>
    <t>Freight Charges</t>
  </si>
  <si>
    <t>Lab Test Charges</t>
  </si>
  <si>
    <t>Manufacturing Expenses</t>
  </si>
  <si>
    <t>Power and Fuel</t>
  </si>
  <si>
    <t>Diesel and Oil for Generator</t>
  </si>
  <si>
    <t>Electricity and water charges</t>
  </si>
  <si>
    <t>Rent, Rates and Taxes</t>
  </si>
  <si>
    <t>Rent Factory</t>
  </si>
  <si>
    <t>Wages and Salary</t>
  </si>
  <si>
    <t xml:space="preserve">Bonus For Workers </t>
  </si>
  <si>
    <t xml:space="preserve">ESI Employer Contribution </t>
  </si>
  <si>
    <t>Leave Encashment ( Workers)</t>
  </si>
  <si>
    <t xml:space="preserve">Over Time Wages </t>
  </si>
  <si>
    <t xml:space="preserve">PF Admin Charges </t>
  </si>
  <si>
    <t xml:space="preserve">PF Employer Contribution </t>
  </si>
  <si>
    <t>Piece Rate Work Charges</t>
  </si>
  <si>
    <t>Security Expenses ( Factory)</t>
  </si>
  <si>
    <t xml:space="preserve">Wages   </t>
  </si>
  <si>
    <t>Bill Discounting Charges</t>
  </si>
  <si>
    <t>Bill Discounting Charges - Celio</t>
  </si>
  <si>
    <t>Bill Discounting Charges - Pepe</t>
  </si>
  <si>
    <t>Bill Discounting Charges - Indian Terrain</t>
  </si>
  <si>
    <t>Carriage Outward</t>
  </si>
  <si>
    <t>Courier Charges</t>
  </si>
  <si>
    <t xml:space="preserve">Depreciation </t>
  </si>
  <si>
    <t xml:space="preserve">Fees and Renewals </t>
  </si>
  <si>
    <t xml:space="preserve">Finance Cost </t>
  </si>
  <si>
    <t xml:space="preserve">Interest on Vehicle Loan </t>
  </si>
  <si>
    <t>Interest on CC Account</t>
  </si>
  <si>
    <t xml:space="preserve">Interest on Term Loan </t>
  </si>
  <si>
    <t xml:space="preserve">Interest paid on unsecured loan </t>
  </si>
  <si>
    <t>LC opening and Retirement Charges</t>
  </si>
  <si>
    <t>LC Charges</t>
  </si>
  <si>
    <t>Legal and Professional Charges</t>
  </si>
  <si>
    <t xml:space="preserve">LFS and Markdown Discount </t>
  </si>
  <si>
    <t>LFS Discount</t>
  </si>
  <si>
    <t xml:space="preserve">Local Conveyance </t>
  </si>
  <si>
    <t>Other Expenses</t>
  </si>
  <si>
    <t xml:space="preserve">Repairs and Maintenance </t>
  </si>
  <si>
    <t xml:space="preserve">Computer Maintenance </t>
  </si>
  <si>
    <t>Electrical Expenses</t>
  </si>
  <si>
    <t xml:space="preserve">Vehicle Maintenance </t>
  </si>
  <si>
    <t>Vehicle Charges</t>
  </si>
  <si>
    <t xml:space="preserve">Salaries and Bonus </t>
  </si>
  <si>
    <t xml:space="preserve">Staff and Labour Advance </t>
  </si>
  <si>
    <t>Bonus for Staff</t>
  </si>
  <si>
    <t xml:space="preserve">Leave encashment </t>
  </si>
  <si>
    <t>Salary Expense</t>
  </si>
  <si>
    <t>Travelling Expenses</t>
  </si>
  <si>
    <t>T Base Distributor Expenses</t>
  </si>
  <si>
    <t xml:space="preserve">            T Base  Dealers Cash Discount</t>
  </si>
  <si>
    <t xml:space="preserve">            T Base Dist. Cash Discount</t>
  </si>
  <si>
    <t xml:space="preserve">            T Base Dist. Interest Payment                                                                       </t>
  </si>
  <si>
    <t xml:space="preserve">            T Base Dist. Reimbursement Expenses                                                                 </t>
  </si>
  <si>
    <t xml:space="preserve">            T Base Dist. Trade Discount                                                                         </t>
  </si>
  <si>
    <t xml:space="preserve">            T Base Dist. Transit Loss (Short Recd)                                                              </t>
  </si>
  <si>
    <t xml:space="preserve">            T Base Dist. Venue Booking Expenses                                                                 </t>
  </si>
  <si>
    <t xml:space="preserve">            T Base Venue Booking Expenses                                                                       </t>
  </si>
  <si>
    <t xml:space="preserve">            Trade Discount                                                                                      </t>
  </si>
  <si>
    <t xml:space="preserve">            Cosmos Mall - Siliguri - Hvac Charges                                                               </t>
  </si>
  <si>
    <t xml:space="preserve">            Cosmos Mall - Siliguri -Electricity Charges                                                         </t>
  </si>
  <si>
    <t xml:space="preserve">            Cosmos Mall- Siliguri- Cam Charges                                                                  </t>
  </si>
  <si>
    <t xml:space="preserve">            Cosmos Mall- Silliguri- Rent Expenses                                                               </t>
  </si>
  <si>
    <t xml:space="preserve">            Cosmoss Mall- Silliguri- Store Expenses                                                             </t>
  </si>
  <si>
    <t xml:space="preserve">            T Base Ebo Credit Card Bank Charges                                                                 </t>
  </si>
  <si>
    <t xml:space="preserve">            T Base Reimbursement Charges - Ebo                                                                  </t>
  </si>
  <si>
    <t xml:space="preserve">            Lfs - Freight Charges                                                                               </t>
  </si>
  <si>
    <t xml:space="preserve">            Lfs- Promotional Expenses                                                                           </t>
  </si>
  <si>
    <t xml:space="preserve">            Lfs Shrinkage Expenses                                                                              </t>
  </si>
  <si>
    <t xml:space="preserve">            Support Service Expenses - Lfr                                                                      </t>
  </si>
  <si>
    <t xml:space="preserve">            Advertisement Charges - Myntra                                                                      </t>
  </si>
  <si>
    <t xml:space="preserve">            Collection &amp; Other Charges - Myntra Designs                                                         </t>
  </si>
  <si>
    <t xml:space="preserve">            Commission Charges - Myntra                                                                         </t>
  </si>
  <si>
    <t xml:space="preserve">            Fixed Fees &amp; Other Charges - Myntra Designs                                                         </t>
  </si>
  <si>
    <t xml:space="preserve">            Freight Charges Recovery-Reliance Retail Limited-Ajio                                               </t>
  </si>
  <si>
    <t xml:space="preserve">            Shipping &amp; Other Charges - Myntra Designs                                                           </t>
  </si>
  <si>
    <t xml:space="preserve">            Support Service Expenses - Online                                                                   </t>
  </si>
  <si>
    <t xml:space="preserve">            T Base Online Sales Other Expenses                                                                  </t>
  </si>
  <si>
    <t xml:space="preserve">            T Base Advertisement Expenses                                                                       </t>
  </si>
  <si>
    <t xml:space="preserve">            T Base Sales Expenses - Asm - Amit Darji                                                            </t>
  </si>
  <si>
    <t xml:space="preserve">            T Base Sales Expenses - Asm - Ashish Tyagi                                                          </t>
  </si>
  <si>
    <t xml:space="preserve">            T Base Sales Expenses - Asm - Dinesh Kumar D.B                                                      </t>
  </si>
  <si>
    <t xml:space="preserve">            T Base Sales Expenses - Asm - Sourabh  Goswami                                                      </t>
  </si>
  <si>
    <t xml:space="preserve">            T Base Sales Expenses - Asm - Sudhanshu Singh                                                       </t>
  </si>
  <si>
    <t xml:space="preserve">            T Base Sales Expenses - Asm - Sunil Kumar                                                           </t>
  </si>
  <si>
    <t xml:space="preserve">            T Base Sales Expenses - Asm -Chandan Kumar Das                                                      </t>
  </si>
  <si>
    <t xml:space="preserve">            T Base Sales Expenses - Nsm- Anil Sood                                                              </t>
  </si>
  <si>
    <t xml:space="preserve">            T Base Sales Expenses- Pushpender                                                                   </t>
  </si>
  <si>
    <t xml:space="preserve">            T Base Sis Trade Discount                                                                           </t>
  </si>
  <si>
    <t>T Base Sales Expenses</t>
  </si>
  <si>
    <t>T Base Online Expenses</t>
  </si>
  <si>
    <t>T Base LFS Expenses</t>
  </si>
  <si>
    <t>T Base Individual Expenses</t>
  </si>
  <si>
    <t>T Base EBO Expenses</t>
  </si>
  <si>
    <t>T Base SIS Expenses</t>
  </si>
  <si>
    <t>Trade Payables</t>
  </si>
  <si>
    <t>DPO</t>
  </si>
  <si>
    <t>Long term loans &amp; Advances</t>
  </si>
  <si>
    <t>Inventories</t>
  </si>
  <si>
    <t>Trade Receivables</t>
  </si>
  <si>
    <t>(a)Capital Accounts</t>
  </si>
  <si>
    <t>(b) Reserves &amp; Surplus</t>
  </si>
  <si>
    <t xml:space="preserve">        - Opening </t>
  </si>
  <si>
    <t xml:space="preserve">        - Current Period</t>
  </si>
  <si>
    <t xml:space="preserve">        - Difference</t>
  </si>
  <si>
    <t>First Aid Expenses</t>
  </si>
  <si>
    <t>Fist Aid Expenses</t>
  </si>
  <si>
    <t xml:space="preserve">Vehicle Toll Charges </t>
  </si>
  <si>
    <t xml:space="preserve">Petrol Charges </t>
  </si>
  <si>
    <t>Late Fees and Penalties</t>
  </si>
  <si>
    <t>1. LFS</t>
  </si>
  <si>
    <t xml:space="preserve">            Advertisement Charges - Ajio</t>
  </si>
  <si>
    <t xml:space="preserve">1. Online </t>
  </si>
  <si>
    <t xml:space="preserve">2. Online </t>
  </si>
  <si>
    <t>3. MBO</t>
  </si>
  <si>
    <t>2. MBO</t>
  </si>
  <si>
    <t>1. MBO</t>
  </si>
  <si>
    <t>2. Others</t>
  </si>
  <si>
    <t>Late Fees</t>
  </si>
  <si>
    <t>Logic ERP Charges</t>
  </si>
  <si>
    <t xml:space="preserve">Revenue </t>
  </si>
  <si>
    <t>Costs:</t>
  </si>
  <si>
    <t>COGS</t>
  </si>
  <si>
    <t>GM 1</t>
  </si>
  <si>
    <t>GM 1 (%)</t>
  </si>
  <si>
    <t>Direct Expenses</t>
  </si>
  <si>
    <t>Electricity</t>
  </si>
  <si>
    <t>Manufacturing Expense</t>
  </si>
  <si>
    <t>Carriage Inwards</t>
  </si>
  <si>
    <t>GM 2</t>
  </si>
  <si>
    <t>GM 2 (%)</t>
  </si>
  <si>
    <t>Factory Wages</t>
  </si>
  <si>
    <t>GM 3</t>
  </si>
  <si>
    <t>GM 3 (%)</t>
  </si>
  <si>
    <t>Factory Rent</t>
  </si>
  <si>
    <t>GM 4</t>
  </si>
  <si>
    <t>GM 4 (%)</t>
  </si>
  <si>
    <t>Employee Benefit Expenses</t>
  </si>
  <si>
    <t>Staff Salary</t>
  </si>
  <si>
    <t>Leave Encashment</t>
  </si>
  <si>
    <t>Bonus/Variable Payout</t>
  </si>
  <si>
    <t>Staff welfare</t>
  </si>
  <si>
    <t>Sales &amp; Marketing</t>
  </si>
  <si>
    <t>Distributor Expensnes</t>
  </si>
  <si>
    <t xml:space="preserve">EBO </t>
  </si>
  <si>
    <t>Road Show Expenses</t>
  </si>
  <si>
    <t>E-commerce Expenses</t>
  </si>
  <si>
    <t>Sales Reimbursements</t>
  </si>
  <si>
    <t>SIS</t>
  </si>
  <si>
    <t>LFS Expenses</t>
  </si>
  <si>
    <t>Other Business Promotion Expenses</t>
  </si>
  <si>
    <t>Travelling and Conveyance</t>
  </si>
  <si>
    <t xml:space="preserve">Travelling Expenses </t>
  </si>
  <si>
    <t xml:space="preserve">   Petrol Charges </t>
  </si>
  <si>
    <t>LC and Discounting Charges</t>
  </si>
  <si>
    <t>Bill Disocunting Charges</t>
  </si>
  <si>
    <t>LFS Markdown Sales Discount</t>
  </si>
  <si>
    <t xml:space="preserve">LC Opening Charges And Retirement Charges </t>
  </si>
  <si>
    <t>Legal &amp; Professional Charges</t>
  </si>
  <si>
    <t>Repairs and Maintence</t>
  </si>
  <si>
    <t>Misc Expenses</t>
  </si>
  <si>
    <t>Total Indirect Costs</t>
  </si>
  <si>
    <t>Other Income</t>
  </si>
  <si>
    <t>Depreciation</t>
  </si>
  <si>
    <t>Finance Cost</t>
  </si>
  <si>
    <t>Net Earnings Before Tax / PAT</t>
  </si>
  <si>
    <t>LESS: Tax expenses</t>
  </si>
  <si>
    <t>PAT</t>
  </si>
  <si>
    <t>Q1 Actual</t>
  </si>
  <si>
    <t xml:space="preserve">Q2 </t>
  </si>
  <si>
    <t>Q3 Forecast</t>
  </si>
  <si>
    <t>Q4 Forecast</t>
  </si>
  <si>
    <t>FY 2024-25</t>
  </si>
  <si>
    <t xml:space="preserve">            Road Show Expenses</t>
  </si>
  <si>
    <t>Bank Charges</t>
  </si>
  <si>
    <t>Internet Expenses</t>
  </si>
  <si>
    <t xml:space="preserve">Printing and Stationery </t>
  </si>
  <si>
    <t>Telephone Expenses</t>
  </si>
  <si>
    <t xml:space="preserve">2. Others </t>
  </si>
  <si>
    <t xml:space="preserve">Commission </t>
  </si>
  <si>
    <t>Reimbursement of Audit Expenses</t>
  </si>
  <si>
    <t>Transit Loss</t>
  </si>
  <si>
    <t>Job Work Purchase-Darning</t>
  </si>
  <si>
    <t xml:space="preserve">Balance Sheet </t>
  </si>
  <si>
    <t>Capital &amp; Liabilities</t>
  </si>
  <si>
    <t>Non Current Liabilities :</t>
  </si>
  <si>
    <t>(a) Long term borrwoings</t>
  </si>
  <si>
    <t xml:space="preserve">        - Secured Loans</t>
  </si>
  <si>
    <t xml:space="preserve">        - Unsercured Loan</t>
  </si>
  <si>
    <t>Current Liabilities</t>
  </si>
  <si>
    <t>(a) Short Term Borrowings (OD)</t>
  </si>
  <si>
    <t>(b) Short Term Borrowings (b/f)</t>
  </si>
  <si>
    <t>(c) Trade Payables</t>
  </si>
  <si>
    <t>(d) Other Current liabilities</t>
  </si>
  <si>
    <t xml:space="preserve">        - Advance From Customers</t>
  </si>
  <si>
    <t xml:space="preserve">        - Statutory liabilities</t>
  </si>
  <si>
    <t xml:space="preserve">        - Employee payables</t>
  </si>
  <si>
    <t xml:space="preserve">        - Security Deposits</t>
  </si>
  <si>
    <t>(e) Other Short term liabilities</t>
  </si>
  <si>
    <t>TOTAL</t>
  </si>
  <si>
    <t>Assets</t>
  </si>
  <si>
    <t>Non Current Assets</t>
  </si>
  <si>
    <t xml:space="preserve">(a) Property, Plant &amp; Machinery  </t>
  </si>
  <si>
    <t xml:space="preserve">       - Tangible</t>
  </si>
  <si>
    <t xml:space="preserve">       - Intangible</t>
  </si>
  <si>
    <t xml:space="preserve">(b) Non current investments </t>
  </si>
  <si>
    <t>(c) Long term loans &amp; Advances</t>
  </si>
  <si>
    <t xml:space="preserve">        - Deposits &amp; Fund</t>
  </si>
  <si>
    <t xml:space="preserve">        - Others</t>
  </si>
  <si>
    <t>(d) Other non current assets (Deferred Tax)</t>
  </si>
  <si>
    <t>Current Assets</t>
  </si>
  <si>
    <t>(a) Current investments</t>
  </si>
  <si>
    <t>(b) Inventories</t>
  </si>
  <si>
    <t>(c) Trade Receivables</t>
  </si>
  <si>
    <t>(d) Cash &amp; cash equivalents</t>
  </si>
  <si>
    <t xml:space="preserve">        - Cash in Hand</t>
  </si>
  <si>
    <t xml:space="preserve">        - Cash in Bank (Incl Current Acc)</t>
  </si>
  <si>
    <t xml:space="preserve">        - Bank Deposits</t>
  </si>
  <si>
    <t>(e) Short term loans &amp; advances</t>
  </si>
  <si>
    <t xml:space="preserve">        - Samples</t>
  </si>
  <si>
    <t xml:space="preserve">        - Employee advances</t>
  </si>
  <si>
    <t xml:space="preserve">        - Other advances</t>
  </si>
  <si>
    <t>(f) Other Current assets</t>
  </si>
  <si>
    <t xml:space="preserve">       - Statutory Due Receivables</t>
  </si>
  <si>
    <t xml:space="preserve">       - Margin Money</t>
  </si>
  <si>
    <t xml:space="preserve">       - Prepaid Expenses</t>
  </si>
  <si>
    <t>Ratios:</t>
  </si>
  <si>
    <t>Current Ratio</t>
  </si>
  <si>
    <t>Current Ratio ( excluding Inventory)</t>
  </si>
  <si>
    <t>Total Assets/Equity Ratio</t>
  </si>
  <si>
    <t>Return on Fixed Assets</t>
  </si>
  <si>
    <t>Return on Equity</t>
  </si>
  <si>
    <t>Total Asset Turnover</t>
  </si>
  <si>
    <t>Fixed Asset Turnover</t>
  </si>
  <si>
    <t>Inventory days</t>
  </si>
  <si>
    <t>DSO</t>
  </si>
  <si>
    <t>Cash Flow Statement (Actual)</t>
  </si>
  <si>
    <t>A.</t>
  </si>
  <si>
    <t>Cash Flow from Operating Activities</t>
  </si>
  <si>
    <t>Net Profit / (Loss) for the period</t>
  </si>
  <si>
    <t>Adjustment for (add):</t>
  </si>
  <si>
    <t>Finance Cost/ DTL</t>
  </si>
  <si>
    <t>Adjustment for increase /decrease in operating assets:</t>
  </si>
  <si>
    <t>Short Term Loans &amp; Advances</t>
  </si>
  <si>
    <t>Other Current Assets</t>
  </si>
  <si>
    <t>Adjustment for increase /decrease in operating liabilities:</t>
  </si>
  <si>
    <t>Other Current Liabilities</t>
  </si>
  <si>
    <t>Short-Term Liabilities</t>
  </si>
  <si>
    <t>Cash generated from Operations</t>
  </si>
  <si>
    <t>Less: Tax Paid</t>
  </si>
  <si>
    <t>Net cash flow Operating Activities (A)</t>
  </si>
  <si>
    <t>B.</t>
  </si>
  <si>
    <t>Cash Flow from Investing Activities</t>
  </si>
  <si>
    <t>Capital Exp on FA</t>
  </si>
  <si>
    <t>Proceeds from sale of FA</t>
  </si>
  <si>
    <t>Non - Current Investments</t>
  </si>
  <si>
    <t>Other non current assets (Deferred Tax)</t>
  </si>
  <si>
    <t>FD Interest</t>
  </si>
  <si>
    <t>Current Investment</t>
  </si>
  <si>
    <t>Net Cash Flow from Investing Activities (B)</t>
  </si>
  <si>
    <t>C.</t>
  </si>
  <si>
    <t>Cash Flow from Financing Activities</t>
  </si>
  <si>
    <t>Drawings/Capital introductions</t>
  </si>
  <si>
    <t>Proceeds from borrowings</t>
  </si>
  <si>
    <t>Net Cash Flow from Financing Activities (C)</t>
  </si>
  <si>
    <t>Net Increase / Decrease in Cash</t>
  </si>
  <si>
    <t>Cash &amp; Cash Equivalents at the beginning of the month</t>
  </si>
  <si>
    <t>Cash &amp; Cash Equivalents at the end of the month</t>
  </si>
  <si>
    <r>
      <t xml:space="preserve">Check </t>
    </r>
    <r>
      <rPr>
        <sz val="9"/>
        <rFont val="Calibri"/>
        <family val="2"/>
        <scheme val="minor"/>
      </rPr>
      <t>(put values manually)</t>
    </r>
    <r>
      <rPr>
        <sz val="11"/>
        <rFont val="Calibri"/>
        <family val="2"/>
        <scheme val="minor"/>
      </rPr>
      <t xml:space="preserve"> </t>
    </r>
  </si>
  <si>
    <t xml:space="preserve">(Should be Zero) </t>
  </si>
  <si>
    <t>4. Others</t>
  </si>
  <si>
    <t xml:space="preserve"> </t>
  </si>
  <si>
    <t>Channel</t>
  </si>
  <si>
    <t xml:space="preserve">Cost </t>
  </si>
  <si>
    <t>Profit</t>
  </si>
  <si>
    <t xml:space="preserve">CC </t>
  </si>
  <si>
    <t>CC</t>
  </si>
  <si>
    <t xml:space="preserve">Total Cost </t>
  </si>
  <si>
    <t>Margin</t>
  </si>
  <si>
    <t>Other Costs</t>
  </si>
  <si>
    <t>Nov</t>
  </si>
  <si>
    <t>Dec</t>
  </si>
  <si>
    <t>Jan</t>
  </si>
  <si>
    <t>Feb</t>
  </si>
  <si>
    <t>Mar</t>
  </si>
  <si>
    <t>Pure Overhead</t>
  </si>
  <si>
    <t xml:space="preserve">Total </t>
  </si>
  <si>
    <t>Allocated</t>
  </si>
  <si>
    <t>Excess</t>
  </si>
  <si>
    <t>COST CENTER</t>
  </si>
  <si>
    <t>(Multiple Items)</t>
  </si>
  <si>
    <t>Row Labels</t>
  </si>
  <si>
    <t>Sum of TOTAL
GROSS</t>
  </si>
  <si>
    <t>ACCOUNTS</t>
  </si>
  <si>
    <t>ADMIN</t>
  </si>
  <si>
    <t>DESIGN</t>
  </si>
  <si>
    <t>DESPATCH</t>
  </si>
  <si>
    <t>FABRIC</t>
  </si>
  <si>
    <t>H R</t>
  </si>
  <si>
    <t>I E</t>
  </si>
  <si>
    <t>MAINATANACE</t>
  </si>
  <si>
    <t>MERCHANDISER</t>
  </si>
  <si>
    <t>MERCHANDISING</t>
  </si>
  <si>
    <t>PRODUCTION</t>
  </si>
  <si>
    <t>PURCHASE</t>
  </si>
  <si>
    <t>Q A</t>
  </si>
  <si>
    <t>SAMPLE SECTION</t>
  </si>
  <si>
    <t>STORES</t>
  </si>
  <si>
    <t>T BASE</t>
  </si>
  <si>
    <t>Grand Total</t>
  </si>
  <si>
    <t>INLEATHER UNIT 2 T G PALYA SEP-2024</t>
  </si>
  <si>
    <t>UNIT</t>
  </si>
  <si>
    <t>EMP
CODE</t>
  </si>
  <si>
    <t>No</t>
  </si>
  <si>
    <t>EMP
NAME</t>
  </si>
  <si>
    <t>DESIG
NATION</t>
  </si>
  <si>
    <t>DEPAR
TMENT</t>
  </si>
  <si>
    <t>CAL
DAYS</t>
  </si>
  <si>
    <t>BASIC
RATE</t>
  </si>
  <si>
    <t>CONV
RATE</t>
  </si>
  <si>
    <t>HRA
RATE</t>
  </si>
  <si>
    <t>LTA
RATE</t>
  </si>
  <si>
    <t>SPL
RATE</t>
  </si>
  <si>
    <t>OTH
RATE</t>
  </si>
  <si>
    <t>TOTAL
GROSS</t>
  </si>
  <si>
    <t>BASI
CERND</t>
  </si>
  <si>
    <t>CONV
ERND</t>
  </si>
  <si>
    <t>HRA
ENRD</t>
  </si>
  <si>
    <t>LTA
ERND</t>
  </si>
  <si>
    <t>SPL
ERND</t>
  </si>
  <si>
    <t>OTHE
RERND</t>
  </si>
  <si>
    <t>ARR
ERND</t>
  </si>
  <si>
    <t>TOTAL
EARNINGS</t>
  </si>
  <si>
    <t>ESI
AMT</t>
  </si>
  <si>
    <t>PROF
TAX</t>
  </si>
  <si>
    <t>SALARY
ADV</t>
  </si>
  <si>
    <t>INC
TAX</t>
  </si>
  <si>
    <t>OTH
DED</t>
  </si>
  <si>
    <t>TOTAL
DED</t>
  </si>
  <si>
    <t>NET
SALARY</t>
  </si>
  <si>
    <t xml:space="preserve">BANK ACCOUNT NUMBER </t>
  </si>
  <si>
    <t>IFSC CODE</t>
  </si>
  <si>
    <t>PRAKASH R</t>
  </si>
  <si>
    <t>GENERAL FACTORY</t>
  </si>
  <si>
    <t>OFFICE BOY</t>
  </si>
  <si>
    <t>9562500100164201</t>
  </si>
  <si>
    <t>KARB0000956</t>
  </si>
  <si>
    <t>SOURABHA GOSWAMI</t>
  </si>
  <si>
    <t>AREA SALES EXCUTIVE</t>
  </si>
  <si>
    <t>20058622131</t>
  </si>
  <si>
    <t>SBIN0005606</t>
  </si>
  <si>
    <t>SHIVAGAMI A</t>
  </si>
  <si>
    <t>T BASE SOURCING</t>
  </si>
  <si>
    <t>SR MERCHANDISER</t>
  </si>
  <si>
    <t>9562500100373401</t>
  </si>
  <si>
    <t>FRANCIS PRAVEEN W</t>
  </si>
  <si>
    <t>WARE HOUSE</t>
  </si>
  <si>
    <t>WEAR HOUSE MANAGER</t>
  </si>
  <si>
    <t>9562500100816301</t>
  </si>
  <si>
    <t>CHANDAN KUMAR DAS</t>
  </si>
  <si>
    <t>AREA SALES MANAGER</t>
  </si>
  <si>
    <t>520101252263762</t>
  </si>
  <si>
    <t>UBIN0901521</t>
  </si>
  <si>
    <t>SHASHIDHAR N</t>
  </si>
  <si>
    <t>SAMPLE CUTTER</t>
  </si>
  <si>
    <t>45010010271</t>
  </si>
  <si>
    <t>SCBL0036074</t>
  </si>
  <si>
    <t>BUELA MARY M</t>
  </si>
  <si>
    <t>QA INCHARGE</t>
  </si>
  <si>
    <t>9562500100282401</t>
  </si>
  <si>
    <t>GEETHA M K</t>
  </si>
  <si>
    <t>SALES CO-ORDINATOR</t>
  </si>
  <si>
    <t>9562500100169501</t>
  </si>
  <si>
    <t>ANANDA KUMAR DEVGOSWAMI</t>
  </si>
  <si>
    <t>PURCHASE MANAGER</t>
  </si>
  <si>
    <t>VENKATESH V</t>
  </si>
  <si>
    <t>PRODUCTION TGP</t>
  </si>
  <si>
    <t>I E INCHARGE</t>
  </si>
  <si>
    <t>SHABEER KHAN</t>
  </si>
  <si>
    <t>SUPERVISOR</t>
  </si>
  <si>
    <t>9562500100266101</t>
  </si>
  <si>
    <t>GOVINDARAJU V</t>
  </si>
  <si>
    <t>ELECTRICIAN</t>
  </si>
  <si>
    <t>9562500100142101</t>
  </si>
  <si>
    <t>DINESH KUMAR</t>
  </si>
  <si>
    <t>03531050055356</t>
  </si>
  <si>
    <t>HDFC0000361</t>
  </si>
  <si>
    <t>SURESH S</t>
  </si>
  <si>
    <t>QA MANAGER</t>
  </si>
  <si>
    <t>45010034499</t>
  </si>
  <si>
    <t>RAMESH N S</t>
  </si>
  <si>
    <t>CORPORATE</t>
  </si>
  <si>
    <t>ACCOUNT`S MANAGER</t>
  </si>
  <si>
    <t>45010034502</t>
  </si>
  <si>
    <t>ABHISHEK G C</t>
  </si>
  <si>
    <t>I T EXECUTIVE</t>
  </si>
  <si>
    <t>0412101056462</t>
  </si>
  <si>
    <t>CNRB0002529</t>
  </si>
  <si>
    <t>NAGARAJU T K</t>
  </si>
  <si>
    <t>OUT SOURCING Q A</t>
  </si>
  <si>
    <t>9562500100903501</t>
  </si>
  <si>
    <t>SANJAY KUMAR</t>
  </si>
  <si>
    <t xml:space="preserve">T BASE ONLINE </t>
  </si>
  <si>
    <t>ECOMMERCE MANAGER</t>
  </si>
  <si>
    <t>50100347081095</t>
  </si>
  <si>
    <t>HDFC0002011</t>
  </si>
  <si>
    <t>BIMLESH KUMAR</t>
  </si>
  <si>
    <t>LFR</t>
  </si>
  <si>
    <t>RETAIL MERCHANDISER</t>
  </si>
  <si>
    <t>11098307890</t>
  </si>
  <si>
    <t>SBIN0000172</t>
  </si>
  <si>
    <t>VENKATESH MURTHY</t>
  </si>
  <si>
    <t>FAB ASST</t>
  </si>
  <si>
    <t>9562500100103701</t>
  </si>
  <si>
    <t>SAMEER KHAN</t>
  </si>
  <si>
    <t>9562500100191801</t>
  </si>
  <si>
    <t>SAGARIKA</t>
  </si>
  <si>
    <t>DESIGNER</t>
  </si>
  <si>
    <t>631901545187</t>
  </si>
  <si>
    <t>ICIC0006319</t>
  </si>
  <si>
    <t>SAPNA</t>
  </si>
  <si>
    <t>0652500106592101</t>
  </si>
  <si>
    <t>KARB0000065</t>
  </si>
  <si>
    <t>SHAFEEQ AHAMED</t>
  </si>
  <si>
    <t>OPERATION MANAGER T-BASE</t>
  </si>
  <si>
    <t>9562500100545101</t>
  </si>
  <si>
    <t>RANGANATH</t>
  </si>
  <si>
    <t>WEAR HOUSE EXCUTIVE</t>
  </si>
  <si>
    <t>9562500100513801</t>
  </si>
  <si>
    <t>RAJAKUMAR K N</t>
  </si>
  <si>
    <t>SENIOR QUALITY ASSURANCE MANAGER</t>
  </si>
  <si>
    <t>9562500100214501</t>
  </si>
  <si>
    <t>MANI</t>
  </si>
  <si>
    <t>T BASE CORP</t>
  </si>
  <si>
    <t>MIS(CO-ORDINATOR)</t>
  </si>
  <si>
    <t>9562500100544201</t>
  </si>
  <si>
    <t>MUNIRAJU K</t>
  </si>
  <si>
    <t>GENARAL MANAGER</t>
  </si>
  <si>
    <t>9562500100169601</t>
  </si>
  <si>
    <t>REENA M V</t>
  </si>
  <si>
    <t>IE</t>
  </si>
  <si>
    <t>4734118000972</t>
  </si>
  <si>
    <t>CNRB0004734</t>
  </si>
  <si>
    <t>ANIL SOOD</t>
  </si>
  <si>
    <t>N S M</t>
  </si>
  <si>
    <t>001701007520</t>
  </si>
  <si>
    <t>ICIC0000267</t>
  </si>
  <si>
    <t>VANDANA SOOD</t>
  </si>
  <si>
    <t>5162500101525501</t>
  </si>
  <si>
    <t>KARB0000516</t>
  </si>
  <si>
    <t>CHETHAN N</t>
  </si>
  <si>
    <t>ACCOUNTS ASST</t>
  </si>
  <si>
    <t>2545272461</t>
  </si>
  <si>
    <t>KKBK0008036</t>
  </si>
  <si>
    <t>MADHU N S</t>
  </si>
  <si>
    <t>JUNIOR MERCHANDISER</t>
  </si>
  <si>
    <t>9262500101873801</t>
  </si>
  <si>
    <t>KARB0000926</t>
  </si>
  <si>
    <t>RAMASWAMY</t>
  </si>
  <si>
    <t>PATTERN MASTER</t>
  </si>
  <si>
    <t>5572500102246201</t>
  </si>
  <si>
    <t>KARB0000557</t>
  </si>
  <si>
    <t>SATHISH M B</t>
  </si>
  <si>
    <t>9562500100281601</t>
  </si>
  <si>
    <t>VASNATHA KUMAR N R</t>
  </si>
  <si>
    <t>MECHANDISING MANAGER</t>
  </si>
  <si>
    <t>SBIN0017736</t>
  </si>
  <si>
    <t>AMIT BHARAT BHAI DARJI</t>
  </si>
  <si>
    <t>SOURSING MANAGER</t>
  </si>
  <si>
    <t>SOURSING</t>
  </si>
  <si>
    <t>300010100099217</t>
  </si>
  <si>
    <t>UTIB0000300</t>
  </si>
  <si>
    <t>SUDHANSHU SINGH</t>
  </si>
  <si>
    <t>0543104000108591</t>
  </si>
  <si>
    <t>IBKL0000543</t>
  </si>
  <si>
    <t>GANGADEVI D</t>
  </si>
  <si>
    <t>55560100520482</t>
  </si>
  <si>
    <t>FDRL0005556</t>
  </si>
  <si>
    <t>HARISHA H</t>
  </si>
  <si>
    <t>HEAD MECHANIC</t>
  </si>
  <si>
    <t>9562500100095901</t>
  </si>
  <si>
    <t>SANOVI SINGH</t>
  </si>
  <si>
    <t>54090100007609</t>
  </si>
  <si>
    <t>BARB0JAMMIR</t>
  </si>
  <si>
    <t>AISHWARYA N</t>
  </si>
  <si>
    <t>ASST KNITWEAR GRAPHIC DISIGNER</t>
  </si>
  <si>
    <t>KKBK0008053</t>
  </si>
  <si>
    <t>DILIP TILAK</t>
  </si>
  <si>
    <t>233601000975</t>
  </si>
  <si>
    <t>ICIC0002336</t>
  </si>
  <si>
    <t>RAMESHA</t>
  </si>
  <si>
    <t>SAMPLE Q A</t>
  </si>
  <si>
    <t>SBIN0016874</t>
  </si>
  <si>
    <t>JYOTHI K</t>
  </si>
  <si>
    <t>SBIN0040099</t>
  </si>
  <si>
    <t>ROHITH B</t>
  </si>
  <si>
    <t>SCBL0036089</t>
  </si>
  <si>
    <t>JEEVITH Y</t>
  </si>
  <si>
    <t>HR MANAGER</t>
  </si>
  <si>
    <t>912010036163345</t>
  </si>
  <si>
    <t>UTIB0000065</t>
  </si>
  <si>
    <t>VINODA H C</t>
  </si>
  <si>
    <t>50100648527504</t>
  </si>
  <si>
    <t>HDFC0006820</t>
  </si>
  <si>
    <t>VIDHYA R</t>
  </si>
  <si>
    <t>'0662500103845101</t>
  </si>
  <si>
    <t>KARB0000066</t>
  </si>
  <si>
    <t>PUSHPENDRA KUMAR</t>
  </si>
  <si>
    <t>30109315675</t>
  </si>
  <si>
    <t>SBIN0006069</t>
  </si>
  <si>
    <t>SUNITHA</t>
  </si>
  <si>
    <t>STORE INCHARGE</t>
  </si>
  <si>
    <t>9562500100887801</t>
  </si>
  <si>
    <t>P SATHYAN</t>
  </si>
  <si>
    <t>FABRIC STORE INCHARGE</t>
  </si>
  <si>
    <t>KKBK0000424</t>
  </si>
  <si>
    <t>SUDITPO NATH CHOUDHURY</t>
  </si>
  <si>
    <t>CAD INCHARGE</t>
  </si>
  <si>
    <t>SBIN0006506</t>
  </si>
  <si>
    <t>MOHANA</t>
  </si>
  <si>
    <t>HR EXECUTIVE</t>
  </si>
  <si>
    <t>IDFB0080187</t>
  </si>
  <si>
    <t>VINAY B N</t>
  </si>
  <si>
    <t>FLOOR INCHARGE</t>
  </si>
  <si>
    <t>9562500100191701</t>
  </si>
  <si>
    <t>SATYANARAYAN</t>
  </si>
  <si>
    <t>9562500100095501</t>
  </si>
  <si>
    <t>SEEMA</t>
  </si>
  <si>
    <t>SENIOR EXCECUTIVE MECHANDISER</t>
  </si>
  <si>
    <t>100020165728</t>
  </si>
  <si>
    <t>INDB0000331</t>
  </si>
  <si>
    <t>SOMASHEKARAPPA</t>
  </si>
  <si>
    <t>CAD OPERATOR</t>
  </si>
  <si>
    <t>45512047171</t>
  </si>
  <si>
    <t>SCBL0036073</t>
  </si>
  <si>
    <t>SHARATH K B</t>
  </si>
  <si>
    <t>50100190441209</t>
  </si>
  <si>
    <t>HDFC0001079</t>
  </si>
  <si>
    <t>PAGE TOTAL</t>
  </si>
  <si>
    <t>YELLOW COLOUR :- INDICATE NEW APPOINTMENTS</t>
  </si>
  <si>
    <t>RED COLOUR :- INDICATE LEFT EMPLOYEE</t>
  </si>
  <si>
    <t xml:space="preserve">Commited </t>
  </si>
  <si>
    <t>Semi Variable</t>
  </si>
  <si>
    <t>Non Material</t>
  </si>
  <si>
    <t>01-10-2024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</si>
</sst>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[$-409]mmm\-yy;@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1" xfId="0" applyFont="1" applyBorder="1"/>
    <xf numFmtId="0" fontId="0" fillId="0" borderId="2" xfId="0" applyBorder="1"/>
    <xf numFmtId="164" fontId="0" fillId="0" borderId="2" xfId="1" applyNumberFormat="1" applyFont="1" applyBorder="1"/>
    <xf numFmtId="164" fontId="2" fillId="0" borderId="2" xfId="1" applyNumberFormat="1" applyFont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164" fontId="0" fillId="0" borderId="2" xfId="1" applyNumberFormat="1" applyFont="1" applyFill="1" applyBorder="1"/>
    <xf numFmtId="9" fontId="0" fillId="0" borderId="0" xfId="2" applyFont="1" applyFill="1"/>
    <xf numFmtId="164" fontId="2" fillId="0" borderId="1" xfId="1" applyNumberFormat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left" indent="5"/>
    </xf>
    <xf numFmtId="164" fontId="0" fillId="0" borderId="0" xfId="1" applyNumberFormat="1" applyFont="1"/>
    <xf numFmtId="15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/>
    <xf numFmtId="15" fontId="0" fillId="0" borderId="0" xfId="0" applyNumberFormat="1"/>
    <xf numFmtId="15" fontId="2" fillId="0" borderId="1" xfId="0" applyNumberFormat="1" applyFont="1" applyBorder="1"/>
    <xf numFmtId="164" fontId="6" fillId="0" borderId="2" xfId="1" applyNumberFormat="1" applyFont="1" applyFill="1" applyBorder="1" applyAlignment="1">
      <alignment horizontal="left" vertical="top" indent="1"/>
    </xf>
    <xf numFmtId="9" fontId="7" fillId="0" borderId="2" xfId="2" applyFont="1" applyFill="1" applyBorder="1"/>
    <xf numFmtId="15" fontId="8" fillId="0" borderId="1" xfId="1" applyNumberFormat="1" applyFont="1" applyFill="1" applyBorder="1" applyAlignment="1">
      <alignment horizontal="center" vertical="center"/>
    </xf>
    <xf numFmtId="15" fontId="8" fillId="0" borderId="8" xfId="1" applyNumberFormat="1" applyFont="1" applyFill="1" applyBorder="1" applyAlignment="1">
      <alignment horizontal="right" vertical="center"/>
    </xf>
    <xf numFmtId="164" fontId="7" fillId="0" borderId="1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0" fillId="0" borderId="6" xfId="1" applyNumberFormat="1" applyFont="1" applyFill="1" applyBorder="1"/>
    <xf numFmtId="164" fontId="0" fillId="0" borderId="0" xfId="1" applyNumberFormat="1" applyFont="1" applyFill="1" applyBorder="1"/>
    <xf numFmtId="164" fontId="0" fillId="0" borderId="12" xfId="1" applyNumberFormat="1" applyFont="1" applyFill="1" applyBorder="1"/>
    <xf numFmtId="164" fontId="0" fillId="0" borderId="7" xfId="1" applyNumberFormat="1" applyFont="1" applyFill="1" applyBorder="1"/>
    <xf numFmtId="164" fontId="2" fillId="0" borderId="2" xfId="1" applyNumberFormat="1" applyFont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1" fillId="0" borderId="2" xfId="1" applyNumberFormat="1" applyFont="1" applyFill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0" xfId="1" applyNumberFormat="1" applyFont="1"/>
    <xf numFmtId="164" fontId="2" fillId="0" borderId="0" xfId="1" applyNumberFormat="1" applyFont="1" applyFill="1"/>
    <xf numFmtId="164" fontId="7" fillId="0" borderId="0" xfId="1" applyNumberFormat="1" applyFont="1" applyFill="1" applyBorder="1" applyAlignment="1">
      <alignment horizontal="center"/>
    </xf>
    <xf numFmtId="164" fontId="7" fillId="0" borderId="2" xfId="1" applyNumberFormat="1" applyFont="1" applyFill="1" applyBorder="1" applyAlignment="1">
      <alignment horizontal="center"/>
    </xf>
    <xf numFmtId="9" fontId="2" fillId="0" borderId="0" xfId="2" applyFont="1" applyFill="1"/>
    <xf numFmtId="9" fontId="7" fillId="0" borderId="0" xfId="2" applyFont="1" applyFill="1" applyBorder="1" applyAlignment="1">
      <alignment horizontal="center"/>
    </xf>
    <xf numFmtId="9" fontId="7" fillId="0" borderId="2" xfId="2" applyFont="1" applyFill="1" applyBorder="1" applyAlignment="1">
      <alignment horizontal="center"/>
    </xf>
    <xf numFmtId="9" fontId="0" fillId="0" borderId="6" xfId="2" applyFont="1" applyFill="1" applyBorder="1"/>
    <xf numFmtId="164" fontId="0" fillId="0" borderId="0" xfId="2" applyNumberFormat="1" applyFont="1" applyFill="1"/>
    <xf numFmtId="2" fontId="0" fillId="0" borderId="0" xfId="2" applyNumberFormat="1" applyFont="1" applyFill="1"/>
    <xf numFmtId="0" fontId="6" fillId="0" borderId="8" xfId="0" applyFont="1" applyBorder="1"/>
    <xf numFmtId="0" fontId="7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vertical="top" indent="2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quotePrefix="1" applyFont="1" applyBorder="1"/>
    <xf numFmtId="0" fontId="6" fillId="0" borderId="2" xfId="0" quotePrefix="1" applyFont="1" applyBorder="1"/>
    <xf numFmtId="0" fontId="7" fillId="0" borderId="3" xfId="0" applyFont="1" applyBorder="1"/>
    <xf numFmtId="2" fontId="0" fillId="0" borderId="0" xfId="0" applyNumberFormat="1"/>
    <xf numFmtId="164" fontId="2" fillId="0" borderId="0" xfId="2" applyNumberFormat="1" applyFont="1" applyFill="1"/>
    <xf numFmtId="15" fontId="0" fillId="0" borderId="0" xfId="1" applyNumberFormat="1" applyFont="1"/>
    <xf numFmtId="165" fontId="8" fillId="0" borderId="1" xfId="1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6" fillId="0" borderId="13" xfId="0" applyFont="1" applyBorder="1" applyAlignment="1">
      <alignment horizontal="center"/>
    </xf>
    <xf numFmtId="0" fontId="7" fillId="0" borderId="14" xfId="0" applyFont="1" applyBorder="1"/>
    <xf numFmtId="17" fontId="6" fillId="0" borderId="15" xfId="0" applyNumberFormat="1" applyFont="1" applyBorder="1" applyAlignment="1">
      <alignment horizontal="center" vertical="top"/>
    </xf>
    <xf numFmtId="17" fontId="7" fillId="0" borderId="14" xfId="0" applyNumberFormat="1" applyFont="1" applyBorder="1" applyAlignment="1">
      <alignment horizontal="center" vertical="top"/>
    </xf>
    <xf numFmtId="17" fontId="7" fillId="0" borderId="16" xfId="0" applyNumberFormat="1" applyFont="1" applyBorder="1" applyAlignment="1">
      <alignment horizontal="center" vertical="top"/>
    </xf>
    <xf numFmtId="17" fontId="7" fillId="0" borderId="17" xfId="0" applyNumberFormat="1" applyFont="1" applyBorder="1" applyAlignment="1">
      <alignment horizontal="center" vertical="top"/>
    </xf>
    <xf numFmtId="0" fontId="6" fillId="0" borderId="18" xfId="0" applyFont="1" applyBorder="1" applyAlignment="1">
      <alignment horizontal="center"/>
    </xf>
    <xf numFmtId="43" fontId="6" fillId="0" borderId="6" xfId="1" applyFont="1" applyBorder="1" applyAlignment="1">
      <alignment horizontal="center"/>
    </xf>
    <xf numFmtId="43" fontId="6" fillId="0" borderId="0" xfId="1" applyFont="1" applyBorder="1"/>
    <xf numFmtId="43" fontId="6" fillId="0" borderId="0" xfId="1" applyFont="1" applyFill="1" applyBorder="1"/>
    <xf numFmtId="43" fontId="6" fillId="0" borderId="0" xfId="1" applyFont="1"/>
    <xf numFmtId="0" fontId="11" fillId="0" borderId="0" xfId="0" applyFont="1"/>
    <xf numFmtId="43" fontId="6" fillId="0" borderId="0" xfId="1" applyFont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43" fontId="6" fillId="0" borderId="6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43" fontId="6" fillId="0" borderId="6" xfId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center" wrapText="1"/>
    </xf>
    <xf numFmtId="43" fontId="6" fillId="0" borderId="4" xfId="1" applyFont="1" applyFill="1" applyBorder="1" applyAlignment="1">
      <alignment horizontal="center"/>
    </xf>
    <xf numFmtId="164" fontId="6" fillId="0" borderId="5" xfId="1" applyNumberFormat="1" applyFont="1" applyFill="1" applyBorder="1" applyAlignment="1">
      <alignment horizontal="center"/>
    </xf>
    <xf numFmtId="164" fontId="6" fillId="0" borderId="19" xfId="1" applyNumberFormat="1" applyFont="1" applyFill="1" applyBorder="1" applyAlignment="1">
      <alignment horizontal="center"/>
    </xf>
    <xf numFmtId="164" fontId="6" fillId="0" borderId="20" xfId="1" applyNumberFormat="1" applyFont="1" applyFill="1" applyBorder="1" applyAlignment="1">
      <alignment horizontal="center"/>
    </xf>
    <xf numFmtId="0" fontId="7" fillId="0" borderId="21" xfId="0" applyFont="1" applyBorder="1"/>
    <xf numFmtId="43" fontId="7" fillId="0" borderId="22" xfId="1" applyFont="1" applyFill="1" applyBorder="1" applyAlignment="1">
      <alignment horizontal="center"/>
    </xf>
    <xf numFmtId="164" fontId="7" fillId="0" borderId="21" xfId="1" applyNumberFormat="1" applyFont="1" applyFill="1" applyBorder="1" applyAlignment="1">
      <alignment horizontal="center"/>
    </xf>
    <xf numFmtId="164" fontId="7" fillId="0" borderId="23" xfId="1" applyNumberFormat="1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43" fontId="7" fillId="0" borderId="0" xfId="1" applyFont="1"/>
    <xf numFmtId="43" fontId="6" fillId="0" borderId="12" xfId="1" applyFont="1" applyFill="1" applyBorder="1" applyAlignment="1">
      <alignment horizont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0" fontId="6" fillId="0" borderId="24" xfId="0" applyFont="1" applyBorder="1" applyAlignment="1">
      <alignment horizontal="center"/>
    </xf>
    <xf numFmtId="0" fontId="6" fillId="0" borderId="7" xfId="0" applyFont="1" applyBorder="1"/>
    <xf numFmtId="164" fontId="6" fillId="0" borderId="7" xfId="1" applyNumberFormat="1" applyFont="1" applyFill="1" applyBorder="1" applyAlignment="1">
      <alignment horizontal="center"/>
    </xf>
    <xf numFmtId="164" fontId="6" fillId="0" borderId="25" xfId="1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2" fillId="0" borderId="27" xfId="0" applyFont="1" applyBorder="1"/>
    <xf numFmtId="43" fontId="6" fillId="0" borderId="28" xfId="1" applyFont="1" applyFill="1" applyBorder="1" applyAlignment="1">
      <alignment horizontal="center"/>
    </xf>
    <xf numFmtId="164" fontId="6" fillId="0" borderId="27" xfId="1" applyNumberFormat="1" applyFont="1" applyFill="1" applyBorder="1" applyAlignment="1">
      <alignment horizontal="center"/>
    </xf>
    <xf numFmtId="164" fontId="6" fillId="0" borderId="29" xfId="1" applyNumberFormat="1" applyFont="1" applyFill="1" applyBorder="1" applyAlignment="1">
      <alignment horizontal="center"/>
    </xf>
    <xf numFmtId="43" fontId="6" fillId="0" borderId="0" xfId="1" applyFont="1" applyAlignment="1">
      <alignment horizontal="center"/>
    </xf>
    <xf numFmtId="43" fontId="6" fillId="0" borderId="0" xfId="1" applyFont="1" applyFill="1"/>
    <xf numFmtId="164" fontId="0" fillId="0" borderId="0" xfId="0" applyNumberFormat="1"/>
    <xf numFmtId="0" fontId="10" fillId="0" borderId="0" xfId="0" applyFont="1"/>
    <xf numFmtId="0" fontId="0" fillId="0" borderId="8" xfId="0" applyBorder="1"/>
    <xf numFmtId="0" fontId="3" fillId="0" borderId="2" xfId="0" applyFont="1" applyBorder="1"/>
    <xf numFmtId="0" fontId="4" fillId="0" borderId="2" xfId="0" applyFont="1" applyBorder="1"/>
    <xf numFmtId="164" fontId="2" fillId="0" borderId="2" xfId="1" applyNumberFormat="1" applyFont="1" applyFill="1" applyBorder="1"/>
    <xf numFmtId="164" fontId="9" fillId="0" borderId="2" xfId="1" applyNumberFormat="1" applyFont="1" applyFill="1" applyBorder="1" applyAlignment="1">
      <alignment horizontal="right" vertical="center"/>
    </xf>
    <xf numFmtId="0" fontId="2" fillId="0" borderId="3" xfId="0" applyFont="1" applyBorder="1"/>
    <xf numFmtId="164" fontId="2" fillId="0" borderId="3" xfId="1" applyNumberFormat="1" applyFont="1" applyFill="1" applyBorder="1"/>
    <xf numFmtId="43" fontId="0" fillId="0" borderId="8" xfId="1" applyFont="1" applyFill="1" applyBorder="1"/>
    <xf numFmtId="43" fontId="0" fillId="0" borderId="2" xfId="1" applyFont="1" applyFill="1" applyBorder="1"/>
    <xf numFmtId="9" fontId="0" fillId="0" borderId="2" xfId="2" applyFont="1" applyFill="1" applyBorder="1"/>
    <xf numFmtId="0" fontId="0" fillId="0" borderId="3" xfId="0" applyBorder="1"/>
    <xf numFmtId="9" fontId="0" fillId="0" borderId="3" xfId="2" applyFont="1" applyFill="1" applyBorder="1"/>
    <xf numFmtId="43" fontId="6" fillId="0" borderId="20" xfId="1" applyFont="1" applyFill="1" applyBorder="1"/>
    <xf numFmtId="43" fontId="6" fillId="0" borderId="20" xfId="1" applyFont="1" applyFill="1" applyBorder="1" applyAlignment="1">
      <alignment horizontal="center"/>
    </xf>
    <xf numFmtId="164" fontId="6" fillId="0" borderId="20" xfId="1" applyNumberFormat="1" applyFont="1" applyFill="1" applyBorder="1" applyAlignment="1">
      <alignment horizontal="center" wrapText="1"/>
    </xf>
    <xf numFmtId="164" fontId="6" fillId="0" borderId="20" xfId="1" applyNumberFormat="1" applyFont="1" applyFill="1" applyBorder="1"/>
    <xf numFmtId="9" fontId="0" fillId="0" borderId="0" xfId="2" applyFont="1"/>
    <xf numFmtId="15" fontId="8" fillId="0" borderId="9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/>
    <xf numFmtId="9" fontId="2" fillId="0" borderId="1" xfId="2" applyFont="1" applyBorder="1"/>
    <xf numFmtId="0" fontId="6" fillId="0" borderId="1" xfId="0" quotePrefix="1" applyFont="1" applyBorder="1"/>
    <xf numFmtId="164" fontId="0" fillId="0" borderId="1" xfId="1" applyNumberFormat="1" applyFont="1" applyFill="1" applyBorder="1"/>
    <xf numFmtId="0" fontId="0" fillId="3" borderId="1" xfId="0" applyFill="1" applyBorder="1"/>
    <xf numFmtId="164" fontId="2" fillId="0" borderId="1" xfId="1" applyNumberFormat="1" applyFont="1" applyFill="1" applyBorder="1"/>
    <xf numFmtId="0" fontId="6" fillId="0" borderId="0" xfId="0" quotePrefix="1" applyFont="1"/>
    <xf numFmtId="166" fontId="0" fillId="0" borderId="0" xfId="2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0" borderId="3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left"/>
    </xf>
    <xf numFmtId="164" fontId="0" fillId="0" borderId="31" xfId="1" applyNumberFormat="1" applyFont="1" applyBorder="1" applyAlignment="1">
      <alignment horizontal="left"/>
    </xf>
    <xf numFmtId="0" fontId="13" fillId="0" borderId="31" xfId="0" applyFont="1" applyBorder="1" applyAlignment="1">
      <alignment horizontal="left"/>
    </xf>
    <xf numFmtId="1" fontId="0" fillId="0" borderId="31" xfId="0" applyNumberFormat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0" borderId="31" xfId="0" quotePrefix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0" fillId="0" borderId="0" xfId="0" pivotButton="1"/>
    <xf numFmtId="164" fontId="0" fillId="3" borderId="0" xfId="0" applyNumberFormat="1" applyFill="1"/>
    <xf numFmtId="0" fontId="6" fillId="3" borderId="1" xfId="0" quotePrefix="1" applyFont="1" applyFill="1" applyBorder="1"/>
    <xf numFmtId="164" fontId="2" fillId="0" borderId="0" xfId="1" applyNumberFormat="1" applyFont="1" applyFill="1" applyBorder="1"/>
    <xf numFmtId="164" fontId="0" fillId="3" borderId="0" xfId="1" applyNumberFormat="1" applyFont="1" applyFill="1" applyBorder="1"/>
    <xf numFmtId="15" fontId="5" fillId="0" borderId="8" xfId="0" applyNumberFormat="1" applyFont="1" applyBorder="1" applyAlignment="1">
      <alignment horizontal="center" vertical="center"/>
    </xf>
    <xf numFmtId="15" fontId="5" fillId="0" borderId="3" xfId="0" applyNumberFormat="1" applyFont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ika%20Nair\Desktop\MIS.xlsx" TargetMode="External"/><Relationship Id="rId1" Type="http://schemas.openxmlformats.org/officeDocument/2006/relationships/externalLinkPath" Target="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&amp;L"/>
      <sheetName val="BS"/>
      <sheetName val="Sheet3"/>
      <sheetName val="Fund Flow Statement"/>
      <sheetName val="CFS"/>
      <sheetName val="P&amp;L Unit Metrics"/>
    </sheetNames>
    <sheetDataSet>
      <sheetData sheetId="0">
        <row r="10">
          <cell r="C10">
            <v>30609779.149999991</v>
          </cell>
          <cell r="D10">
            <v>17635966.999999993</v>
          </cell>
          <cell r="E10">
            <v>22372656.329999991</v>
          </cell>
          <cell r="F10">
            <v>33087900.510000002</v>
          </cell>
          <cell r="G10">
            <v>52338310</v>
          </cell>
          <cell r="H10">
            <v>47379366.93</v>
          </cell>
          <cell r="I10">
            <v>44736834.050000004</v>
          </cell>
          <cell r="J10">
            <v>58514430.178016514</v>
          </cell>
          <cell r="K10">
            <v>53194936.525469556</v>
          </cell>
          <cell r="L10">
            <v>47875442.872922592</v>
          </cell>
          <cell r="M10">
            <v>31916961.915281728</v>
          </cell>
          <cell r="N10">
            <v>63799221.505867936</v>
          </cell>
        </row>
        <row r="13">
          <cell r="C13">
            <v>14754502.709999993</v>
          </cell>
          <cell r="D13">
            <v>9067178.320000004</v>
          </cell>
          <cell r="E13">
            <v>13750281.230000004</v>
          </cell>
          <cell r="F13">
            <v>11778806.979999997</v>
          </cell>
          <cell r="G13">
            <v>25470948.520000011</v>
          </cell>
          <cell r="H13">
            <v>22684129.499999955</v>
          </cell>
          <cell r="I13">
            <v>28157032.16000003</v>
          </cell>
          <cell r="J13">
            <v>25746349.278327268</v>
          </cell>
          <cell r="K13">
            <v>23405772.071206603</v>
          </cell>
          <cell r="L13">
            <v>21065194.864085939</v>
          </cell>
          <cell r="M13">
            <v>14043463.24272396</v>
          </cell>
          <cell r="N13">
            <v>28071657.462581892</v>
          </cell>
        </row>
        <row r="74">
          <cell r="F74">
            <v>40.479999999999997</v>
          </cell>
          <cell r="I74">
            <v>1017446</v>
          </cell>
        </row>
        <row r="78">
          <cell r="C78">
            <v>-7319801.7200000016</v>
          </cell>
          <cell r="D78">
            <v>-13604368.910000011</v>
          </cell>
          <cell r="E78">
            <v>-16555717.680000013</v>
          </cell>
          <cell r="F78">
            <v>-3509868.0099999947</v>
          </cell>
          <cell r="G78">
            <v>835591.34999999031</v>
          </cell>
          <cell r="H78">
            <v>4093025.0100000454</v>
          </cell>
          <cell r="I78">
            <v>-4927025.4400000265</v>
          </cell>
          <cell r="J78">
            <v>-5961038.7329513766</v>
          </cell>
          <cell r="K78">
            <v>-6387700.7471148865</v>
          </cell>
          <cell r="L78">
            <v>-6814362.7612783993</v>
          </cell>
          <cell r="M78">
            <v>-8094348.8037689319</v>
          </cell>
          <cell r="N78">
            <v>-5537160.0971914977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ka Nair" id="{2D03CECC-9C52-48F4-9E7D-7D5FDF5D02FA}" userId="S::anika.nair@flipcarbon.in::9fff7f4b-5125-4b5a-aeac-92039cbbdd2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a Nair" refreshedDate="45623.685647569444" createdVersion="8" refreshedVersion="8" minRefreshableVersion="3" recordCount="59" xr:uid="{59D5D5B2-D7D3-4B20-A258-F3F026E4AAA7}">
  <cacheSource type="worksheet">
    <worksheetSource ref="A2:AF61" sheet="TGP SEP24"/>
  </cacheSource>
  <cacheFields count="32">
    <cacheField name="UNIT" numFmtId="0">
      <sharedItems containsSemiMixedTypes="0" containsString="0" containsNumber="1" containsInteger="1" minValue="1" maxValue="59"/>
    </cacheField>
    <cacheField name="EMP_x000a_CODE" numFmtId="0">
      <sharedItems containsSemiMixedTypes="0" containsString="0" containsNumber="1" containsInteger="1" minValue="350" maxValue="20265"/>
    </cacheField>
    <cacheField name="No" numFmtId="0">
      <sharedItems containsSemiMixedTypes="0" containsString="0" containsNumber="1" containsInteger="1" minValue="350" maxValue="20265"/>
    </cacheField>
    <cacheField name="EMP_x000a_NAME" numFmtId="0">
      <sharedItems/>
    </cacheField>
    <cacheField name="COST CENTER" numFmtId="0">
      <sharedItems count="10">
        <s v="GENERAL FACTORY"/>
        <s v="MBO"/>
        <s v="T BASE SOURCING"/>
        <s v="WARE HOUSE"/>
        <s v="PRODUCTION TGP"/>
        <s v="CORPORATE"/>
        <s v="T BASE ONLINE "/>
        <s v="LFR"/>
        <s v="DESIGN"/>
        <s v="T BASE CORP"/>
      </sharedItems>
    </cacheField>
    <cacheField name="DESIG_x000a_NATION" numFmtId="0">
      <sharedItems/>
    </cacheField>
    <cacheField name="DEPAR_x000a_TMENT" numFmtId="0">
      <sharedItems count="17">
        <s v="ACCOUNTS"/>
        <s v="T BASE"/>
        <s v="MERCHANDISING"/>
        <s v="DESPATCH"/>
        <s v="SAMPLE SECTION"/>
        <s v="Q A"/>
        <s v="PURCHASE"/>
        <s v="I E"/>
        <s v="MAINATANACE"/>
        <s v="ADMIN"/>
        <s v="FABRIC"/>
        <s v="DESIGN"/>
        <s v="PRODUCTION"/>
        <s v="MERCHANDISER"/>
        <s v="SOURSING"/>
        <s v="H R"/>
        <s v="STORES"/>
      </sharedItems>
    </cacheField>
    <cacheField name="CAL_x000a_DAYS" numFmtId="0">
      <sharedItems containsSemiMixedTypes="0" containsString="0" containsNumber="1" minValue="13" maxValue="26"/>
    </cacheField>
    <cacheField name="BASIC_x000a_RATE" numFmtId="0">
      <sharedItems containsSemiMixedTypes="0" containsString="0" containsNumber="1" containsInteger="1" minValue="14421" maxValue="65550"/>
    </cacheField>
    <cacheField name="CONV_x000a_RATE" numFmtId="0">
      <sharedItems containsSemiMixedTypes="0" containsString="0" containsNumber="1" containsInteger="1" minValue="0" maxValue="8950"/>
    </cacheField>
    <cacheField name="HRA_x000a_RATE" numFmtId="0">
      <sharedItems containsSemiMixedTypes="0" containsString="0" containsNumber="1" containsInteger="1" minValue="500" maxValue="35031"/>
    </cacheField>
    <cacheField name="LTA_x000a_RATE" numFmtId="0">
      <sharedItems containsSemiMixedTypes="0" containsString="0" containsNumber="1" containsInteger="1" minValue="0" maxValue="1600"/>
    </cacheField>
    <cacheField name="SPL_x000a_RATE" numFmtId="0">
      <sharedItems containsSemiMixedTypes="0" containsString="0" containsNumber="1" containsInteger="1" minValue="0" maxValue="26948"/>
    </cacheField>
    <cacheField name="OTH_x000a_RATE" numFmtId="0">
      <sharedItems containsSemiMixedTypes="0" containsString="0" containsNumber="1" containsInteger="1" minValue="0" maxValue="16300"/>
    </cacheField>
    <cacheField name="TOTAL_x000a_GROSS" numFmtId="0">
      <sharedItems containsSemiMixedTypes="0" containsString="0" containsNumber="1" containsInteger="1" minValue="16000" maxValue="131100"/>
    </cacheField>
    <cacheField name="BASI_x000a_CERND" numFmtId="0">
      <sharedItems containsSemiMixedTypes="0" containsString="0" containsNumber="1" containsInteger="1" minValue="9300" maxValue="65550"/>
    </cacheField>
    <cacheField name="CONV_x000a_ERND" numFmtId="0">
      <sharedItems containsSemiMixedTypes="0" containsString="0" containsNumber="1" containsInteger="1" minValue="0" maxValue="8950"/>
    </cacheField>
    <cacheField name="HRA_x000a_ENRD" numFmtId="0">
      <sharedItems containsSemiMixedTypes="0" containsString="0" containsNumber="1" containsInteger="1" minValue="440" maxValue="35031"/>
    </cacheField>
    <cacheField name="LTA_x000a_ERND" numFmtId="0">
      <sharedItems containsSemiMixedTypes="0" containsString="0" containsNumber="1" containsInteger="1" minValue="0" maxValue="1600"/>
    </cacheField>
    <cacheField name="SPL_x000a_ERND" numFmtId="0">
      <sharedItems containsSemiMixedTypes="0" containsString="0" containsNumber="1" containsInteger="1" minValue="0" maxValue="26948"/>
    </cacheField>
    <cacheField name="OTHE_x000a_RERND" numFmtId="0">
      <sharedItems containsSemiMixedTypes="0" containsString="0" containsNumber="1" containsInteger="1" minValue="0" maxValue="16300"/>
    </cacheField>
    <cacheField name="ARR_x000a_ERND" numFmtId="0">
      <sharedItems containsSemiMixedTypes="0" containsString="0" containsNumber="1" containsInteger="1" minValue="0" maxValue="3000"/>
    </cacheField>
    <cacheField name="TOTAL_x000a_EARNINGS" numFmtId="0">
      <sharedItems containsSemiMixedTypes="0" containsString="0" containsNumber="1" containsInteger="1" minValue="10800" maxValue="131100"/>
    </cacheField>
    <cacheField name="ESI_x000a_AMT" numFmtId="0">
      <sharedItems containsSemiMixedTypes="0" containsString="0" containsNumber="1" containsInteger="1" minValue="0" maxValue="158"/>
    </cacheField>
    <cacheField name="PROF_x000a_TAX" numFmtId="0">
      <sharedItems containsSemiMixedTypes="0" containsString="0" containsNumber="1" containsInteger="1" minValue="0" maxValue="200"/>
    </cacheField>
    <cacheField name="SALARY_x000a_ADV" numFmtId="0">
      <sharedItems containsSemiMixedTypes="0" containsString="0" containsNumber="1" containsInteger="1" minValue="0" maxValue="15000"/>
    </cacheField>
    <cacheField name="INC_x000a_TAX" numFmtId="0">
      <sharedItems containsSemiMixedTypes="0" containsString="0" containsNumber="1" containsInteger="1" minValue="0" maxValue="10000"/>
    </cacheField>
    <cacheField name="OTH_x000a_DED" numFmtId="0">
      <sharedItems containsSemiMixedTypes="0" containsString="0" containsNumber="1" containsInteger="1" minValue="0" maxValue="12433"/>
    </cacheField>
    <cacheField name="TOTAL_x000a_DED" numFmtId="0">
      <sharedItems containsSemiMixedTypes="0" containsString="0" containsNumber="1" containsInteger="1" minValue="0" maxValue="15200"/>
    </cacheField>
    <cacheField name="NET_x000a_SALARY" numFmtId="0">
      <sharedItems containsSemiMixedTypes="0" containsString="0" containsNumber="1" containsInteger="1" minValue="10719" maxValue="120428"/>
    </cacheField>
    <cacheField name="BANK ACCOUNT NUMBER " numFmtId="0">
      <sharedItems containsMixedTypes="1" containsNumber="1" containsInteger="1" minValue="7548856397" maxValue="218010113457"/>
    </cacheField>
    <cacheField name="IFSC 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n v="350"/>
    <n v="350"/>
    <s v="PRAKASH R"/>
    <x v="0"/>
    <s v="OFFICE BOY"/>
    <x v="0"/>
    <n v="25"/>
    <n v="17000"/>
    <n v="0"/>
    <n v="3990"/>
    <n v="0"/>
    <n v="0"/>
    <n v="0"/>
    <n v="20990"/>
    <n v="17000"/>
    <n v="0"/>
    <n v="3990"/>
    <n v="0"/>
    <n v="0"/>
    <n v="0"/>
    <n v="0"/>
    <n v="20990"/>
    <n v="158"/>
    <n v="0"/>
    <n v="0"/>
    <n v="0"/>
    <n v="0"/>
    <n v="158"/>
    <n v="20832"/>
    <s v="9562500100164201"/>
    <s v="KARB0000956"/>
  </r>
  <r>
    <n v="2"/>
    <n v="437"/>
    <n v="437"/>
    <s v="SOURABHA GOSWAMI"/>
    <x v="1"/>
    <s v="AREA SALES EXCUTIVE"/>
    <x v="1"/>
    <n v="26"/>
    <n v="25200"/>
    <n v="0"/>
    <n v="10080"/>
    <n v="1600"/>
    <n v="5120"/>
    <n v="0"/>
    <n v="42000"/>
    <n v="25200"/>
    <n v="0"/>
    <n v="10080"/>
    <n v="1600"/>
    <n v="5120"/>
    <n v="0"/>
    <n v="0"/>
    <n v="42000"/>
    <n v="0"/>
    <n v="200"/>
    <n v="6000"/>
    <n v="0"/>
    <n v="0"/>
    <n v="6200"/>
    <n v="35800"/>
    <s v="20058622131"/>
    <s v="SBIN0005606"/>
  </r>
  <r>
    <n v="3"/>
    <n v="577"/>
    <n v="577"/>
    <s v="SHIVAGAMI A"/>
    <x v="2"/>
    <s v="SR MERCHANDISER"/>
    <x v="2"/>
    <n v="25"/>
    <n v="35500"/>
    <n v="0"/>
    <n v="15700"/>
    <n v="1600"/>
    <n v="9200"/>
    <n v="9000"/>
    <n v="71000"/>
    <n v="35500"/>
    <n v="0"/>
    <n v="15700"/>
    <n v="1600"/>
    <n v="9200"/>
    <n v="9000"/>
    <n v="0"/>
    <n v="71000"/>
    <n v="0"/>
    <n v="200"/>
    <n v="0"/>
    <n v="0"/>
    <n v="12433"/>
    <n v="12633"/>
    <n v="58367"/>
    <s v="9562500100373401"/>
    <s v="KARB0000956"/>
  </r>
  <r>
    <n v="4"/>
    <n v="582"/>
    <n v="582"/>
    <s v="FRANCIS PRAVEEN W"/>
    <x v="3"/>
    <s v="WEAR HOUSE MANAGER"/>
    <x v="3"/>
    <n v="25"/>
    <n v="23100"/>
    <n v="0"/>
    <n v="10500"/>
    <n v="1600"/>
    <n v="2000"/>
    <n v="2000"/>
    <n v="39200"/>
    <n v="23100"/>
    <n v="0"/>
    <n v="10500"/>
    <n v="1600"/>
    <n v="2000"/>
    <n v="2000"/>
    <n v="0"/>
    <n v="39200"/>
    <n v="0"/>
    <n v="200"/>
    <n v="0"/>
    <n v="0"/>
    <n v="0"/>
    <n v="200"/>
    <n v="39000"/>
    <s v="9562500100816301"/>
    <s v="KARB0000956"/>
  </r>
  <r>
    <n v="5"/>
    <n v="623"/>
    <n v="623"/>
    <s v="CHANDAN KUMAR DAS"/>
    <x v="1"/>
    <s v="AREA SALES MANAGER"/>
    <x v="1"/>
    <n v="26"/>
    <n v="26400"/>
    <n v="0"/>
    <n v="10560"/>
    <n v="1600"/>
    <n v="5440"/>
    <n v="0"/>
    <n v="44000"/>
    <n v="26400"/>
    <n v="0"/>
    <n v="10560"/>
    <n v="1600"/>
    <n v="5440"/>
    <n v="0"/>
    <n v="0"/>
    <n v="44000"/>
    <n v="0"/>
    <n v="200"/>
    <n v="0"/>
    <n v="0"/>
    <n v="0"/>
    <n v="200"/>
    <n v="43800"/>
    <s v="520101252263762"/>
    <s v="UBIN0901521"/>
  </r>
  <r>
    <n v="6"/>
    <n v="653"/>
    <n v="653"/>
    <s v="SHASHIDHAR N"/>
    <x v="0"/>
    <s v="SAMPLE CUTTER"/>
    <x v="4"/>
    <n v="25"/>
    <n v="16025"/>
    <n v="0"/>
    <n v="2725"/>
    <n v="1600"/>
    <n v="0"/>
    <n v="0"/>
    <n v="20350"/>
    <n v="16025"/>
    <n v="0"/>
    <n v="2725"/>
    <n v="1600"/>
    <n v="0"/>
    <n v="0"/>
    <n v="0"/>
    <n v="20350"/>
    <n v="153"/>
    <n v="0"/>
    <n v="0"/>
    <n v="0"/>
    <n v="0"/>
    <n v="153"/>
    <n v="20197"/>
    <s v="45010010271"/>
    <s v="SCBL0036074"/>
  </r>
  <r>
    <n v="7"/>
    <n v="689"/>
    <n v="689"/>
    <s v="BUELA MARY M"/>
    <x v="0"/>
    <s v="QA INCHARGE"/>
    <x v="5"/>
    <n v="25"/>
    <n v="34615"/>
    <n v="5384"/>
    <n v="12846"/>
    <n v="1600"/>
    <n v="8192"/>
    <n v="6183"/>
    <n v="68820"/>
    <n v="34615"/>
    <n v="5384"/>
    <n v="12846"/>
    <n v="1600"/>
    <n v="8192"/>
    <n v="6183"/>
    <n v="0"/>
    <n v="68820"/>
    <n v="0"/>
    <n v="200"/>
    <n v="0"/>
    <n v="5000"/>
    <n v="0"/>
    <n v="5200"/>
    <n v="63620"/>
    <s v="9562500100282401"/>
    <s v="KARB0000956"/>
  </r>
  <r>
    <n v="8"/>
    <n v="798"/>
    <n v="798"/>
    <s v="GEETHA M K"/>
    <x v="1"/>
    <s v="SALES CO-ORDINATOR"/>
    <x v="1"/>
    <n v="26"/>
    <n v="36000"/>
    <n v="0"/>
    <n v="14000"/>
    <n v="1600"/>
    <n v="3000"/>
    <n v="5400"/>
    <n v="60000"/>
    <n v="36000"/>
    <n v="0"/>
    <n v="14000"/>
    <n v="1600"/>
    <n v="3000"/>
    <n v="5400"/>
    <n v="0"/>
    <n v="60000"/>
    <n v="0"/>
    <n v="200"/>
    <n v="0"/>
    <n v="1000"/>
    <n v="0"/>
    <n v="1200"/>
    <n v="58800"/>
    <s v="9562500100169501"/>
    <s v="KARB0000956"/>
  </r>
  <r>
    <n v="9"/>
    <n v="824"/>
    <n v="824"/>
    <s v="ANANDA KUMAR DEVGOSWAMI"/>
    <x v="0"/>
    <s v="PURCHASE MANAGER"/>
    <x v="6"/>
    <n v="25"/>
    <n v="30000"/>
    <n v="0"/>
    <n v="12000"/>
    <n v="1600"/>
    <n v="6400"/>
    <n v="0"/>
    <n v="50000"/>
    <n v="30000"/>
    <n v="0"/>
    <n v="12000"/>
    <n v="1600"/>
    <n v="6400"/>
    <n v="0"/>
    <n v="0"/>
    <n v="50000"/>
    <n v="0"/>
    <n v="200"/>
    <n v="5000"/>
    <n v="0"/>
    <n v="0"/>
    <n v="5200"/>
    <n v="44800"/>
    <n v="45611566320"/>
    <s v="SCBL0036074"/>
  </r>
  <r>
    <n v="10"/>
    <n v="825"/>
    <n v="825"/>
    <s v="VENKATESH V"/>
    <x v="4"/>
    <s v="I E INCHARGE"/>
    <x v="7"/>
    <n v="25"/>
    <n v="35000"/>
    <n v="0"/>
    <n v="14000"/>
    <n v="1600"/>
    <n v="9700"/>
    <n v="9700"/>
    <n v="70000"/>
    <n v="35000"/>
    <n v="0"/>
    <n v="14000"/>
    <n v="1600"/>
    <n v="9700"/>
    <n v="9700"/>
    <n v="0"/>
    <n v="70000"/>
    <n v="0"/>
    <n v="200"/>
    <n v="5000"/>
    <n v="1000"/>
    <n v="0"/>
    <n v="6200"/>
    <n v="63800"/>
    <n v="45512039659"/>
    <s v="SCBL0036074"/>
  </r>
  <r>
    <n v="11"/>
    <n v="828"/>
    <n v="828"/>
    <s v="SHABEER KHAN"/>
    <x v="0"/>
    <s v="SUPERVISOR"/>
    <x v="4"/>
    <n v="25"/>
    <n v="20980"/>
    <n v="1600"/>
    <n v="9292"/>
    <n v="0"/>
    <n v="1064"/>
    <n v="1064"/>
    <n v="34000"/>
    <n v="20980"/>
    <n v="1600"/>
    <n v="9292"/>
    <n v="0"/>
    <n v="1064"/>
    <n v="1064"/>
    <n v="0"/>
    <n v="34000"/>
    <n v="0"/>
    <n v="200"/>
    <n v="0"/>
    <n v="0"/>
    <n v="0"/>
    <n v="200"/>
    <n v="33800"/>
    <s v="9562500100266101"/>
    <s v="KARB0000956"/>
  </r>
  <r>
    <n v="12"/>
    <n v="903"/>
    <n v="903"/>
    <s v="GOVINDARAJU V"/>
    <x v="4"/>
    <s v="ELECTRICIAN"/>
    <x v="8"/>
    <n v="25"/>
    <n v="19200"/>
    <n v="0"/>
    <n v="8400"/>
    <n v="1600"/>
    <n v="0"/>
    <n v="3200"/>
    <n v="32400"/>
    <n v="19200"/>
    <n v="0"/>
    <n v="8400"/>
    <n v="1600"/>
    <n v="0"/>
    <n v="3200"/>
    <n v="0"/>
    <n v="32400"/>
    <n v="0"/>
    <n v="200"/>
    <n v="0"/>
    <n v="0"/>
    <n v="0"/>
    <n v="200"/>
    <n v="32200"/>
    <s v="9562500100142101"/>
    <s v="KARB0000956"/>
  </r>
  <r>
    <n v="13"/>
    <n v="1010"/>
    <n v="1010"/>
    <s v="DINESH KUMAR"/>
    <x v="1"/>
    <s v="AREA SALES MANAGER"/>
    <x v="1"/>
    <n v="26"/>
    <n v="34615"/>
    <n v="5384"/>
    <n v="12846"/>
    <n v="0"/>
    <n v="8192"/>
    <n v="8192"/>
    <n v="69229"/>
    <n v="34615"/>
    <n v="5384"/>
    <n v="12846"/>
    <n v="0"/>
    <n v="8192"/>
    <n v="8192"/>
    <n v="0"/>
    <n v="69229"/>
    <n v="0"/>
    <n v="200"/>
    <n v="0"/>
    <n v="1000"/>
    <n v="10512"/>
    <n v="11712"/>
    <n v="57517"/>
    <s v="03531050055356"/>
    <s v="HDFC0000361"/>
  </r>
  <r>
    <n v="14"/>
    <n v="1068"/>
    <n v="1068"/>
    <s v="SURESH S"/>
    <x v="2"/>
    <s v="QA MANAGER"/>
    <x v="5"/>
    <n v="25"/>
    <n v="32500"/>
    <n v="8950"/>
    <n v="13000"/>
    <n v="1600"/>
    <n v="8950"/>
    <n v="0"/>
    <n v="65000"/>
    <n v="32500"/>
    <n v="8950"/>
    <n v="13000"/>
    <n v="1600"/>
    <n v="8950"/>
    <n v="0"/>
    <n v="0"/>
    <n v="65000"/>
    <n v="0"/>
    <n v="200"/>
    <n v="0"/>
    <n v="1000"/>
    <n v="0"/>
    <n v="1200"/>
    <n v="63800"/>
    <s v="45010034499"/>
    <s v="SCBL0036074"/>
  </r>
  <r>
    <n v="15"/>
    <n v="1070"/>
    <n v="1070"/>
    <s v="RAMESH N S"/>
    <x v="5"/>
    <s v="ACCOUNT`S MANAGER"/>
    <x v="0"/>
    <n v="25"/>
    <n v="35700"/>
    <n v="2800"/>
    <n v="14280"/>
    <n v="1600"/>
    <n v="5120"/>
    <n v="0"/>
    <n v="59500"/>
    <n v="35700"/>
    <n v="2800"/>
    <n v="14280"/>
    <n v="1600"/>
    <n v="5120"/>
    <n v="0"/>
    <n v="0"/>
    <n v="59500"/>
    <n v="0"/>
    <n v="200"/>
    <n v="10000"/>
    <n v="0"/>
    <n v="0"/>
    <n v="10200"/>
    <n v="49300"/>
    <s v="45010034502"/>
    <s v="SCBL0036074"/>
  </r>
  <r>
    <n v="16"/>
    <n v="1118"/>
    <n v="1118"/>
    <s v="ABHISHEK G C"/>
    <x v="5"/>
    <s v="I T EXECUTIVE"/>
    <x v="9"/>
    <n v="25"/>
    <n v="21000"/>
    <n v="0"/>
    <n v="8400"/>
    <n v="1600"/>
    <n v="4000"/>
    <n v="0"/>
    <n v="35000"/>
    <n v="21000"/>
    <n v="0"/>
    <n v="8400"/>
    <n v="1600"/>
    <n v="4000"/>
    <n v="0"/>
    <n v="0"/>
    <n v="35000"/>
    <n v="0"/>
    <n v="200"/>
    <n v="0"/>
    <n v="0"/>
    <n v="0"/>
    <n v="200"/>
    <n v="34800"/>
    <s v="0412101056462"/>
    <s v="CNRB0002529"/>
  </r>
  <r>
    <n v="17"/>
    <n v="1119"/>
    <n v="1119"/>
    <s v="NAGARAJU T K"/>
    <x v="0"/>
    <s v="OUT SOURCING Q A"/>
    <x v="5"/>
    <n v="25"/>
    <n v="16000"/>
    <n v="0"/>
    <n v="7200"/>
    <n v="0"/>
    <n v="0"/>
    <n v="0"/>
    <n v="23200"/>
    <n v="16000"/>
    <n v="0"/>
    <n v="7200"/>
    <n v="0"/>
    <n v="0"/>
    <n v="0"/>
    <n v="0"/>
    <n v="23200"/>
    <n v="0"/>
    <n v="0"/>
    <n v="0"/>
    <n v="0"/>
    <n v="0"/>
    <n v="0"/>
    <n v="23200"/>
    <s v="9562500100903501"/>
    <s v="KARB0000956"/>
  </r>
  <r>
    <n v="18"/>
    <n v="1163"/>
    <n v="1163"/>
    <s v="SANJAY KUMAR"/>
    <x v="6"/>
    <s v="ECOMMERCE MANAGER"/>
    <x v="1"/>
    <n v="26"/>
    <n v="25000"/>
    <n v="5000"/>
    <n v="10000"/>
    <n v="1600"/>
    <n v="3400"/>
    <n v="5000"/>
    <n v="50000"/>
    <n v="25000"/>
    <n v="5000"/>
    <n v="10000"/>
    <n v="1600"/>
    <n v="3400"/>
    <n v="5000"/>
    <n v="0"/>
    <n v="50000"/>
    <n v="0"/>
    <n v="200"/>
    <n v="0"/>
    <n v="0"/>
    <n v="0"/>
    <n v="200"/>
    <n v="49800"/>
    <s v="50100347081095"/>
    <s v="HDFC0002011"/>
  </r>
  <r>
    <n v="19"/>
    <n v="1165"/>
    <n v="1165"/>
    <s v="BIMLESH KUMAR"/>
    <x v="7"/>
    <s v="RETAIL MERCHANDISER"/>
    <x v="1"/>
    <n v="26"/>
    <n v="33992"/>
    <n v="0"/>
    <n v="13597"/>
    <n v="1600"/>
    <n v="6580"/>
    <n v="0"/>
    <n v="55769"/>
    <n v="33992"/>
    <n v="0"/>
    <n v="13597"/>
    <n v="1600"/>
    <n v="6580"/>
    <n v="0"/>
    <n v="0"/>
    <n v="55769"/>
    <n v="0"/>
    <n v="200"/>
    <n v="0"/>
    <n v="0"/>
    <n v="0"/>
    <n v="200"/>
    <n v="55569"/>
    <s v="11098307890"/>
    <s v="SBIN0000172"/>
  </r>
  <r>
    <n v="20"/>
    <n v="1173"/>
    <n v="1173"/>
    <s v="VENKATESH MURTHY"/>
    <x v="0"/>
    <s v="FAB ASST"/>
    <x v="10"/>
    <n v="25"/>
    <n v="14421"/>
    <n v="0"/>
    <n v="5768"/>
    <n v="1600"/>
    <n v="2246"/>
    <n v="0"/>
    <n v="24035"/>
    <n v="14421"/>
    <n v="0"/>
    <n v="5768"/>
    <n v="1600"/>
    <n v="2246"/>
    <n v="0"/>
    <n v="1805"/>
    <n v="25840"/>
    <n v="0"/>
    <n v="0"/>
    <n v="0"/>
    <n v="0"/>
    <n v="0"/>
    <n v="0"/>
    <n v="25840"/>
    <s v="9562500100103701"/>
    <s v="KARB0000956"/>
  </r>
  <r>
    <n v="21"/>
    <n v="1184"/>
    <n v="1184"/>
    <s v="SAMEER KHAN"/>
    <x v="0"/>
    <s v="PURCHASE MANAGER"/>
    <x v="6"/>
    <n v="25"/>
    <n v="16500"/>
    <n v="1420"/>
    <n v="6400"/>
    <n v="1600"/>
    <n v="0"/>
    <n v="0"/>
    <n v="25920"/>
    <n v="16500"/>
    <n v="1420"/>
    <n v="6400"/>
    <n v="1600"/>
    <n v="0"/>
    <n v="0"/>
    <n v="0"/>
    <n v="25920"/>
    <n v="0"/>
    <n v="200"/>
    <n v="0"/>
    <n v="0"/>
    <n v="0"/>
    <n v="200"/>
    <n v="25720"/>
    <s v="9562500100191801"/>
    <s v="KARB0000956"/>
  </r>
  <r>
    <n v="22"/>
    <n v="1205"/>
    <n v="1205"/>
    <s v="SAGARIKA"/>
    <x v="8"/>
    <s v="DESIGNER"/>
    <x v="11"/>
    <n v="26"/>
    <n v="33992"/>
    <n v="0"/>
    <n v="13597"/>
    <n v="1600"/>
    <n v="7464"/>
    <n v="0"/>
    <n v="56653"/>
    <n v="33992"/>
    <n v="0"/>
    <n v="13597"/>
    <n v="1600"/>
    <n v="7464"/>
    <n v="0"/>
    <n v="0"/>
    <n v="56653"/>
    <n v="0"/>
    <n v="200"/>
    <n v="0"/>
    <n v="0"/>
    <n v="0"/>
    <n v="200"/>
    <n v="56453"/>
    <s v="631901545187"/>
    <s v="ICIC0006319"/>
  </r>
  <r>
    <n v="23"/>
    <n v="1206"/>
    <n v="1206"/>
    <s v="SAPNA"/>
    <x v="8"/>
    <s v="DESIGNER"/>
    <x v="11"/>
    <n v="26"/>
    <n v="29301"/>
    <n v="0"/>
    <n v="11720"/>
    <n v="1600"/>
    <n v="6214"/>
    <n v="0"/>
    <n v="48835"/>
    <n v="29301"/>
    <n v="0"/>
    <n v="11720"/>
    <n v="1600"/>
    <n v="6214"/>
    <n v="0"/>
    <n v="0"/>
    <n v="48835"/>
    <n v="0"/>
    <n v="200"/>
    <n v="0"/>
    <n v="0"/>
    <n v="0"/>
    <n v="200"/>
    <n v="48635"/>
    <s v="0652500106592101"/>
    <s v="KARB0000065"/>
  </r>
  <r>
    <n v="24"/>
    <n v="1276"/>
    <n v="1276"/>
    <s v="SHAFEEQ AHAMED"/>
    <x v="7"/>
    <s v="OPERATION MANAGER T-BASE"/>
    <x v="1"/>
    <n v="26"/>
    <n v="53438"/>
    <n v="8000"/>
    <n v="25244"/>
    <n v="1600"/>
    <n v="7718"/>
    <n v="0"/>
    <n v="96000"/>
    <n v="53438"/>
    <n v="8000"/>
    <n v="25244"/>
    <n v="1600"/>
    <n v="7718"/>
    <n v="0"/>
    <n v="3000"/>
    <n v="99000"/>
    <n v="0"/>
    <n v="0"/>
    <n v="0"/>
    <n v="5000"/>
    <n v="1165"/>
    <n v="6165"/>
    <n v="92835"/>
    <s v="9562500100545101"/>
    <s v="KARB0000956"/>
  </r>
  <r>
    <n v="25"/>
    <n v="1409"/>
    <n v="1409"/>
    <s v="RANGANATH"/>
    <x v="3"/>
    <s v="WEAR HOUSE EXCUTIVE"/>
    <x v="3"/>
    <n v="25"/>
    <n v="20724"/>
    <n v="0"/>
    <n v="9420"/>
    <n v="1600"/>
    <n v="3424"/>
    <n v="0"/>
    <n v="35168"/>
    <n v="20724"/>
    <n v="0"/>
    <n v="9420"/>
    <n v="1600"/>
    <n v="3424"/>
    <n v="0"/>
    <n v="0"/>
    <n v="35168"/>
    <n v="0"/>
    <n v="200"/>
    <n v="0"/>
    <n v="0"/>
    <n v="997"/>
    <n v="1197"/>
    <n v="33971"/>
    <s v="9562500100513801"/>
    <s v="KARB0000956"/>
  </r>
  <r>
    <n v="26"/>
    <n v="1424"/>
    <n v="1424"/>
    <s v="RAJAKUMAR K N"/>
    <x v="0"/>
    <s v="SENIOR QUALITY ASSURANCE MANAGER"/>
    <x v="5"/>
    <n v="25"/>
    <n v="49500"/>
    <n v="0"/>
    <n v="19800"/>
    <n v="1600"/>
    <n v="0"/>
    <n v="11600"/>
    <n v="82500"/>
    <n v="49500"/>
    <n v="0"/>
    <n v="19800"/>
    <n v="1600"/>
    <n v="0"/>
    <n v="11600"/>
    <n v="0"/>
    <n v="82500"/>
    <n v="0"/>
    <n v="200"/>
    <n v="0"/>
    <n v="5000"/>
    <n v="840"/>
    <n v="6040"/>
    <n v="76460"/>
    <s v="9562500100214501"/>
    <s v="KARB0000956"/>
  </r>
  <r>
    <n v="27"/>
    <n v="1512"/>
    <n v="1512"/>
    <s v="MANI"/>
    <x v="9"/>
    <s v="MIS(CO-ORDINATOR)"/>
    <x v="1"/>
    <n v="26"/>
    <n v="24139"/>
    <n v="0"/>
    <n v="10973"/>
    <n v="1600"/>
    <n v="4252"/>
    <n v="0"/>
    <n v="40964"/>
    <n v="24139"/>
    <n v="0"/>
    <n v="10973"/>
    <n v="1600"/>
    <n v="4252"/>
    <n v="0"/>
    <n v="0"/>
    <n v="40964"/>
    <n v="0"/>
    <n v="200"/>
    <n v="0"/>
    <n v="0"/>
    <n v="0"/>
    <n v="200"/>
    <n v="40764"/>
    <s v="9562500100544201"/>
    <s v="KARB0000956"/>
  </r>
  <r>
    <n v="28"/>
    <n v="11001"/>
    <n v="11001"/>
    <s v="MUNIRAJU K"/>
    <x v="0"/>
    <s v="GENARAL MANAGER"/>
    <x v="12"/>
    <n v="25"/>
    <n v="53580"/>
    <n v="0"/>
    <n v="35031"/>
    <n v="1600"/>
    <n v="26948"/>
    <n v="10000"/>
    <n v="127159"/>
    <n v="53580"/>
    <n v="0"/>
    <n v="35031"/>
    <n v="1600"/>
    <n v="26948"/>
    <n v="10000"/>
    <n v="0"/>
    <n v="127159"/>
    <n v="0"/>
    <n v="200"/>
    <n v="0"/>
    <n v="10000"/>
    <n v="0"/>
    <n v="10200"/>
    <n v="116959"/>
    <s v="9562500100169601"/>
    <s v="KARB0000956"/>
  </r>
  <r>
    <n v="29"/>
    <n v="20021"/>
    <n v="20021"/>
    <s v="REENA M V"/>
    <x v="4"/>
    <s v="IE"/>
    <x v="7"/>
    <n v="25"/>
    <n v="16000"/>
    <n v="0"/>
    <n v="6000"/>
    <n v="0"/>
    <n v="0"/>
    <n v="0"/>
    <n v="22000"/>
    <n v="16000"/>
    <n v="0"/>
    <n v="6000"/>
    <n v="0"/>
    <n v="0"/>
    <n v="0"/>
    <n v="0"/>
    <n v="22000"/>
    <n v="0"/>
    <n v="0"/>
    <n v="0"/>
    <n v="0"/>
    <n v="0"/>
    <n v="0"/>
    <n v="22000"/>
    <s v="4734118000972"/>
    <s v="CNRB0004734"/>
  </r>
  <r>
    <n v="30"/>
    <n v="20037"/>
    <n v="20037"/>
    <s v="ANIL SOOD"/>
    <x v="1"/>
    <s v="N S M"/>
    <x v="1"/>
    <n v="26"/>
    <n v="65550"/>
    <n v="0"/>
    <n v="31350"/>
    <n v="1600"/>
    <n v="16300"/>
    <n v="16300"/>
    <n v="131100"/>
    <n v="65550"/>
    <n v="0"/>
    <n v="31350"/>
    <n v="1600"/>
    <n v="16300"/>
    <n v="16300"/>
    <n v="0"/>
    <n v="131100"/>
    <n v="0"/>
    <n v="200"/>
    <n v="0"/>
    <n v="10000"/>
    <n v="472"/>
    <n v="10672"/>
    <n v="120428"/>
    <s v="001701007520"/>
    <s v="ICIC0000267"/>
  </r>
  <r>
    <n v="31"/>
    <n v="20038"/>
    <n v="20038"/>
    <s v="VANDANA SOOD"/>
    <x v="1"/>
    <s v="N S M"/>
    <x v="1"/>
    <n v="26"/>
    <n v="53438"/>
    <n v="0"/>
    <n v="25224"/>
    <n v="1600"/>
    <n v="9032"/>
    <n v="9032"/>
    <n v="98326"/>
    <n v="53438"/>
    <n v="0"/>
    <n v="25224"/>
    <n v="1600"/>
    <n v="9032"/>
    <n v="9032"/>
    <n v="0"/>
    <n v="98326"/>
    <n v="0"/>
    <n v="200"/>
    <n v="0"/>
    <n v="3000"/>
    <n v="0"/>
    <n v="3200"/>
    <n v="95126"/>
    <s v="5162500101525501"/>
    <s v="KARB0000516"/>
  </r>
  <r>
    <n v="32"/>
    <n v="20112"/>
    <n v="20112"/>
    <s v="CHETHAN N"/>
    <x v="9"/>
    <s v="ACCOUNTS ASST"/>
    <x v="0"/>
    <n v="22"/>
    <n v="16000"/>
    <n v="0"/>
    <n v="5400"/>
    <n v="0"/>
    <n v="600"/>
    <n v="0"/>
    <n v="22000"/>
    <n v="14080"/>
    <n v="0"/>
    <n v="4752"/>
    <n v="0"/>
    <n v="528"/>
    <n v="0"/>
    <n v="0"/>
    <n v="19360"/>
    <n v="0"/>
    <n v="0"/>
    <n v="0"/>
    <n v="0"/>
    <n v="0"/>
    <n v="0"/>
    <n v="19360"/>
    <s v="2545272461"/>
    <s v="KKBK0008036"/>
  </r>
  <r>
    <n v="33"/>
    <n v="20113"/>
    <n v="20113"/>
    <s v="MADHU N S"/>
    <x v="0"/>
    <s v="JUNIOR MERCHANDISER"/>
    <x v="2"/>
    <n v="25"/>
    <n v="16000"/>
    <n v="0"/>
    <n v="6400"/>
    <n v="0"/>
    <n v="600"/>
    <n v="0"/>
    <n v="23000"/>
    <n v="16000"/>
    <n v="0"/>
    <n v="6400"/>
    <n v="0"/>
    <n v="600"/>
    <n v="0"/>
    <n v="0"/>
    <n v="23000"/>
    <n v="0"/>
    <n v="0"/>
    <n v="0"/>
    <n v="0"/>
    <n v="0"/>
    <n v="0"/>
    <n v="23000"/>
    <s v="9262500101873801"/>
    <s v="KARB0000926"/>
  </r>
  <r>
    <n v="34"/>
    <n v="20117"/>
    <n v="20117"/>
    <s v="RAMASWAMY"/>
    <x v="0"/>
    <s v="PATTERN MASTER"/>
    <x v="4"/>
    <n v="24"/>
    <n v="18000"/>
    <n v="0"/>
    <n v="10400"/>
    <n v="1600"/>
    <n v="0"/>
    <n v="0"/>
    <n v="30000"/>
    <n v="17280"/>
    <n v="0"/>
    <n v="9984"/>
    <n v="1536"/>
    <n v="0"/>
    <n v="0"/>
    <n v="0"/>
    <n v="28800"/>
    <n v="0"/>
    <n v="200"/>
    <n v="0"/>
    <n v="0"/>
    <n v="0"/>
    <n v="200"/>
    <n v="28600"/>
    <s v="5572500102246201"/>
    <s v="KARB0000557"/>
  </r>
  <r>
    <n v="35"/>
    <n v="20131"/>
    <n v="20131"/>
    <s v="SATHISH M B"/>
    <x v="0"/>
    <s v="OUT SOURCING Q A"/>
    <x v="5"/>
    <n v="25"/>
    <n v="16000"/>
    <n v="0"/>
    <n v="7500"/>
    <n v="0"/>
    <n v="0"/>
    <n v="0"/>
    <n v="23500"/>
    <n v="16000"/>
    <n v="0"/>
    <n v="7500"/>
    <n v="0"/>
    <n v="0"/>
    <n v="0"/>
    <n v="0"/>
    <n v="23500"/>
    <n v="0"/>
    <n v="0"/>
    <n v="0"/>
    <n v="0"/>
    <n v="0"/>
    <n v="0"/>
    <n v="23500"/>
    <s v="9562500100281601"/>
    <s v="KARB0000956"/>
  </r>
  <r>
    <n v="36"/>
    <n v="20136"/>
    <n v="20136"/>
    <s v="VASNATHA KUMAR N R"/>
    <x v="0"/>
    <s v="MECHANDISING MANAGER"/>
    <x v="13"/>
    <n v="13"/>
    <n v="54000"/>
    <n v="0"/>
    <n v="25000"/>
    <n v="1600"/>
    <n v="17000"/>
    <n v="12400"/>
    <n v="110000"/>
    <n v="28080"/>
    <n v="0"/>
    <n v="13000"/>
    <n v="832"/>
    <n v="8840"/>
    <n v="6448"/>
    <n v="0"/>
    <n v="57200"/>
    <n v="0"/>
    <n v="200"/>
    <n v="0"/>
    <n v="0"/>
    <n v="0"/>
    <n v="200"/>
    <n v="57000"/>
    <n v="20275584935"/>
    <s v="SBIN0017736"/>
  </r>
  <r>
    <n v="37"/>
    <n v="20142"/>
    <n v="20142"/>
    <s v="AMIT BHARAT BHAI DARJI"/>
    <x v="1"/>
    <s v="SOURSING MANAGER"/>
    <x v="14"/>
    <n v="26"/>
    <n v="22500"/>
    <n v="0"/>
    <n v="9000"/>
    <n v="1600"/>
    <n v="5950"/>
    <n v="5950"/>
    <n v="45000"/>
    <n v="22500"/>
    <n v="0"/>
    <n v="9000"/>
    <n v="1600"/>
    <n v="5950"/>
    <n v="5950"/>
    <n v="0"/>
    <n v="45000"/>
    <n v="0"/>
    <n v="200"/>
    <n v="0"/>
    <n v="0"/>
    <n v="0"/>
    <n v="200"/>
    <n v="44800"/>
    <s v="300010100099217"/>
    <s v="UTIB0000300"/>
  </r>
  <r>
    <n v="38"/>
    <n v="20151"/>
    <n v="20151"/>
    <s v="SUDHANSHU SINGH"/>
    <x v="1"/>
    <s v="AREA SALES MANAGER"/>
    <x v="1"/>
    <n v="26"/>
    <n v="27500"/>
    <n v="0"/>
    <n v="11000"/>
    <n v="1600"/>
    <n v="10100"/>
    <n v="0"/>
    <n v="50200"/>
    <n v="27500"/>
    <n v="0"/>
    <n v="11000"/>
    <n v="1600"/>
    <n v="10100"/>
    <n v="0"/>
    <n v="0"/>
    <n v="50200"/>
    <n v="0"/>
    <n v="200"/>
    <n v="0"/>
    <n v="0"/>
    <n v="0"/>
    <n v="200"/>
    <n v="50000"/>
    <s v="0543104000108591"/>
    <s v="IBKL0000543"/>
  </r>
  <r>
    <n v="39"/>
    <n v="20153"/>
    <n v="20153"/>
    <s v="GANGADEVI D"/>
    <x v="3"/>
    <s v="WEAR HOUSE EXCUTIVE"/>
    <x v="3"/>
    <n v="23.5"/>
    <n v="16000"/>
    <n v="0"/>
    <n v="9600"/>
    <n v="1600"/>
    <n v="800"/>
    <n v="0"/>
    <n v="28000"/>
    <n v="15040"/>
    <n v="0"/>
    <n v="9024"/>
    <n v="1504"/>
    <n v="752"/>
    <n v="0"/>
    <n v="0"/>
    <n v="26320"/>
    <n v="0"/>
    <n v="200"/>
    <n v="0"/>
    <n v="0"/>
    <n v="0"/>
    <n v="200"/>
    <n v="26120"/>
    <s v="55560100520482"/>
    <s v="FDRL0005556"/>
  </r>
  <r>
    <n v="40"/>
    <n v="20157"/>
    <n v="20157"/>
    <s v="HARISHA H"/>
    <x v="4"/>
    <s v="HEAD MECHANIC"/>
    <x v="8"/>
    <n v="25"/>
    <n v="24000"/>
    <n v="0"/>
    <n v="9600"/>
    <n v="1600"/>
    <n v="4800"/>
    <n v="0"/>
    <n v="40000"/>
    <n v="24000"/>
    <n v="0"/>
    <n v="9600"/>
    <n v="1600"/>
    <n v="4800"/>
    <n v="0"/>
    <n v="0"/>
    <n v="40000"/>
    <n v="0"/>
    <n v="200"/>
    <n v="0"/>
    <n v="0"/>
    <n v="0"/>
    <n v="200"/>
    <n v="39800"/>
    <s v="9562500100095901"/>
    <s v="KARB0000956"/>
  </r>
  <r>
    <n v="41"/>
    <n v="20159"/>
    <n v="20159"/>
    <s v="SANOVI SINGH"/>
    <x v="8"/>
    <s v="DESIGNER"/>
    <x v="11"/>
    <n v="21"/>
    <n v="24923"/>
    <n v="0"/>
    <n v="5981"/>
    <n v="1600"/>
    <n v="9034"/>
    <n v="0"/>
    <n v="41538"/>
    <n v="20935"/>
    <n v="0"/>
    <n v="5024"/>
    <n v="1344"/>
    <n v="7589"/>
    <n v="0"/>
    <n v="0"/>
    <n v="34892"/>
    <n v="0"/>
    <n v="200"/>
    <n v="15000"/>
    <n v="0"/>
    <n v="0"/>
    <n v="15200"/>
    <n v="19692"/>
    <s v="54090100007609"/>
    <s v="BARB0JAMMIR"/>
  </r>
  <r>
    <n v="42"/>
    <n v="20178"/>
    <n v="20178"/>
    <s v="AISHWARYA N"/>
    <x v="8"/>
    <s v="ASST KNITWEAR GRAPHIC DISIGNER"/>
    <x v="11"/>
    <n v="25"/>
    <n v="17000"/>
    <n v="0"/>
    <n v="3884"/>
    <n v="0"/>
    <n v="0"/>
    <n v="0"/>
    <n v="20884"/>
    <n v="16346"/>
    <n v="0"/>
    <n v="3735"/>
    <n v="0"/>
    <n v="0"/>
    <n v="0"/>
    <n v="0"/>
    <n v="20081"/>
    <n v="151"/>
    <n v="0"/>
    <n v="0"/>
    <n v="0"/>
    <n v="0"/>
    <n v="151"/>
    <n v="19930"/>
    <n v="7548856397"/>
    <s v="KKBK0008053"/>
  </r>
  <r>
    <n v="43"/>
    <n v="20179"/>
    <n v="20179"/>
    <s v="DILIP TILAK"/>
    <x v="6"/>
    <s v="ECOMMERCE MANAGER"/>
    <x v="1"/>
    <n v="26"/>
    <n v="29250"/>
    <n v="0"/>
    <n v="9750"/>
    <n v="1600"/>
    <n v="4400"/>
    <n v="0"/>
    <n v="45000"/>
    <n v="29250"/>
    <n v="0"/>
    <n v="9750"/>
    <n v="1600"/>
    <n v="4400"/>
    <n v="0"/>
    <n v="0"/>
    <n v="45000"/>
    <n v="0"/>
    <n v="200"/>
    <n v="0"/>
    <n v="0"/>
    <n v="0"/>
    <n v="200"/>
    <n v="44800"/>
    <s v="233601000975"/>
    <s v="ICIC0002336"/>
  </r>
  <r>
    <n v="44"/>
    <n v="20180"/>
    <n v="20180"/>
    <s v="RAMESHA"/>
    <x v="0"/>
    <s v="SAMPLE Q A"/>
    <x v="4"/>
    <n v="25"/>
    <n v="17000"/>
    <n v="0"/>
    <n v="10000"/>
    <n v="1600"/>
    <n v="400"/>
    <n v="0"/>
    <n v="29000"/>
    <n v="17000"/>
    <n v="0"/>
    <n v="10000"/>
    <n v="1600"/>
    <n v="400"/>
    <n v="0"/>
    <n v="0"/>
    <n v="29000"/>
    <n v="0"/>
    <n v="200"/>
    <n v="0"/>
    <n v="0"/>
    <n v="0"/>
    <n v="200"/>
    <n v="28800"/>
    <n v="20253426383"/>
    <s v="SBIN0016874"/>
  </r>
  <r>
    <n v="45"/>
    <n v="20181"/>
    <n v="20181"/>
    <s v="JYOTHI K"/>
    <x v="0"/>
    <s v="JUNIOR MERCHANDISER"/>
    <x v="2"/>
    <n v="23"/>
    <n v="15500"/>
    <n v="0"/>
    <n v="4700"/>
    <n v="0"/>
    <n v="0"/>
    <n v="0"/>
    <n v="20200"/>
    <n v="14260"/>
    <n v="0"/>
    <n v="4324"/>
    <n v="0"/>
    <n v="0"/>
    <n v="0"/>
    <n v="0"/>
    <n v="18584"/>
    <n v="140"/>
    <n v="0"/>
    <n v="0"/>
    <n v="0"/>
    <n v="0"/>
    <n v="140"/>
    <n v="18444"/>
    <n v="64105171416"/>
    <s v="SBIN0040099"/>
  </r>
  <r>
    <n v="46"/>
    <n v="20195"/>
    <n v="20195"/>
    <s v="ROHITH B"/>
    <x v="0"/>
    <s v="JUNIOR MERCHANDISER"/>
    <x v="2"/>
    <n v="22"/>
    <n v="15500"/>
    <n v="0"/>
    <n v="500"/>
    <n v="0"/>
    <n v="0"/>
    <n v="0"/>
    <n v="16000"/>
    <n v="13640"/>
    <n v="0"/>
    <n v="440"/>
    <n v="0"/>
    <n v="0"/>
    <n v="0"/>
    <n v="0"/>
    <n v="14080"/>
    <n v="106"/>
    <n v="0"/>
    <n v="0"/>
    <n v="0"/>
    <n v="0"/>
    <n v="106"/>
    <n v="13974"/>
    <n v="45711807907"/>
    <s v="SCBL0036089"/>
  </r>
  <r>
    <n v="47"/>
    <n v="20196"/>
    <n v="20196"/>
    <s v="JEEVITH Y"/>
    <x v="5"/>
    <s v="HR MANAGER"/>
    <x v="15"/>
    <n v="25"/>
    <n v="35000"/>
    <n v="0"/>
    <n v="14000"/>
    <n v="1600"/>
    <n v="9700"/>
    <n v="9700"/>
    <n v="70000"/>
    <n v="35000"/>
    <n v="0"/>
    <n v="14000"/>
    <n v="1600"/>
    <n v="9700"/>
    <n v="9700"/>
    <n v="0"/>
    <n v="70000"/>
    <n v="0"/>
    <n v="200"/>
    <n v="0"/>
    <n v="0"/>
    <n v="0"/>
    <n v="200"/>
    <n v="69800"/>
    <s v="912010036163345"/>
    <s v="UTIB0000065"/>
  </r>
  <r>
    <n v="48"/>
    <n v="20197"/>
    <n v="20197"/>
    <s v="VINODA H C"/>
    <x v="5"/>
    <s v="ACCOUNTS ASST"/>
    <x v="0"/>
    <n v="15"/>
    <n v="15500"/>
    <n v="0"/>
    <n v="2500"/>
    <n v="0"/>
    <n v="0"/>
    <n v="0"/>
    <n v="18000"/>
    <n v="9300"/>
    <n v="0"/>
    <n v="1500"/>
    <n v="0"/>
    <n v="0"/>
    <n v="0"/>
    <n v="0"/>
    <n v="10800"/>
    <n v="81"/>
    <n v="0"/>
    <n v="0"/>
    <n v="0"/>
    <n v="0"/>
    <n v="81"/>
    <n v="10719"/>
    <s v="50100648527504"/>
    <s v="HDFC0006820"/>
  </r>
  <r>
    <n v="49"/>
    <n v="20198"/>
    <n v="20198"/>
    <s v="VIDHYA R"/>
    <x v="5"/>
    <s v="ACCOUNTS ASST"/>
    <x v="0"/>
    <n v="25"/>
    <n v="17000"/>
    <n v="0"/>
    <n v="4050"/>
    <n v="0"/>
    <n v="0"/>
    <n v="0"/>
    <n v="21050"/>
    <n v="17000"/>
    <n v="0"/>
    <n v="4050"/>
    <n v="0"/>
    <n v="0"/>
    <n v="0"/>
    <n v="0"/>
    <n v="21050"/>
    <n v="0"/>
    <n v="0"/>
    <n v="0"/>
    <n v="0"/>
    <n v="0"/>
    <n v="0"/>
    <n v="21050"/>
    <s v="'0662500103845101"/>
    <s v="KARB0000066"/>
  </r>
  <r>
    <n v="50"/>
    <n v="20212"/>
    <n v="20212"/>
    <s v="PUSHPENDRA KUMAR"/>
    <x v="1"/>
    <s v="AREA SALES MANAGER"/>
    <x v="1"/>
    <n v="26"/>
    <n v="37164"/>
    <n v="0"/>
    <n v="17060"/>
    <n v="1600"/>
    <n v="6206"/>
    <n v="6206"/>
    <n v="68236"/>
    <n v="37164"/>
    <n v="0"/>
    <n v="17060"/>
    <n v="1600"/>
    <n v="6206"/>
    <n v="6206"/>
    <n v="0"/>
    <n v="68236"/>
    <n v="0"/>
    <n v="200"/>
    <n v="0"/>
    <n v="0"/>
    <n v="0"/>
    <n v="200"/>
    <n v="68036"/>
    <s v="30109315675"/>
    <s v="SBIN0006069"/>
  </r>
  <r>
    <n v="51"/>
    <n v="20213"/>
    <n v="20213"/>
    <s v="SUNITHA"/>
    <x v="0"/>
    <s v="STORE INCHARGE"/>
    <x v="16"/>
    <n v="25"/>
    <n v="18115"/>
    <n v="0"/>
    <n v="8098"/>
    <n v="1600"/>
    <n v="0"/>
    <n v="2679"/>
    <n v="30492"/>
    <n v="18115"/>
    <n v="0"/>
    <n v="8098"/>
    <n v="1600"/>
    <n v="0"/>
    <n v="2679"/>
    <n v="0"/>
    <n v="30492"/>
    <n v="0"/>
    <n v="200"/>
    <n v="0"/>
    <n v="0"/>
    <n v="0"/>
    <n v="200"/>
    <n v="30292"/>
    <s v="9562500100887801"/>
    <s v="KARB0000956"/>
  </r>
  <r>
    <n v="52"/>
    <n v="20215"/>
    <n v="20215"/>
    <s v="P SATHYAN"/>
    <x v="0"/>
    <s v="FABRIC STORE INCHARGE"/>
    <x v="10"/>
    <n v="24"/>
    <n v="22500"/>
    <n v="0"/>
    <n v="9000"/>
    <n v="1600"/>
    <n v="5950"/>
    <n v="6585"/>
    <n v="45635"/>
    <n v="21600"/>
    <n v="0"/>
    <n v="8640"/>
    <n v="1536"/>
    <n v="5712"/>
    <n v="6322"/>
    <n v="0"/>
    <n v="43810"/>
    <n v="0"/>
    <n v="200"/>
    <n v="0"/>
    <n v="0"/>
    <n v="0"/>
    <n v="200"/>
    <n v="43610"/>
    <n v="218010113457"/>
    <s v="KKBK0000424"/>
  </r>
  <r>
    <n v="53"/>
    <n v="20216"/>
    <n v="20216"/>
    <s v="SUDITPO NATH CHOUDHURY"/>
    <x v="0"/>
    <s v="CAD INCHARGE"/>
    <x v="4"/>
    <n v="25"/>
    <n v="32500"/>
    <n v="8950"/>
    <n v="13000"/>
    <n v="1600"/>
    <n v="9150"/>
    <n v="0"/>
    <n v="65200"/>
    <n v="32500"/>
    <n v="8950"/>
    <n v="13000"/>
    <n v="1600"/>
    <n v="9150"/>
    <n v="0"/>
    <n v="0"/>
    <n v="65200"/>
    <n v="0"/>
    <n v="200"/>
    <n v="0"/>
    <n v="0"/>
    <n v="0"/>
    <n v="200"/>
    <n v="65000"/>
    <n v="20021327489"/>
    <s v="SBIN0006506"/>
  </r>
  <r>
    <n v="54"/>
    <n v="20237"/>
    <n v="20237"/>
    <s v="MOHANA"/>
    <x v="4"/>
    <s v="HR EXECUTIVE"/>
    <x v="15"/>
    <n v="25"/>
    <n v="18000"/>
    <n v="0"/>
    <n v="5000"/>
    <n v="0"/>
    <n v="0"/>
    <n v="0"/>
    <n v="23000"/>
    <n v="18000"/>
    <n v="0"/>
    <n v="5000"/>
    <n v="0"/>
    <n v="0"/>
    <n v="0"/>
    <n v="0"/>
    <n v="23000"/>
    <n v="0"/>
    <n v="0"/>
    <n v="0"/>
    <n v="0"/>
    <n v="0"/>
    <n v="0"/>
    <n v="23000"/>
    <n v="10168049054"/>
    <s v="IDFB0080187"/>
  </r>
  <r>
    <n v="55"/>
    <n v="20247"/>
    <n v="20247"/>
    <s v="VINAY B N"/>
    <x v="4"/>
    <s v="FLOOR INCHARGE"/>
    <x v="12"/>
    <n v="25"/>
    <n v="20000"/>
    <n v="0"/>
    <n v="8000"/>
    <n v="1600"/>
    <n v="10400"/>
    <n v="0"/>
    <n v="40000"/>
    <n v="20000"/>
    <n v="0"/>
    <n v="8000"/>
    <n v="1600"/>
    <n v="10400"/>
    <n v="0"/>
    <n v="0"/>
    <n v="40000"/>
    <n v="0"/>
    <n v="200"/>
    <n v="0"/>
    <n v="0"/>
    <n v="0"/>
    <n v="200"/>
    <n v="39800"/>
    <s v="9562500100191701"/>
    <s v="KARB0000956"/>
  </r>
  <r>
    <n v="56"/>
    <n v="20248"/>
    <n v="20248"/>
    <s v="SATYANARAYAN"/>
    <x v="0"/>
    <s v="QA INCHARGE"/>
    <x v="5"/>
    <n v="25"/>
    <n v="20450"/>
    <n v="0"/>
    <n v="8930"/>
    <n v="1600"/>
    <n v="3520"/>
    <n v="0"/>
    <n v="34500"/>
    <n v="20450"/>
    <n v="0"/>
    <n v="8930"/>
    <n v="1600"/>
    <n v="3520"/>
    <n v="0"/>
    <n v="0"/>
    <n v="34500"/>
    <n v="0"/>
    <n v="200"/>
    <n v="0"/>
    <n v="0"/>
    <n v="0"/>
    <n v="200"/>
    <n v="34300"/>
    <s v="9562500100095501"/>
    <s v="KARB0000956"/>
  </r>
  <r>
    <n v="57"/>
    <n v="20250"/>
    <n v="20250"/>
    <s v="SEEMA"/>
    <x v="0"/>
    <s v="SENIOR EXCECUTIVE MECHANDISER"/>
    <x v="13"/>
    <n v="20"/>
    <n v="30000"/>
    <n v="0"/>
    <n v="12000"/>
    <n v="1600"/>
    <n v="6400"/>
    <n v="0"/>
    <n v="50000"/>
    <n v="24000"/>
    <n v="0"/>
    <n v="9600"/>
    <n v="1280"/>
    <n v="5120"/>
    <n v="0"/>
    <n v="0"/>
    <n v="40000"/>
    <n v="0"/>
    <n v="200"/>
    <n v="0"/>
    <n v="0"/>
    <n v="0"/>
    <n v="200"/>
    <n v="39800"/>
    <s v="100020165728"/>
    <s v="INDB0000331"/>
  </r>
  <r>
    <n v="58"/>
    <n v="20251"/>
    <n v="20251"/>
    <s v="SOMASHEKARAPPA"/>
    <x v="0"/>
    <s v="CAD OPERATOR"/>
    <x v="4"/>
    <n v="23"/>
    <n v="33992"/>
    <n v="0"/>
    <n v="13597"/>
    <n v="1600"/>
    <n v="5811"/>
    <n v="0"/>
    <n v="55000"/>
    <n v="31273"/>
    <n v="0"/>
    <n v="12509"/>
    <n v="1472"/>
    <n v="5346"/>
    <n v="0"/>
    <n v="0"/>
    <n v="50600"/>
    <n v="0"/>
    <n v="200"/>
    <n v="0"/>
    <n v="0"/>
    <n v="0"/>
    <n v="200"/>
    <n v="50400"/>
    <s v="45512047171"/>
    <s v="SCBL0036073"/>
  </r>
  <r>
    <n v="59"/>
    <n v="20265"/>
    <n v="20265"/>
    <s v="SHARATH K B"/>
    <x v="0"/>
    <s v="SENIOR EXCECUTIVE MECHANDISER"/>
    <x v="13"/>
    <n v="25"/>
    <n v="35000"/>
    <n v="0"/>
    <n v="14000"/>
    <n v="1600"/>
    <n v="9700"/>
    <n v="9700"/>
    <n v="70000"/>
    <n v="35000"/>
    <n v="0"/>
    <n v="14000"/>
    <n v="1600"/>
    <n v="9700"/>
    <n v="9700"/>
    <n v="0"/>
    <n v="70000"/>
    <n v="0"/>
    <n v="200"/>
    <n v="0"/>
    <n v="0"/>
    <n v="0"/>
    <n v="200"/>
    <n v="69800"/>
    <s v="50100190441209"/>
    <s v="HDFC00010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9FE4B-86BD-4504-A9B9-68024561BE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 rowPageCount="1" colPageCount="1"/>
  <pivotFields count="32">
    <pivotField showAll="0"/>
    <pivotField showAll="0"/>
    <pivotField showAll="0"/>
    <pivotField showAll="0"/>
    <pivotField axis="axisPage" multipleItemSelectionAllowed="1" showAll="0">
      <items count="11">
        <item x="5"/>
        <item x="8"/>
        <item x="0"/>
        <item h="1" x="7"/>
        <item h="1" x="1"/>
        <item x="4"/>
        <item x="9"/>
        <item h="1" x="6"/>
        <item x="2"/>
        <item x="3"/>
        <item t="default"/>
      </items>
    </pivotField>
    <pivotField showAll="0"/>
    <pivotField axis="axisRow" showAll="0">
      <items count="18">
        <item x="0"/>
        <item x="9"/>
        <item x="11"/>
        <item x="3"/>
        <item x="10"/>
        <item x="15"/>
        <item x="7"/>
        <item x="8"/>
        <item x="13"/>
        <item x="2"/>
        <item x="12"/>
        <item x="6"/>
        <item x="5"/>
        <item x="4"/>
        <item x="14"/>
        <item x="1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4" hier="-1"/>
  </pageFields>
  <dataFields count="1">
    <dataField name="Sum of TOTAL_x000a_GROSS" fld="14" baseField="0" baseItem="0" numFmtId="164"/>
  </dataFields>
  <formats count="7">
    <format dxfId="6">
      <pivotArea outline="0" collapsedLevelsAreSubtotals="1" fieldPosition="0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6" count="2">
            <x v="8"/>
            <x v="9"/>
          </reference>
        </references>
      </pivotArea>
    </format>
    <format dxfId="2">
      <pivotArea dataOnly="0" labelOnly="1" fieldPosition="0">
        <references count="1">
          <reference field="6" count="2">
            <x v="8"/>
            <x v="9"/>
          </reference>
        </references>
      </pivotArea>
    </format>
    <format dxfId="1">
      <pivotArea collapsedLevelsAreSubtotals="1" fieldPosition="0">
        <references count="1">
          <reference field="6" count="2">
            <x v="12"/>
            <x v="13"/>
          </reference>
        </references>
      </pivotArea>
    </format>
    <format dxfId="0">
      <pivotArea dataOnly="0" labelOnly="1" fieldPosition="0">
        <references count="1">
          <reference field="6" count="2"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0" dT="2024-11-27T14:09:05.42" personId="{2D03CECC-9C52-48F4-9E7D-7D5FDF5D02FA}" id="{A4CB0058-7CDB-4163-8114-D4B7547C6FC2}">
    <text>Previous Year Cost</text>
  </threadedComment>
  <threadedComment ref="C73" dT="2024-10-28T05:47:35.44" personId="{2D03CECC-9C52-48F4-9E7D-7D5FDF5D02FA}" id="{7DC0E148-E968-44AD-B03E-F659A59C7409}">
    <text>With SOR 1,44,02,088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10-29T06:31:21.52" personId="{2D03CECC-9C52-48F4-9E7D-7D5FDF5D02FA}" id="{FFDDB056-546A-4931-8687-CFD9013E759E}">
    <text>GP WIP Delta</text>
  </threadedComment>
  <threadedComment ref="B46" dT="2024-09-19T10:24:19.28" personId="{2D03CECC-9C52-48F4-9E7D-7D5FDF5D02FA}" id="{B039B3B5-A5BB-4BCC-9A16-F409476DFB88}">
    <text>LC Margin money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4" dT="2024-08-29T09:30:22.96" personId="{2D03CECC-9C52-48F4-9E7D-7D5FDF5D02FA}" id="{48CE7790-815C-480D-B1EC-CA8AB60C3C6B}">
    <text>Provision for Dep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0644-7D59-4A40-BA48-3495424BF145}">
  <dimension ref="A2:U86"/>
  <sheetViews>
    <sheetView showGridLines="0" tabSelected="1" topLeftCell="B1" zoomScale="90" zoomScaleNormal="90" workbookViewId="0">
      <pane xSplit="1" topLeftCell="C1" activePane="topRight" state="frozen"/>
      <selection activeCell="B1" sqref="B1"/>
      <selection pane="topRight" activeCell="C13" sqref="C13"/>
    </sheetView>
  </sheetViews>
  <sheetFormatPr defaultRowHeight="14.4" x14ac:dyDescent="0.3"/>
  <cols>
    <col min="2" max="2" width="42.109375" bestFit="1" customWidth="1"/>
    <col min="3" max="3" width="12.44140625" style="25" bestFit="1" customWidth="1"/>
    <col min="4" max="5" width="13.109375" style="25" bestFit="1" customWidth="1"/>
    <col min="6" max="8" width="12.44140625" style="25" bestFit="1" customWidth="1"/>
    <col min="9" max="9" width="14.21875" style="25" bestFit="1" customWidth="1"/>
    <col min="10" max="14" width="12.44140625" style="25" bestFit="1" customWidth="1"/>
    <col min="15" max="15" width="13.5546875" style="25" bestFit="1" customWidth="1"/>
    <col min="16" max="16384" width="8.88671875" style="25"/>
  </cols>
  <sheetData>
    <row r="2" spans="1:18" x14ac:dyDescent="0.3">
      <c r="A2" s="25"/>
      <c r="B2" s="150" t="s">
        <v>1</v>
      </c>
      <c r="C2" s="152" t="s">
        <v>195</v>
      </c>
      <c r="D2" s="153"/>
      <c r="E2" s="154"/>
      <c r="F2" s="152" t="s">
        <v>196</v>
      </c>
      <c r="G2" s="153"/>
      <c r="H2" s="154"/>
      <c r="I2" s="155" t="s">
        <v>197</v>
      </c>
      <c r="J2" s="155"/>
      <c r="K2" s="155"/>
      <c r="L2" s="155" t="s">
        <v>198</v>
      </c>
      <c r="M2" s="155"/>
      <c r="N2" s="155"/>
      <c r="O2" s="24" t="s">
        <v>199</v>
      </c>
    </row>
    <row r="3" spans="1:18" x14ac:dyDescent="0.3">
      <c r="A3" s="25"/>
      <c r="B3" s="151"/>
      <c r="C3" s="22">
        <v>45383</v>
      </c>
      <c r="D3" s="22">
        <v>45413</v>
      </c>
      <c r="E3" s="22">
        <v>45444</v>
      </c>
      <c r="F3" s="22">
        <v>45474</v>
      </c>
      <c r="G3" s="22">
        <v>45505</v>
      </c>
      <c r="H3" s="22">
        <v>45536</v>
      </c>
      <c r="I3" s="22" t="s">
        <v>571</v>
      </c>
      <c r="J3" s="22">
        <v>45597</v>
      </c>
      <c r="K3" s="22">
        <v>45627</v>
      </c>
      <c r="L3" s="22">
        <v>45658</v>
      </c>
      <c r="M3" s="22">
        <v>45689</v>
      </c>
      <c r="N3" s="124">
        <v>45717</v>
      </c>
      <c r="O3" s="23" t="s">
        <v>2</v>
      </c>
    </row>
    <row r="4" spans="1:18" x14ac:dyDescent="0.3">
      <c r="B4" s="45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10"/>
    </row>
    <row r="5" spans="1:18" x14ac:dyDescent="0.3">
      <c r="B5" s="46" t="s">
        <v>147</v>
      </c>
      <c r="C5" s="27">
        <f>'P&amp;L Schedule'!C16</f>
        <v>30609779.149999991</v>
      </c>
      <c r="D5" s="27">
        <f>'P&amp;L Schedule'!D16</f>
        <v>17635966.999999993</v>
      </c>
      <c r="E5" s="27">
        <f>'P&amp;L Schedule'!E16</f>
        <v>22372656.329999991</v>
      </c>
      <c r="F5" s="27">
        <f>'P&amp;L Schedule'!F16</f>
        <v>33087900.510000002</v>
      </c>
      <c r="G5" s="27">
        <f>'P&amp;L Schedule'!G16</f>
        <v>52338310</v>
      </c>
      <c r="H5" s="27">
        <f>'P&amp;L Schedule'!H16</f>
        <v>47379366.93</v>
      </c>
      <c r="I5" s="27">
        <v>44736834.050000004</v>
      </c>
      <c r="J5" s="27">
        <f>'P&amp;L Schedule'!J16</f>
        <v>56856404.657749996</v>
      </c>
      <c r="K5" s="27">
        <f>'P&amp;L Schedule'!K16</f>
        <v>62386013.534299999</v>
      </c>
      <c r="L5" s="27">
        <f>'P&amp;L Schedule'!L16</f>
        <v>53609448.568000004</v>
      </c>
      <c r="M5" s="27">
        <f>'P&amp;L Schedule'!M16</f>
        <v>51640775.451049998</v>
      </c>
      <c r="N5" s="27">
        <f>'P&amp;L Schedule'!N16</f>
        <v>45818024.148737498</v>
      </c>
      <c r="O5" s="38">
        <f>SUM(C5:N5)</f>
        <v>518471480.3298375</v>
      </c>
    </row>
    <row r="6" spans="1:18" x14ac:dyDescent="0.3">
      <c r="B6" s="4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10"/>
    </row>
    <row r="7" spans="1:18" x14ac:dyDescent="0.3">
      <c r="B7" s="46" t="s">
        <v>148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10"/>
    </row>
    <row r="8" spans="1:18" x14ac:dyDescent="0.3">
      <c r="B8" s="47" t="s">
        <v>149</v>
      </c>
      <c r="C8" s="27">
        <f>'P&amp;L Schedule'!C31+'P&amp;L Schedule'!C22-'P&amp;L Schedule'!C30</f>
        <v>14754502.710000008</v>
      </c>
      <c r="D8" s="27">
        <f>'P&amp;L Schedule'!D31+'P&amp;L Schedule'!D22-'P&amp;L Schedule'!D30</f>
        <v>9067178.3199999928</v>
      </c>
      <c r="E8" s="27">
        <f>'P&amp;L Schedule'!E31+'P&amp;L Schedule'!E22-'P&amp;L Schedule'!E30</f>
        <v>13750281.230000019</v>
      </c>
      <c r="F8" s="27">
        <f>'P&amp;L Schedule'!F31+'P&amp;L Schedule'!F22-'P&amp;L Schedule'!F30</f>
        <v>11778806.979999989</v>
      </c>
      <c r="G8" s="27">
        <f>'P&amp;L Schedule'!G31+'P&amp;L Schedule'!G22-'P&amp;L Schedule'!G30</f>
        <v>25470948.520000011</v>
      </c>
      <c r="H8" s="27">
        <f>'P&amp;L Schedule'!H31+'P&amp;L Schedule'!H22-'P&amp;L Schedule'!H30</f>
        <v>22684129.49999994</v>
      </c>
      <c r="I8" s="27">
        <f>'P&amp;L Schedule'!I31+'P&amp;L Schedule'!I22-'P&amp;L Schedule'!I30</f>
        <v>28157032.160000026</v>
      </c>
      <c r="J8" s="27">
        <f>'P&amp;L Schedule'!J31+'P&amp;L Schedule'!J22-'P&amp;L Schedule'!J30</f>
        <v>27484298.273099989</v>
      </c>
      <c r="K8" s="27">
        <f>'P&amp;L Schedule'!K31+'P&amp;L Schedule'!K22-'P&amp;L Schedule'!K30</f>
        <v>29953562.413720012</v>
      </c>
      <c r="L8" s="27">
        <f>'P&amp;L Schedule'!L31+'P&amp;L Schedule'!L22-'P&amp;L Schedule'!L30</f>
        <v>29443779.427200019</v>
      </c>
      <c r="M8" s="27">
        <f>'P&amp;L Schedule'!M31+'P&amp;L Schedule'!M22-'P&amp;L Schedule'!M30</f>
        <v>25656310.180420011</v>
      </c>
      <c r="N8" s="27">
        <f>'P&amp;L Schedule'!N31+'P&amp;L Schedule'!N22-'P&amp;L Schedule'!N30</f>
        <v>25327209.659494996</v>
      </c>
      <c r="O8" s="38">
        <f>SUM(C8:N8)</f>
        <v>263528039.37393501</v>
      </c>
    </row>
    <row r="9" spans="1:18" x14ac:dyDescent="0.3">
      <c r="B9" s="4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10"/>
    </row>
    <row r="10" spans="1:18" s="7" customFormat="1" x14ac:dyDescent="0.3">
      <c r="A10" s="36"/>
      <c r="B10" s="46" t="s">
        <v>150</v>
      </c>
      <c r="C10" s="37">
        <f t="shared" ref="C10:N10" si="0">C5-C8</f>
        <v>15855276.439999983</v>
      </c>
      <c r="D10" s="37">
        <f t="shared" si="0"/>
        <v>8568788.6799999997</v>
      </c>
      <c r="E10" s="37">
        <f t="shared" si="0"/>
        <v>8622375.0999999717</v>
      </c>
      <c r="F10" s="37">
        <f t="shared" si="0"/>
        <v>21309093.530000012</v>
      </c>
      <c r="G10" s="37">
        <f t="shared" si="0"/>
        <v>26867361.479999989</v>
      </c>
      <c r="H10" s="37">
        <f t="shared" si="0"/>
        <v>24695237.430000059</v>
      </c>
      <c r="I10" s="37">
        <f t="shared" si="0"/>
        <v>16579801.889999978</v>
      </c>
      <c r="J10" s="37">
        <f t="shared" si="0"/>
        <v>29372106.384650007</v>
      </c>
      <c r="K10" s="37">
        <f t="shared" si="0"/>
        <v>32432451.120579988</v>
      </c>
      <c r="L10" s="37">
        <f t="shared" si="0"/>
        <v>24165669.140799984</v>
      </c>
      <c r="M10" s="37">
        <f t="shared" si="0"/>
        <v>25984465.270629987</v>
      </c>
      <c r="N10" s="37">
        <f t="shared" si="0"/>
        <v>20490814.489242502</v>
      </c>
      <c r="O10" s="38">
        <f>SUM(C10:N10)</f>
        <v>254943440.95590246</v>
      </c>
      <c r="P10" s="39"/>
      <c r="Q10" s="39"/>
      <c r="R10" s="36"/>
    </row>
    <row r="11" spans="1:18" s="11" customFormat="1" x14ac:dyDescent="0.3">
      <c r="A11" s="25"/>
      <c r="B11" s="21" t="s">
        <v>151</v>
      </c>
      <c r="C11" s="40">
        <f t="shared" ref="C11:O11" si="1">C10/C5</f>
        <v>0.51798075256612841</v>
      </c>
      <c r="D11" s="40">
        <f t="shared" si="1"/>
        <v>0.48587007902657131</v>
      </c>
      <c r="E11" s="40">
        <f t="shared" si="1"/>
        <v>0.38539791488407382</v>
      </c>
      <c r="F11" s="40">
        <f t="shared" si="1"/>
        <v>0.64401467610674978</v>
      </c>
      <c r="G11" s="40">
        <f t="shared" si="1"/>
        <v>0.51334025649662718</v>
      </c>
      <c r="H11" s="40">
        <f t="shared" si="1"/>
        <v>0.52122345717463259</v>
      </c>
      <c r="I11" s="40">
        <f t="shared" si="1"/>
        <v>0.37060740309583834</v>
      </c>
      <c r="J11" s="40">
        <f t="shared" si="1"/>
        <v>0.51660154315871509</v>
      </c>
      <c r="K11" s="40">
        <f t="shared" si="1"/>
        <v>0.51986734338696827</v>
      </c>
      <c r="L11" s="40">
        <f t="shared" si="1"/>
        <v>0.45077257435594487</v>
      </c>
      <c r="M11" s="40">
        <f t="shared" si="1"/>
        <v>0.50317728662422034</v>
      </c>
      <c r="N11" s="40">
        <f t="shared" si="1"/>
        <v>0.44722169648180082</v>
      </c>
      <c r="O11" s="41">
        <f t="shared" si="1"/>
        <v>0.49172124336272915</v>
      </c>
    </row>
    <row r="12" spans="1:18" x14ac:dyDescent="0.3">
      <c r="B12" s="4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10"/>
    </row>
    <row r="13" spans="1:18" s="36" customFormat="1" x14ac:dyDescent="0.3">
      <c r="A13" s="7"/>
      <c r="B13" s="46" t="s">
        <v>152</v>
      </c>
      <c r="C13" s="148">
        <f>SUM(C14:C18)</f>
        <v>2168234</v>
      </c>
      <c r="D13" s="148">
        <f t="shared" ref="D13:N13" si="2">SUM(D14:D18)</f>
        <v>1057777.5</v>
      </c>
      <c r="E13" s="148">
        <f t="shared" si="2"/>
        <v>2608363.9200000004</v>
      </c>
      <c r="F13" s="148">
        <f t="shared" si="2"/>
        <v>903384</v>
      </c>
      <c r="G13" s="148">
        <f t="shared" si="2"/>
        <v>1690182.97</v>
      </c>
      <c r="H13" s="148">
        <f t="shared" si="2"/>
        <v>1055583.5</v>
      </c>
      <c r="I13" s="148">
        <f t="shared" si="2"/>
        <v>1591367.15</v>
      </c>
      <c r="J13" s="148">
        <f t="shared" si="2"/>
        <v>1347356.4046577499</v>
      </c>
      <c r="K13" s="148">
        <f t="shared" si="2"/>
        <v>1352886.0135343</v>
      </c>
      <c r="L13" s="148">
        <f t="shared" si="2"/>
        <v>1344109.448568</v>
      </c>
      <c r="M13" s="148">
        <f t="shared" si="2"/>
        <v>1342140.7754510499</v>
      </c>
      <c r="N13" s="148">
        <f t="shared" si="2"/>
        <v>1336318.0241487375</v>
      </c>
      <c r="O13" s="38">
        <f>SUM(C13:N13)</f>
        <v>17797703.706359837</v>
      </c>
    </row>
    <row r="14" spans="1:18" x14ac:dyDescent="0.3">
      <c r="B14" s="48" t="s">
        <v>17</v>
      </c>
      <c r="C14" s="27">
        <f>'P&amp;L Schedule'!C50</f>
        <v>1326029</v>
      </c>
      <c r="D14" s="27">
        <f>'P&amp;L Schedule'!D50</f>
        <v>549941.5</v>
      </c>
      <c r="E14" s="27">
        <f>'P&amp;L Schedule'!E50</f>
        <v>1921896.2</v>
      </c>
      <c r="F14" s="27">
        <f>'P&amp;L Schedule'!F50</f>
        <v>157350</v>
      </c>
      <c r="G14" s="27">
        <f>'P&amp;L Schedule'!G50</f>
        <v>896654</v>
      </c>
      <c r="H14" s="27">
        <f>'P&amp;L Schedule'!H50</f>
        <v>474124</v>
      </c>
      <c r="I14" s="27">
        <f>'P&amp;L Schedule'!I50</f>
        <v>1074309.3999999999</v>
      </c>
      <c r="J14" s="27">
        <f>'P&amp;L Schedule'!J50</f>
        <v>750000</v>
      </c>
      <c r="K14" s="27">
        <f>'P&amp;L Schedule'!K50</f>
        <v>750000</v>
      </c>
      <c r="L14" s="27">
        <f>'P&amp;L Schedule'!L50</f>
        <v>750000</v>
      </c>
      <c r="M14" s="27">
        <f>'P&amp;L Schedule'!M50</f>
        <v>750000</v>
      </c>
      <c r="N14" s="27">
        <f>'P&amp;L Schedule'!N50</f>
        <v>750000</v>
      </c>
      <c r="O14" s="10"/>
    </row>
    <row r="15" spans="1:18" x14ac:dyDescent="0.3">
      <c r="B15" s="48" t="s">
        <v>153</v>
      </c>
      <c r="C15" s="27">
        <f>'P&amp;L Schedule'!C60</f>
        <v>747003</v>
      </c>
      <c r="D15" s="27">
        <f>'P&amp;L Schedule'!D60</f>
        <v>376461</v>
      </c>
      <c r="E15" s="27">
        <f>'P&amp;L Schedule'!E60</f>
        <v>401532</v>
      </c>
      <c r="F15" s="27">
        <f>'P&amp;L Schedule'!F60</f>
        <v>495376</v>
      </c>
      <c r="G15" s="27">
        <f>'P&amp;L Schedule'!G60</f>
        <v>453886</v>
      </c>
      <c r="H15" s="27">
        <f>'P&amp;L Schedule'!H60</f>
        <v>389992</v>
      </c>
      <c r="I15" s="27">
        <f>'P&amp;L Schedule'!I60</f>
        <v>425073</v>
      </c>
      <c r="J15" s="27">
        <f>'P&amp;L Schedule'!J60</f>
        <v>480000</v>
      </c>
      <c r="K15" s="27">
        <f>'P&amp;L Schedule'!K60</f>
        <v>480000</v>
      </c>
      <c r="L15" s="27">
        <f>'P&amp;L Schedule'!L60</f>
        <v>480000</v>
      </c>
      <c r="M15" s="27">
        <f>'P&amp;L Schedule'!M60</f>
        <v>480000</v>
      </c>
      <c r="N15" s="27">
        <f>'P&amp;L Schedule'!N60</f>
        <v>480000</v>
      </c>
      <c r="O15" s="10"/>
    </row>
    <row r="16" spans="1:18" x14ac:dyDescent="0.3">
      <c r="B16" s="48" t="s">
        <v>154</v>
      </c>
      <c r="C16" s="27">
        <f>'P&amp;L Schedule'!C68</f>
        <v>24972</v>
      </c>
      <c r="D16" s="27">
        <f>'P&amp;L Schedule'!D68</f>
        <v>42736</v>
      </c>
      <c r="E16" s="27">
        <f>'P&amp;L Schedule'!E68</f>
        <v>55992.72</v>
      </c>
      <c r="F16" s="27">
        <f>'P&amp;L Schedule'!F68</f>
        <v>36261</v>
      </c>
      <c r="G16" s="27">
        <f>'P&amp;L Schedule'!G68</f>
        <v>90499.97</v>
      </c>
      <c r="H16" s="27">
        <f>'P&amp;L Schedule'!H68</f>
        <v>43589.5</v>
      </c>
      <c r="I16" s="27">
        <f>'P&amp;L Schedule'!I68</f>
        <v>29976</v>
      </c>
      <c r="J16" s="27">
        <f>'P&amp;L Schedule'!J68</f>
        <v>45000</v>
      </c>
      <c r="K16" s="27">
        <f>'P&amp;L Schedule'!K68</f>
        <v>45000</v>
      </c>
      <c r="L16" s="27">
        <f>'P&amp;L Schedule'!L68</f>
        <v>45000</v>
      </c>
      <c r="M16" s="27">
        <f>'P&amp;L Schedule'!M68</f>
        <v>45000</v>
      </c>
      <c r="N16" s="27">
        <f>'P&amp;L Schedule'!N68</f>
        <v>45000</v>
      </c>
      <c r="O16" s="10"/>
    </row>
    <row r="17" spans="1:18" x14ac:dyDescent="0.3">
      <c r="B17" s="48" t="s">
        <v>155</v>
      </c>
      <c r="C17" s="27">
        <f>'P&amp;L Schedule'!C77</f>
        <v>66785</v>
      </c>
      <c r="D17" s="27">
        <f>'P&amp;L Schedule'!D77</f>
        <v>88639</v>
      </c>
      <c r="E17" s="27">
        <f>'P&amp;L Schedule'!E77</f>
        <v>228898</v>
      </c>
      <c r="F17" s="27">
        <f>'P&amp;L Schedule'!F77</f>
        <v>169303</v>
      </c>
      <c r="G17" s="27">
        <f>'P&amp;L Schedule'!G77</f>
        <v>233143</v>
      </c>
      <c r="H17" s="27">
        <f>'P&amp;L Schedule'!H77</f>
        <v>131717</v>
      </c>
      <c r="I17" s="27">
        <f>'P&amp;L Schedule'!I77</f>
        <v>54008.75</v>
      </c>
      <c r="J17" s="27">
        <f>'P&amp;L Schedule'!J77</f>
        <v>57356.404657749998</v>
      </c>
      <c r="K17" s="27">
        <f>'P&amp;L Schedule'!K77</f>
        <v>62886.0135343</v>
      </c>
      <c r="L17" s="27">
        <f>'P&amp;L Schedule'!L77</f>
        <v>54109.448568000007</v>
      </c>
      <c r="M17" s="27">
        <f>'P&amp;L Schedule'!M77</f>
        <v>52140.775451050002</v>
      </c>
      <c r="N17" s="27">
        <f>'P&amp;L Schedule'!N77</f>
        <v>46318.024148737495</v>
      </c>
      <c r="O17" s="10"/>
    </row>
    <row r="18" spans="1:18" x14ac:dyDescent="0.3">
      <c r="B18" s="48" t="s">
        <v>132</v>
      </c>
      <c r="C18" s="27">
        <f>'P&amp;L Schedule'!C83</f>
        <v>3445</v>
      </c>
      <c r="D18" s="27">
        <f>'P&amp;L Schedule'!D83</f>
        <v>0</v>
      </c>
      <c r="E18" s="27">
        <f>'P&amp;L Schedule'!E83</f>
        <v>45</v>
      </c>
      <c r="F18" s="27">
        <f>'P&amp;L Schedule'!F83</f>
        <v>45094</v>
      </c>
      <c r="G18" s="27">
        <f>'P&amp;L Schedule'!G83</f>
        <v>16000</v>
      </c>
      <c r="H18" s="27">
        <f>'P&amp;L Schedule'!H83</f>
        <v>16161</v>
      </c>
      <c r="I18" s="27">
        <f>'P&amp;L Schedule'!I83</f>
        <v>8000</v>
      </c>
      <c r="J18" s="27">
        <f>'P&amp;L Schedule'!J83</f>
        <v>15000</v>
      </c>
      <c r="K18" s="27">
        <f>'P&amp;L Schedule'!K83</f>
        <v>15000</v>
      </c>
      <c r="L18" s="27">
        <f>'P&amp;L Schedule'!L83</f>
        <v>15000</v>
      </c>
      <c r="M18" s="27">
        <f>'P&amp;L Schedule'!M83</f>
        <v>15000</v>
      </c>
      <c r="N18" s="27">
        <f>'P&amp;L Schedule'!N83</f>
        <v>15000</v>
      </c>
      <c r="O18" s="10"/>
    </row>
    <row r="19" spans="1:18" x14ac:dyDescent="0.3">
      <c r="B19" s="49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0"/>
    </row>
    <row r="20" spans="1:18" customFormat="1" x14ac:dyDescent="0.3">
      <c r="A20" s="25"/>
      <c r="B20" s="46" t="s">
        <v>156</v>
      </c>
      <c r="C20" s="37">
        <f t="shared" ref="C20:N20" si="3">C10-SUM(C14:C18)</f>
        <v>13687042.439999983</v>
      </c>
      <c r="D20" s="37">
        <f t="shared" si="3"/>
        <v>7511011.1799999997</v>
      </c>
      <c r="E20" s="37">
        <f t="shared" si="3"/>
        <v>6014011.1799999718</v>
      </c>
      <c r="F20" s="37">
        <f t="shared" si="3"/>
        <v>20405709.530000012</v>
      </c>
      <c r="G20" s="37">
        <f t="shared" si="3"/>
        <v>25177178.50999999</v>
      </c>
      <c r="H20" s="37">
        <f>H10-SUM(H14:H18)</f>
        <v>23639653.930000059</v>
      </c>
      <c r="I20" s="37">
        <f t="shared" si="3"/>
        <v>14988434.739999978</v>
      </c>
      <c r="J20" s="37">
        <f t="shared" si="3"/>
        <v>28024749.979992256</v>
      </c>
      <c r="K20" s="37">
        <f t="shared" si="3"/>
        <v>31079565.107045688</v>
      </c>
      <c r="L20" s="37">
        <f t="shared" si="3"/>
        <v>22821559.692231983</v>
      </c>
      <c r="M20" s="37">
        <f t="shared" si="3"/>
        <v>24642324.495178938</v>
      </c>
      <c r="N20" s="37">
        <f t="shared" si="3"/>
        <v>19154496.465093765</v>
      </c>
      <c r="O20" s="38">
        <f>SUM(C20:N20)</f>
        <v>237145737.24954262</v>
      </c>
      <c r="P20" s="25"/>
      <c r="Q20" s="11"/>
      <c r="R20" s="25"/>
    </row>
    <row r="21" spans="1:18" s="11" customFormat="1" x14ac:dyDescent="0.3">
      <c r="A21" s="25"/>
      <c r="B21" s="21" t="s">
        <v>157</v>
      </c>
      <c r="C21" s="40">
        <f t="shared" ref="C21:O21" si="4">C20/C5</f>
        <v>0.44714606965728426</v>
      </c>
      <c r="D21" s="40">
        <f t="shared" si="4"/>
        <v>0.42589165538810564</v>
      </c>
      <c r="E21" s="40">
        <f t="shared" si="4"/>
        <v>0.26881077916240331</v>
      </c>
      <c r="F21" s="40">
        <f t="shared" si="4"/>
        <v>0.61671212786175089</v>
      </c>
      <c r="G21" s="40">
        <f t="shared" si="4"/>
        <v>0.48104683758417094</v>
      </c>
      <c r="H21" s="40">
        <f t="shared" si="4"/>
        <v>0.49894406493286719</v>
      </c>
      <c r="I21" s="40">
        <f t="shared" si="4"/>
        <v>0.33503566039671456</v>
      </c>
      <c r="J21" s="40">
        <f t="shared" si="4"/>
        <v>0.49290401228654285</v>
      </c>
      <c r="K21" s="40">
        <f t="shared" si="4"/>
        <v>0.49818161710169312</v>
      </c>
      <c r="L21" s="40">
        <f t="shared" si="4"/>
        <v>0.42570032525673829</v>
      </c>
      <c r="M21" s="40">
        <f t="shared" si="4"/>
        <v>0.47718734430193172</v>
      </c>
      <c r="N21" s="40">
        <f t="shared" si="4"/>
        <v>0.41805592495462424</v>
      </c>
      <c r="O21" s="41">
        <f t="shared" si="4"/>
        <v>0.45739398645163071</v>
      </c>
      <c r="P21" s="42"/>
    </row>
    <row r="22" spans="1:18" x14ac:dyDescent="0.3">
      <c r="B22" s="4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10"/>
    </row>
    <row r="23" spans="1:18" x14ac:dyDescent="0.3">
      <c r="B23" s="20" t="s">
        <v>158</v>
      </c>
      <c r="C23" s="27">
        <f>'P&amp;L Schedule'!C111</f>
        <v>7390459</v>
      </c>
      <c r="D23" s="27">
        <f>'P&amp;L Schedule'!D111</f>
        <v>8238814</v>
      </c>
      <c r="E23" s="27">
        <f>'P&amp;L Schedule'!E111</f>
        <v>8354607</v>
      </c>
      <c r="F23" s="27">
        <f>'P&amp;L Schedule'!F111</f>
        <v>8390694</v>
      </c>
      <c r="G23" s="27">
        <f>'P&amp;L Schedule'!G111</f>
        <v>8809753</v>
      </c>
      <c r="H23" s="27">
        <f>'P&amp;L Schedule'!H111</f>
        <v>7883400.25</v>
      </c>
      <c r="I23" s="27">
        <f>'P&amp;L Schedule'!I111</f>
        <v>7812555</v>
      </c>
      <c r="J23" s="27">
        <f>'P&amp;L Schedule'!J111</f>
        <v>6689054</v>
      </c>
      <c r="K23" s="27">
        <f>'P&amp;L Schedule'!K111</f>
        <v>6763987</v>
      </c>
      <c r="L23" s="27">
        <f>'P&amp;L Schedule'!L111</f>
        <v>6827009</v>
      </c>
      <c r="M23" s="27">
        <f>'P&amp;L Schedule'!M111</f>
        <v>7404199</v>
      </c>
      <c r="N23" s="27">
        <f>'P&amp;L Schedule'!N111</f>
        <v>7467009</v>
      </c>
      <c r="O23" s="10"/>
    </row>
    <row r="24" spans="1:18" x14ac:dyDescent="0.3">
      <c r="B24" s="4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0"/>
    </row>
    <row r="25" spans="1:18" customFormat="1" x14ac:dyDescent="0.3">
      <c r="A25" s="25"/>
      <c r="B25" s="46" t="s">
        <v>159</v>
      </c>
      <c r="C25" s="37">
        <f>C20-C23</f>
        <v>6296583.4399999827</v>
      </c>
      <c r="D25" s="37">
        <f>D20-D23</f>
        <v>-727802.8200000003</v>
      </c>
      <c r="E25" s="37">
        <f>E20-E23</f>
        <v>-2340595.8200000282</v>
      </c>
      <c r="F25" s="37">
        <f>F20-F23</f>
        <v>12015015.530000012</v>
      </c>
      <c r="G25" s="37">
        <f t="shared" ref="G25:N25" si="5">G20-G23</f>
        <v>16367425.50999999</v>
      </c>
      <c r="H25" s="37">
        <f t="shared" si="5"/>
        <v>15756253.680000059</v>
      </c>
      <c r="I25" s="37">
        <f t="shared" si="5"/>
        <v>7175879.7399999779</v>
      </c>
      <c r="J25" s="37">
        <f t="shared" si="5"/>
        <v>21335695.979992256</v>
      </c>
      <c r="K25" s="37">
        <f t="shared" si="5"/>
        <v>24315578.107045688</v>
      </c>
      <c r="L25" s="37">
        <f t="shared" si="5"/>
        <v>15994550.692231983</v>
      </c>
      <c r="M25" s="37">
        <f t="shared" si="5"/>
        <v>17238125.495178938</v>
      </c>
      <c r="N25" s="37">
        <f t="shared" si="5"/>
        <v>11687487.465093765</v>
      </c>
      <c r="O25" s="38">
        <f>SUM(C25:N25)</f>
        <v>145114196.99954262</v>
      </c>
      <c r="P25" s="25"/>
      <c r="Q25" s="11"/>
      <c r="R25" s="25"/>
    </row>
    <row r="26" spans="1:18" s="11" customFormat="1" x14ac:dyDescent="0.3">
      <c r="A26" s="25"/>
      <c r="B26" s="21" t="s">
        <v>160</v>
      </c>
      <c r="C26" s="40">
        <f t="shared" ref="C26:O26" si="6">C25/C5</f>
        <v>0.20570496144856976</v>
      </c>
      <c r="D26" s="40">
        <f t="shared" si="6"/>
        <v>-4.1268098312953333E-2</v>
      </c>
      <c r="E26" s="40">
        <f t="shared" si="6"/>
        <v>-0.10461859269082284</v>
      </c>
      <c r="F26" s="40">
        <f t="shared" si="6"/>
        <v>0.36312414341214461</v>
      </c>
      <c r="G26" s="40">
        <f t="shared" si="6"/>
        <v>0.31272361507278301</v>
      </c>
      <c r="H26" s="40">
        <f t="shared" si="6"/>
        <v>0.3325551754053388</v>
      </c>
      <c r="I26" s="40">
        <f t="shared" si="6"/>
        <v>0.16040204659945034</v>
      </c>
      <c r="J26" s="40">
        <f t="shared" si="6"/>
        <v>0.37525580642011319</v>
      </c>
      <c r="K26" s="40">
        <f t="shared" si="6"/>
        <v>0.38976008771063592</v>
      </c>
      <c r="L26" s="40">
        <f t="shared" si="6"/>
        <v>0.29835320301688917</v>
      </c>
      <c r="M26" s="40">
        <f t="shared" si="6"/>
        <v>0.33380841679108519</v>
      </c>
      <c r="N26" s="40">
        <f t="shared" si="6"/>
        <v>0.25508492961532064</v>
      </c>
      <c r="O26" s="41">
        <f t="shared" si="6"/>
        <v>0.27988848471901462</v>
      </c>
    </row>
    <row r="27" spans="1:18" x14ac:dyDescent="0.3">
      <c r="B27" s="4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10"/>
    </row>
    <row r="28" spans="1:18" x14ac:dyDescent="0.3">
      <c r="B28" s="20" t="s">
        <v>161</v>
      </c>
      <c r="C28" s="27">
        <f>'P&amp;L Schedule'!C94</f>
        <v>902992</v>
      </c>
      <c r="D28" s="27">
        <f>'P&amp;L Schedule'!D94</f>
        <v>902992</v>
      </c>
      <c r="E28" s="27">
        <f>'P&amp;L Schedule'!E94</f>
        <v>902992</v>
      </c>
      <c r="F28" s="27">
        <f>'P&amp;L Schedule'!F94</f>
        <v>902992</v>
      </c>
      <c r="G28" s="27">
        <f>'P&amp;L Schedule'!G94</f>
        <v>1508044</v>
      </c>
      <c r="H28" s="27">
        <f>'P&amp;L Schedule'!H94</f>
        <v>944252</v>
      </c>
      <c r="I28" s="27">
        <f>'P&amp;L Schedule'!I94</f>
        <v>935052</v>
      </c>
      <c r="J28" s="27">
        <f>'P&amp;L Schedule'!J94</f>
        <v>935000</v>
      </c>
      <c r="K28" s="27">
        <f>'P&amp;L Schedule'!K94</f>
        <v>935000</v>
      </c>
      <c r="L28" s="27">
        <f>'P&amp;L Schedule'!L94</f>
        <v>935000</v>
      </c>
      <c r="M28" s="27">
        <f>'P&amp;L Schedule'!M94</f>
        <v>935000</v>
      </c>
      <c r="N28" s="27">
        <f>'P&amp;L Schedule'!N94</f>
        <v>935000</v>
      </c>
      <c r="O28" s="10"/>
    </row>
    <row r="29" spans="1:18" x14ac:dyDescent="0.3"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10"/>
    </row>
    <row r="30" spans="1:18" customFormat="1" x14ac:dyDescent="0.3">
      <c r="A30" s="25"/>
      <c r="B30" s="46" t="s">
        <v>162</v>
      </c>
      <c r="C30" s="37">
        <f>C25-C28</f>
        <v>5393591.4399999827</v>
      </c>
      <c r="D30" s="37">
        <f>D25-D28</f>
        <v>-1630794.8200000003</v>
      </c>
      <c r="E30" s="37">
        <f>E25-E28</f>
        <v>-3243587.8200000282</v>
      </c>
      <c r="F30" s="37">
        <f>F25-F28</f>
        <v>11112023.530000012</v>
      </c>
      <c r="G30" s="37">
        <f t="shared" ref="G30:N30" si="7">G25-G28</f>
        <v>14859381.50999999</v>
      </c>
      <c r="H30" s="37">
        <f t="shared" si="7"/>
        <v>14812001.680000059</v>
      </c>
      <c r="I30" s="37">
        <f t="shared" si="7"/>
        <v>6240827.7399999779</v>
      </c>
      <c r="J30" s="37">
        <f t="shared" si="7"/>
        <v>20400695.979992256</v>
      </c>
      <c r="K30" s="37">
        <f t="shared" si="7"/>
        <v>23380578.107045688</v>
      </c>
      <c r="L30" s="37">
        <f t="shared" si="7"/>
        <v>15059550.692231983</v>
      </c>
      <c r="M30" s="37">
        <f t="shared" si="7"/>
        <v>16303125.495178938</v>
      </c>
      <c r="N30" s="37">
        <f t="shared" si="7"/>
        <v>10752487.465093765</v>
      </c>
      <c r="O30" s="38">
        <f>SUM(C30:N30)</f>
        <v>133439880.99954262</v>
      </c>
      <c r="P30" s="25"/>
      <c r="Q30" s="43"/>
      <c r="R30" s="25"/>
    </row>
    <row r="31" spans="1:18" s="11" customFormat="1" x14ac:dyDescent="0.3">
      <c r="A31" s="25"/>
      <c r="B31" s="21" t="s">
        <v>163</v>
      </c>
      <c r="C31" s="40">
        <f t="shared" ref="C31:O31" si="8">C30/C5</f>
        <v>0.17620484661353672</v>
      </c>
      <c r="D31" s="40">
        <f t="shared" si="8"/>
        <v>-9.24698271435868E-2</v>
      </c>
      <c r="E31" s="40">
        <f t="shared" si="8"/>
        <v>-0.14498000470559366</v>
      </c>
      <c r="F31" s="40">
        <f t="shared" si="8"/>
        <v>0.33583344239812607</v>
      </c>
      <c r="G31" s="40">
        <f t="shared" si="8"/>
        <v>0.28391022770891894</v>
      </c>
      <c r="H31" s="40">
        <f t="shared" si="8"/>
        <v>0.31262557184193385</v>
      </c>
      <c r="I31" s="40">
        <f t="shared" si="8"/>
        <v>0.1395008804830698</v>
      </c>
      <c r="J31" s="40">
        <f t="shared" si="8"/>
        <v>0.35881086929072065</v>
      </c>
      <c r="K31" s="40">
        <f t="shared" si="8"/>
        <v>0.37477275405954547</v>
      </c>
      <c r="L31" s="40">
        <f t="shared" si="8"/>
        <v>0.28091224764474026</v>
      </c>
      <c r="M31" s="40">
        <f t="shared" si="8"/>
        <v>0.31570256938981445</v>
      </c>
      <c r="N31" s="40">
        <f t="shared" si="8"/>
        <v>0.23467811335967545</v>
      </c>
      <c r="O31" s="41">
        <f t="shared" si="8"/>
        <v>0.2573716897883212</v>
      </c>
      <c r="P31" s="42"/>
      <c r="Q31" s="44"/>
    </row>
    <row r="32" spans="1:18" x14ac:dyDescent="0.3">
      <c r="B32" s="4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10"/>
    </row>
    <row r="33" spans="1:21" s="7" customFormat="1" x14ac:dyDescent="0.3">
      <c r="A33" s="36"/>
      <c r="B33" s="46" t="s">
        <v>164</v>
      </c>
      <c r="C33" s="37">
        <f>SUM(C34:C37)</f>
        <v>6016176</v>
      </c>
      <c r="D33" s="37">
        <f>SUM(D34:D37)</f>
        <v>5746868</v>
      </c>
      <c r="E33" s="37">
        <f>SUM(E34:E37)</f>
        <v>5656116</v>
      </c>
      <c r="F33" s="37">
        <f>SUM(F34:F37)</f>
        <v>5323713</v>
      </c>
      <c r="G33" s="37">
        <f>SUM(G34:G37)</f>
        <v>5437484</v>
      </c>
      <c r="H33" s="36">
        <f t="shared" ref="H33:N33" si="9">SUM(H34:H37)</f>
        <v>4942172</v>
      </c>
      <c r="I33" s="36">
        <f t="shared" si="9"/>
        <v>6345668</v>
      </c>
      <c r="J33" s="36">
        <f t="shared" si="9"/>
        <v>4967510</v>
      </c>
      <c r="K33" s="36">
        <f t="shared" si="9"/>
        <v>4955510</v>
      </c>
      <c r="L33" s="36">
        <f t="shared" si="9"/>
        <v>5026510</v>
      </c>
      <c r="M33" s="36">
        <f t="shared" si="9"/>
        <v>5009510</v>
      </c>
      <c r="N33" s="36">
        <f t="shared" si="9"/>
        <v>5044510</v>
      </c>
      <c r="O33" s="38">
        <f>SUM(C33:N33)</f>
        <v>64471747</v>
      </c>
      <c r="P33" s="36"/>
      <c r="Q33" s="57"/>
      <c r="R33" s="36"/>
    </row>
    <row r="34" spans="1:21" x14ac:dyDescent="0.3">
      <c r="B34" s="48" t="s">
        <v>165</v>
      </c>
      <c r="C34" s="27">
        <f>'P&amp;L Schedule'!C120</f>
        <v>5597418</v>
      </c>
      <c r="D34" s="27">
        <f>'P&amp;L Schedule'!D120</f>
        <v>5427274</v>
      </c>
      <c r="E34" s="27">
        <f>'P&amp;L Schedule'!E120</f>
        <v>5323785</v>
      </c>
      <c r="F34" s="27">
        <f>'P&amp;L Schedule'!F120</f>
        <v>5201778</v>
      </c>
      <c r="G34" s="27">
        <f>'P&amp;L Schedule'!G120</f>
        <v>4846308</v>
      </c>
      <c r="H34" s="27">
        <f>'P&amp;L Schedule'!H120</f>
        <v>4842999</v>
      </c>
      <c r="I34" s="27">
        <f>'P&amp;L Schedule'!I120</f>
        <v>4650541</v>
      </c>
      <c r="J34" s="27">
        <f>'P&amp;L Schedule'!J120</f>
        <v>4515000</v>
      </c>
      <c r="K34" s="27">
        <f>'P&amp;L Schedule'!K120</f>
        <v>4495000</v>
      </c>
      <c r="L34" s="27">
        <f>'P&amp;L Schedule'!L120</f>
        <v>4545000</v>
      </c>
      <c r="M34" s="27">
        <f>'P&amp;L Schedule'!M120</f>
        <v>4495000</v>
      </c>
      <c r="N34" s="27">
        <f>'P&amp;L Schedule'!N120</f>
        <v>4495000</v>
      </c>
      <c r="O34" s="10"/>
    </row>
    <row r="35" spans="1:21" x14ac:dyDescent="0.3">
      <c r="B35" s="48" t="s">
        <v>166</v>
      </c>
      <c r="C35" s="27">
        <f>'P&amp;L Schedule'!C119</f>
        <v>158921</v>
      </c>
      <c r="D35" s="27">
        <f>'P&amp;L Schedule'!D119</f>
        <v>89827</v>
      </c>
      <c r="E35" s="27">
        <f>'P&amp;L Schedule'!E119</f>
        <v>129231</v>
      </c>
      <c r="F35" s="27">
        <f>'P&amp;L Schedule'!F119</f>
        <v>0</v>
      </c>
      <c r="G35" s="27">
        <f>'P&amp;L Schedule'!G119</f>
        <v>243357</v>
      </c>
      <c r="H35" s="27">
        <f>'P&amp;L Schedule'!H119</f>
        <v>36322</v>
      </c>
      <c r="I35" s="27">
        <f>'P&amp;L Schedule'!I119</f>
        <v>710155</v>
      </c>
      <c r="J35" s="27">
        <f>'P&amp;L Schedule'!J119</f>
        <v>50000</v>
      </c>
      <c r="K35" s="27">
        <f>'P&amp;L Schedule'!K119</f>
        <v>40000</v>
      </c>
      <c r="L35" s="27">
        <f>'P&amp;L Schedule'!L119</f>
        <v>55000</v>
      </c>
      <c r="M35" s="27">
        <f>'P&amp;L Schedule'!M119</f>
        <v>80000</v>
      </c>
      <c r="N35" s="27">
        <f>'P&amp;L Schedule'!N119</f>
        <v>100000</v>
      </c>
      <c r="O35" s="10"/>
    </row>
    <row r="36" spans="1:21" x14ac:dyDescent="0.3">
      <c r="B36" s="48" t="s">
        <v>167</v>
      </c>
      <c r="C36" s="27">
        <f>'P&amp;L Schedule'!C118</f>
        <v>157011</v>
      </c>
      <c r="D36" s="27">
        <f>'P&amp;L Schedule'!D118</f>
        <v>152205</v>
      </c>
      <c r="E36" s="27">
        <f>'P&amp;L Schedule'!E118</f>
        <v>135723</v>
      </c>
      <c r="F36" s="27">
        <f>'P&amp;L Schedule'!F118</f>
        <v>30672</v>
      </c>
      <c r="G36" s="27">
        <f>'P&amp;L Schedule'!G118</f>
        <v>295131</v>
      </c>
      <c r="H36" s="27">
        <f>'P&amp;L Schedule'!H118</f>
        <v>96371</v>
      </c>
      <c r="I36" s="27">
        <f>'P&amp;L Schedule'!I118</f>
        <v>848409</v>
      </c>
      <c r="J36" s="27">
        <f>'P&amp;L Schedule'!J118</f>
        <v>62620</v>
      </c>
      <c r="K36" s="27">
        <f>'P&amp;L Schedule'!K118</f>
        <v>70620</v>
      </c>
      <c r="L36" s="27">
        <f>'P&amp;L Schedule'!L118</f>
        <v>75620</v>
      </c>
      <c r="M36" s="27">
        <f>'P&amp;L Schedule'!M118</f>
        <v>80620</v>
      </c>
      <c r="N36" s="27">
        <f>'P&amp;L Schedule'!N118</f>
        <v>90620</v>
      </c>
      <c r="O36" s="10"/>
    </row>
    <row r="37" spans="1:21" x14ac:dyDescent="0.3">
      <c r="B37" s="48" t="s">
        <v>168</v>
      </c>
      <c r="C37" s="27">
        <f>'P&amp;L Schedule'!C117</f>
        <v>102826</v>
      </c>
      <c r="D37" s="27">
        <f>'P&amp;L Schedule'!D117</f>
        <v>77562</v>
      </c>
      <c r="E37" s="27">
        <f>'P&amp;L Schedule'!E117</f>
        <v>67377</v>
      </c>
      <c r="F37" s="27">
        <f>'P&amp;L Schedule'!F117</f>
        <v>91263</v>
      </c>
      <c r="G37" s="27">
        <f>'P&amp;L Schedule'!G117</f>
        <v>52688</v>
      </c>
      <c r="H37" s="27">
        <f>'P&amp;L Schedule'!H117</f>
        <v>-33520</v>
      </c>
      <c r="I37" s="27">
        <f>'P&amp;L Schedule'!I117</f>
        <v>136563</v>
      </c>
      <c r="J37" s="27">
        <f>'P&amp;L Schedule'!J117</f>
        <v>339890</v>
      </c>
      <c r="K37" s="27">
        <f>'P&amp;L Schedule'!K117</f>
        <v>349890</v>
      </c>
      <c r="L37" s="27">
        <f>'P&amp;L Schedule'!L117</f>
        <v>350890</v>
      </c>
      <c r="M37" s="27">
        <f>'P&amp;L Schedule'!M117</f>
        <v>353890</v>
      </c>
      <c r="N37" s="27">
        <f>'P&amp;L Schedule'!N117</f>
        <v>358890</v>
      </c>
      <c r="O37" s="10"/>
    </row>
    <row r="38" spans="1:21" x14ac:dyDescent="0.3">
      <c r="B38" s="4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10"/>
    </row>
    <row r="39" spans="1:21" s="7" customFormat="1" x14ac:dyDescent="0.3">
      <c r="A39" s="36"/>
      <c r="B39" s="46" t="s">
        <v>169</v>
      </c>
      <c r="C39" s="37">
        <f>SUM(C40:C47)</f>
        <v>1967818.08</v>
      </c>
      <c r="D39" s="37">
        <f>SUM(D40:D47)</f>
        <v>2658997.58</v>
      </c>
      <c r="E39" s="37">
        <f>SUM(E40:E47)</f>
        <v>2541958.11</v>
      </c>
      <c r="F39" s="37">
        <f>SUM(F40:F47)</f>
        <v>3133747.94</v>
      </c>
      <c r="G39" s="37">
        <f>SUM(G40:G47)</f>
        <v>2504597.34</v>
      </c>
      <c r="H39" s="37">
        <f t="shared" ref="H39:N39" si="10">SUM(H40:H47)</f>
        <v>2027872.7999999998</v>
      </c>
      <c r="I39" s="37">
        <f t="shared" si="10"/>
        <v>1574389.43</v>
      </c>
      <c r="J39" s="37">
        <f t="shared" si="10"/>
        <v>2008647</v>
      </c>
      <c r="K39" s="37">
        <f t="shared" si="10"/>
        <v>1378647</v>
      </c>
      <c r="L39" s="37">
        <f t="shared" si="10"/>
        <v>1653647</v>
      </c>
      <c r="M39" s="37">
        <f t="shared" si="10"/>
        <v>1283647</v>
      </c>
      <c r="N39" s="37">
        <f t="shared" si="10"/>
        <v>1228647</v>
      </c>
      <c r="O39" s="38">
        <f>SUM(C39:N39)</f>
        <v>23962616.279999997</v>
      </c>
      <c r="P39" s="39"/>
      <c r="Q39" s="39"/>
      <c r="R39" s="39"/>
      <c r="S39" s="39"/>
      <c r="T39" s="39"/>
      <c r="U39" s="39"/>
    </row>
    <row r="40" spans="1:21" x14ac:dyDescent="0.3">
      <c r="B40" s="48" t="s">
        <v>170</v>
      </c>
      <c r="C40" s="27">
        <f>'S&amp;D Exp'!C4</f>
        <v>324561.90999999997</v>
      </c>
      <c r="D40" s="149">
        <f>'S&amp;D Exp'!D4</f>
        <v>1363400.76</v>
      </c>
      <c r="E40" s="149">
        <f>'S&amp;D Exp'!E4</f>
        <v>1233327</v>
      </c>
      <c r="F40" s="149">
        <f>'S&amp;D Exp'!F4</f>
        <v>1132137.7</v>
      </c>
      <c r="G40" s="27">
        <f>'S&amp;D Exp'!G4</f>
        <v>592187.28</v>
      </c>
      <c r="H40" s="27">
        <f>'S&amp;D Exp'!H4</f>
        <v>654104</v>
      </c>
      <c r="I40" s="27">
        <f>'S&amp;D Exp'!I4</f>
        <v>543440.44999999995</v>
      </c>
      <c r="J40" s="27">
        <f>'S&amp;D Exp'!J4</f>
        <v>450000</v>
      </c>
      <c r="K40" s="27">
        <f>'S&amp;D Exp'!K4</f>
        <v>350000</v>
      </c>
      <c r="L40" s="27">
        <f>'S&amp;D Exp'!L4</f>
        <v>350000</v>
      </c>
      <c r="M40" s="27">
        <f>'S&amp;D Exp'!M4</f>
        <v>325000</v>
      </c>
      <c r="N40" s="27">
        <f>'S&amp;D Exp'!N4</f>
        <v>350000</v>
      </c>
      <c r="O40" s="10"/>
    </row>
    <row r="41" spans="1:21" x14ac:dyDescent="0.3">
      <c r="B41" s="48" t="s">
        <v>171</v>
      </c>
      <c r="C41" s="27">
        <f>'S&amp;D Exp'!C14</f>
        <v>90938.17</v>
      </c>
      <c r="D41" s="27">
        <f>'S&amp;D Exp'!D14</f>
        <v>67409</v>
      </c>
      <c r="E41" s="27">
        <f>'S&amp;D Exp'!E14</f>
        <v>117583</v>
      </c>
      <c r="F41" s="27">
        <f>'S&amp;D Exp'!F14</f>
        <v>69763</v>
      </c>
      <c r="G41" s="27">
        <f>'S&amp;D Exp'!G14</f>
        <v>71023.77</v>
      </c>
      <c r="H41" s="27">
        <f>'S&amp;D Exp'!H14</f>
        <v>89956</v>
      </c>
      <c r="I41" s="27">
        <f>'S&amp;D Exp'!I14</f>
        <v>69647</v>
      </c>
      <c r="J41" s="27">
        <f>'S&amp;D Exp'!J14</f>
        <v>69647</v>
      </c>
      <c r="K41" s="27">
        <f>'S&amp;D Exp'!K14</f>
        <v>69647</v>
      </c>
      <c r="L41" s="27">
        <f>'S&amp;D Exp'!L14</f>
        <v>69647</v>
      </c>
      <c r="M41" s="27">
        <f>'S&amp;D Exp'!M14</f>
        <v>69647</v>
      </c>
      <c r="N41" s="27">
        <f>'S&amp;D Exp'!N14</f>
        <v>69647</v>
      </c>
      <c r="O41" s="10"/>
    </row>
    <row r="42" spans="1:21" x14ac:dyDescent="0.3">
      <c r="B42" s="48" t="s">
        <v>172</v>
      </c>
      <c r="C42" s="27">
        <f>'S&amp;D Exp'!C22</f>
        <v>110403</v>
      </c>
      <c r="D42" s="27">
        <f>'S&amp;D Exp'!D22</f>
        <v>50000</v>
      </c>
      <c r="E42" s="27">
        <f>'S&amp;D Exp'!E22</f>
        <v>0</v>
      </c>
      <c r="F42" s="27">
        <f>'S&amp;D Exp'!F22</f>
        <v>111430</v>
      </c>
      <c r="G42" s="27">
        <f>'S&amp;D Exp'!G22</f>
        <v>0</v>
      </c>
      <c r="H42" s="27">
        <f>'S&amp;D Exp'!H22</f>
        <v>0</v>
      </c>
      <c r="I42" s="27">
        <f>'S&amp;D Exp'!I22</f>
        <v>0</v>
      </c>
      <c r="J42" s="27">
        <f>'S&amp;D Exp'!J22</f>
        <v>0</v>
      </c>
      <c r="K42" s="27">
        <f>'S&amp;D Exp'!K22</f>
        <v>0</v>
      </c>
      <c r="L42" s="27">
        <f>'S&amp;D Exp'!L22</f>
        <v>0</v>
      </c>
      <c r="M42" s="27">
        <f>'S&amp;D Exp'!M22</f>
        <v>0</v>
      </c>
      <c r="N42" s="27">
        <f>'S&amp;D Exp'!N22</f>
        <v>0</v>
      </c>
      <c r="O42" s="10"/>
    </row>
    <row r="43" spans="1:21" x14ac:dyDescent="0.3">
      <c r="B43" s="48" t="s">
        <v>173</v>
      </c>
      <c r="C43" s="27">
        <f>'S&amp;D Exp'!C29</f>
        <v>159681</v>
      </c>
      <c r="D43" s="27">
        <f>'S&amp;D Exp'!D29</f>
        <v>519815.82</v>
      </c>
      <c r="E43" s="27">
        <f>'S&amp;D Exp'!E29</f>
        <v>736014.11</v>
      </c>
      <c r="F43" s="27">
        <f>'S&amp;D Exp'!F29</f>
        <v>495036.24</v>
      </c>
      <c r="G43" s="27">
        <f>'S&amp;D Exp'!G29</f>
        <v>898385.28999999992</v>
      </c>
      <c r="H43" s="27">
        <f>'S&amp;D Exp'!H29</f>
        <v>858034.79999999993</v>
      </c>
      <c r="I43" s="27">
        <f>'S&amp;D Exp'!I29</f>
        <v>640443.98</v>
      </c>
      <c r="J43" s="27">
        <f>'S&amp;D Exp'!J29</f>
        <v>712000</v>
      </c>
      <c r="K43" s="27">
        <f>'S&amp;D Exp'!K29</f>
        <v>662000</v>
      </c>
      <c r="L43" s="27">
        <f>'S&amp;D Exp'!L29</f>
        <v>687000</v>
      </c>
      <c r="M43" s="27">
        <f>'S&amp;D Exp'!M29</f>
        <v>662000</v>
      </c>
      <c r="N43" s="27">
        <f>'S&amp;D Exp'!N29</f>
        <v>632000</v>
      </c>
      <c r="O43" s="10"/>
    </row>
    <row r="44" spans="1:21" x14ac:dyDescent="0.3">
      <c r="B44" s="48" t="s">
        <v>174</v>
      </c>
      <c r="C44" s="27">
        <f>'S&amp;D Exp'!C39</f>
        <v>82331</v>
      </c>
      <c r="D44" s="27">
        <f>'S&amp;D Exp'!D39</f>
        <v>579303</v>
      </c>
      <c r="E44" s="27">
        <f>'S&amp;D Exp'!E39</f>
        <v>227792</v>
      </c>
      <c r="F44" s="27">
        <f>'S&amp;D Exp'!F39</f>
        <v>296370</v>
      </c>
      <c r="G44" s="27">
        <f>'S&amp;D Exp'!G39</f>
        <v>172447</v>
      </c>
      <c r="H44" s="27">
        <f>'S&amp;D Exp'!H39</f>
        <v>152985</v>
      </c>
      <c r="I44" s="27">
        <f>'S&amp;D Exp'!I39</f>
        <v>146096</v>
      </c>
      <c r="J44" s="27">
        <f>'S&amp;D Exp'!J39</f>
        <v>175000</v>
      </c>
      <c r="K44" s="27">
        <f>'S&amp;D Exp'!K39</f>
        <v>295000</v>
      </c>
      <c r="L44" s="27">
        <f>'S&amp;D Exp'!L39</f>
        <v>225000</v>
      </c>
      <c r="M44" s="27">
        <f>'S&amp;D Exp'!M39</f>
        <v>225000</v>
      </c>
      <c r="N44" s="27">
        <f>'S&amp;D Exp'!N39</f>
        <v>175000</v>
      </c>
      <c r="O44" s="10"/>
    </row>
    <row r="45" spans="1:21" x14ac:dyDescent="0.3">
      <c r="B45" s="48" t="s">
        <v>175</v>
      </c>
      <c r="C45" s="27">
        <f>'S&amp;D Exp'!C52</f>
        <v>67097</v>
      </c>
      <c r="D45" s="27">
        <f>'S&amp;D Exp'!D52</f>
        <v>79069</v>
      </c>
      <c r="E45" s="27">
        <f>'S&amp;D Exp'!E52</f>
        <v>227242</v>
      </c>
      <c r="F45" s="27">
        <f>'S&amp;D Exp'!F52</f>
        <v>528382</v>
      </c>
      <c r="G45" s="27">
        <f>'S&amp;D Exp'!G52</f>
        <v>770554</v>
      </c>
      <c r="H45" s="27">
        <f>'S&amp;D Exp'!H52</f>
        <v>272793</v>
      </c>
      <c r="I45" s="27">
        <f>'S&amp;D Exp'!I52</f>
        <v>174762</v>
      </c>
      <c r="J45" s="27">
        <f>'S&amp;D Exp'!J52</f>
        <v>0</v>
      </c>
      <c r="K45" s="27">
        <f>'S&amp;D Exp'!K52</f>
        <v>0</v>
      </c>
      <c r="L45" s="27">
        <f>'S&amp;D Exp'!L52</f>
        <v>0</v>
      </c>
      <c r="M45" s="27">
        <f>'S&amp;D Exp'!M52</f>
        <v>0</v>
      </c>
      <c r="N45" s="27">
        <f>'S&amp;D Exp'!N52</f>
        <v>0</v>
      </c>
      <c r="O45" s="10"/>
    </row>
    <row r="46" spans="1:21" x14ac:dyDescent="0.3">
      <c r="B46" s="48" t="s">
        <v>176</v>
      </c>
      <c r="C46" s="149">
        <f>'S&amp;D Exp'!C24</f>
        <v>1132806</v>
      </c>
      <c r="D46" s="27">
        <f>'S&amp;D Exp'!D24</f>
        <v>0</v>
      </c>
      <c r="E46" s="27">
        <f>'S&amp;D Exp'!E24</f>
        <v>0</v>
      </c>
      <c r="F46" s="149">
        <f>'S&amp;D Exp'!F24</f>
        <v>500629</v>
      </c>
      <c r="G46" s="27">
        <f>'S&amp;D Exp'!G24</f>
        <v>0</v>
      </c>
      <c r="H46" s="27">
        <f>'S&amp;D Exp'!H24</f>
        <v>0</v>
      </c>
      <c r="I46" s="27">
        <f>'S&amp;D Exp'!I24</f>
        <v>0</v>
      </c>
      <c r="J46" s="27">
        <f>'S&amp;D Exp'!J24</f>
        <v>602000</v>
      </c>
      <c r="K46" s="27">
        <f>'S&amp;D Exp'!K24</f>
        <v>2000</v>
      </c>
      <c r="L46" s="27">
        <f>'S&amp;D Exp'!L24</f>
        <v>322000</v>
      </c>
      <c r="M46" s="27">
        <f>'S&amp;D Exp'!M24</f>
        <v>2000</v>
      </c>
      <c r="N46" s="27">
        <f>'S&amp;D Exp'!N24</f>
        <v>2000</v>
      </c>
      <c r="O46" s="10"/>
    </row>
    <row r="47" spans="1:21" x14ac:dyDescent="0.3">
      <c r="B47" s="48" t="s">
        <v>177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10"/>
    </row>
    <row r="48" spans="1:21" x14ac:dyDescent="0.3">
      <c r="B48" s="4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10"/>
    </row>
    <row r="49" spans="1:18" s="7" customFormat="1" x14ac:dyDescent="0.3">
      <c r="A49" s="36"/>
      <c r="B49" s="51" t="s">
        <v>178</v>
      </c>
      <c r="C49" s="37">
        <f t="shared" ref="C49:N49" si="11">SUM(C50:C53)</f>
        <v>430649.48</v>
      </c>
      <c r="D49" s="37">
        <f t="shared" si="11"/>
        <v>400192.07999999996</v>
      </c>
      <c r="E49" s="37">
        <f t="shared" si="11"/>
        <v>526442.51</v>
      </c>
      <c r="F49" s="37">
        <f t="shared" si="11"/>
        <v>720525.6</v>
      </c>
      <c r="G49" s="37">
        <f t="shared" si="11"/>
        <v>770242.82000000007</v>
      </c>
      <c r="H49" s="37">
        <f t="shared" si="11"/>
        <v>573759.66</v>
      </c>
      <c r="I49" s="37">
        <f t="shared" si="11"/>
        <v>493552.3</v>
      </c>
      <c r="J49" s="37">
        <f t="shared" si="11"/>
        <v>413000</v>
      </c>
      <c r="K49" s="37">
        <f t="shared" si="11"/>
        <v>433000</v>
      </c>
      <c r="L49" s="37">
        <f t="shared" si="11"/>
        <v>433000</v>
      </c>
      <c r="M49" s="37">
        <f t="shared" si="11"/>
        <v>433000</v>
      </c>
      <c r="N49" s="37">
        <f t="shared" si="11"/>
        <v>433000</v>
      </c>
      <c r="O49" s="38">
        <f>SUM(C49:N49)</f>
        <v>6060364.4500000002</v>
      </c>
      <c r="P49" s="36"/>
      <c r="Q49" s="57"/>
      <c r="R49" s="36"/>
    </row>
    <row r="50" spans="1:18" x14ac:dyDescent="0.3">
      <c r="B50" s="48" t="s">
        <v>179</v>
      </c>
      <c r="C50" s="27">
        <f>'P&amp;L Schedule'!C134</f>
        <v>65440.91</v>
      </c>
      <c r="D50" s="27">
        <f>'P&amp;L Schedule'!D134</f>
        <v>69521.31</v>
      </c>
      <c r="E50" s="27">
        <f>'P&amp;L Schedule'!E134</f>
        <v>120149.07</v>
      </c>
      <c r="F50" s="27">
        <f>'P&amp;L Schedule'!F134</f>
        <v>137454.6</v>
      </c>
      <c r="G50" s="27">
        <f>'P&amp;L Schedule'!G134</f>
        <v>152887</v>
      </c>
      <c r="H50" s="27">
        <f>'P&amp;L Schedule'!H134</f>
        <v>89852</v>
      </c>
      <c r="I50" s="27">
        <f>'P&amp;L Schedule'!I134</f>
        <v>100218</v>
      </c>
      <c r="J50" s="27">
        <f>'P&amp;L Schedule'!J134</f>
        <v>80000</v>
      </c>
      <c r="K50" s="27">
        <f>'P&amp;L Schedule'!K134</f>
        <v>100000</v>
      </c>
      <c r="L50" s="27">
        <f>'P&amp;L Schedule'!L134</f>
        <v>100000</v>
      </c>
      <c r="M50" s="27">
        <f>'P&amp;L Schedule'!M134</f>
        <v>100000</v>
      </c>
      <c r="N50" s="27">
        <f>'P&amp;L Schedule'!N134</f>
        <v>100000</v>
      </c>
      <c r="O50" s="10"/>
    </row>
    <row r="51" spans="1:18" x14ac:dyDescent="0.3">
      <c r="B51" s="48" t="s">
        <v>134</v>
      </c>
      <c r="C51" s="27">
        <f>'P&amp;L Schedule'!C138</f>
        <v>11023.6</v>
      </c>
      <c r="D51" s="27">
        <f>'P&amp;L Schedule'!D138</f>
        <v>13550.74</v>
      </c>
      <c r="E51" s="27">
        <f>'P&amp;L Schedule'!E138</f>
        <v>17594.34</v>
      </c>
      <c r="F51" s="27">
        <f>'P&amp;L Schedule'!F138</f>
        <v>13146</v>
      </c>
      <c r="G51" s="27">
        <f>'P&amp;L Schedule'!G138</f>
        <v>15637.82</v>
      </c>
      <c r="H51" s="27">
        <f>'P&amp;L Schedule'!H138</f>
        <v>14663.66</v>
      </c>
      <c r="I51" s="27">
        <f>'P&amp;L Schedule'!I138</f>
        <v>15923.3</v>
      </c>
      <c r="J51" s="27">
        <f>'P&amp;L Schedule'!J138</f>
        <v>30000</v>
      </c>
      <c r="K51" s="27">
        <f>'P&amp;L Schedule'!K138</f>
        <v>30000</v>
      </c>
      <c r="L51" s="27">
        <f>'P&amp;L Schedule'!L138</f>
        <v>30000</v>
      </c>
      <c r="M51" s="27">
        <f>'P&amp;L Schedule'!M138</f>
        <v>30000</v>
      </c>
      <c r="N51" s="27">
        <f>'P&amp;L Schedule'!N138</f>
        <v>30000</v>
      </c>
      <c r="O51" s="10"/>
    </row>
    <row r="52" spans="1:18" x14ac:dyDescent="0.3">
      <c r="B52" s="48" t="s">
        <v>63</v>
      </c>
      <c r="C52" s="27">
        <f>'P&amp;L Schedule'!C139</f>
        <v>252132.1</v>
      </c>
      <c r="D52" s="27">
        <f>'P&amp;L Schedule'!D139</f>
        <v>148418</v>
      </c>
      <c r="E52" s="27">
        <f>'P&amp;L Schedule'!E139</f>
        <v>226178</v>
      </c>
      <c r="F52" s="27">
        <f>'P&amp;L Schedule'!F139</f>
        <v>386008</v>
      </c>
      <c r="G52" s="27">
        <f>'P&amp;L Schedule'!G139</f>
        <v>467050</v>
      </c>
      <c r="H52" s="27">
        <f>'P&amp;L Schedule'!H139</f>
        <v>284547</v>
      </c>
      <c r="I52" s="27">
        <f>'P&amp;L Schedule'!I139</f>
        <v>238200</v>
      </c>
      <c r="J52" s="27">
        <f>'P&amp;L Schedule'!J139</f>
        <v>153000</v>
      </c>
      <c r="K52" s="27">
        <f>'P&amp;L Schedule'!K139</f>
        <v>153000</v>
      </c>
      <c r="L52" s="27">
        <f>'P&amp;L Schedule'!L139</f>
        <v>153000</v>
      </c>
      <c r="M52" s="27">
        <f>'P&amp;L Schedule'!M139</f>
        <v>153000</v>
      </c>
      <c r="N52" s="27">
        <f>'P&amp;L Schedule'!N139</f>
        <v>153000</v>
      </c>
      <c r="O52" s="10"/>
    </row>
    <row r="53" spans="1:18" x14ac:dyDescent="0.3">
      <c r="B53" s="52" t="s">
        <v>180</v>
      </c>
      <c r="C53" s="27">
        <f>'P&amp;L Schedule'!C140</f>
        <v>102052.87</v>
      </c>
      <c r="D53" s="27">
        <f>'P&amp;L Schedule'!D140</f>
        <v>168702.03</v>
      </c>
      <c r="E53" s="27">
        <f>'P&amp;L Schedule'!E140</f>
        <v>162521.1</v>
      </c>
      <c r="F53" s="27">
        <f>'P&amp;L Schedule'!F140</f>
        <v>183917</v>
      </c>
      <c r="G53" s="27">
        <f>'P&amp;L Schedule'!G140</f>
        <v>134668</v>
      </c>
      <c r="H53" s="27">
        <f>'P&amp;L Schedule'!H140</f>
        <v>184697</v>
      </c>
      <c r="I53" s="27">
        <f>'P&amp;L Schedule'!I140</f>
        <v>139211</v>
      </c>
      <c r="J53" s="27">
        <f>'P&amp;L Schedule'!J140</f>
        <v>150000</v>
      </c>
      <c r="K53" s="27">
        <f>'P&amp;L Schedule'!K140</f>
        <v>150000</v>
      </c>
      <c r="L53" s="27">
        <f>'P&amp;L Schedule'!L140</f>
        <v>150000</v>
      </c>
      <c r="M53" s="27">
        <f>'P&amp;L Schedule'!M140</f>
        <v>150000</v>
      </c>
      <c r="N53" s="27">
        <f>'P&amp;L Schedule'!N140</f>
        <v>150000</v>
      </c>
      <c r="O53" s="10"/>
    </row>
    <row r="54" spans="1:18" x14ac:dyDescent="0.3">
      <c r="B54" s="52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10"/>
    </row>
    <row r="55" spans="1:18" s="7" customFormat="1" x14ac:dyDescent="0.3">
      <c r="A55" s="36"/>
      <c r="B55" s="51" t="s">
        <v>181</v>
      </c>
      <c r="C55" s="37">
        <f>SUM(C56:C58)</f>
        <v>1422969.96</v>
      </c>
      <c r="D55" s="37">
        <f>SUM(D56:D58)</f>
        <v>812782.65999999992</v>
      </c>
      <c r="E55" s="37">
        <f>SUM(E56:E58)</f>
        <v>2258137.2200000002</v>
      </c>
      <c r="F55" s="37">
        <f>SUM(F56:F58)</f>
        <v>3499793.5500000003</v>
      </c>
      <c r="G55" s="37">
        <f>SUM(G56:G58)</f>
        <v>2576636.94</v>
      </c>
      <c r="H55" s="37">
        <f t="shared" ref="H55:N55" si="12">SUM(H56:H58)</f>
        <v>432231.99000000005</v>
      </c>
      <c r="I55" s="37">
        <f t="shared" si="12"/>
        <v>858374.09</v>
      </c>
      <c r="J55" s="37">
        <f t="shared" si="12"/>
        <v>1223300.22</v>
      </c>
      <c r="K55" s="37">
        <f t="shared" si="12"/>
        <v>3103300.22</v>
      </c>
      <c r="L55" s="37">
        <f t="shared" si="12"/>
        <v>3603300.22</v>
      </c>
      <c r="M55" s="37">
        <f t="shared" si="12"/>
        <v>2283300.2200000002</v>
      </c>
      <c r="N55" s="37">
        <f t="shared" si="12"/>
        <v>678300.22</v>
      </c>
      <c r="O55" s="38">
        <f>SUM(C55:N55)</f>
        <v>22752427.509999998</v>
      </c>
      <c r="P55" s="36"/>
      <c r="Q55" s="39"/>
      <c r="R55" s="36"/>
    </row>
    <row r="56" spans="1:18" x14ac:dyDescent="0.3">
      <c r="B56" s="48" t="s">
        <v>182</v>
      </c>
      <c r="C56" s="27">
        <f>'P&amp;L Schedule'!C153</f>
        <v>403300.22000000003</v>
      </c>
      <c r="D56" s="27">
        <f>'P&amp;L Schedule'!D153</f>
        <v>38322.720000000001</v>
      </c>
      <c r="E56" s="27">
        <f>'P&amp;L Schedule'!E153</f>
        <v>273507.27</v>
      </c>
      <c r="F56" s="27">
        <f>'P&amp;L Schedule'!F153</f>
        <v>241962.08000000002</v>
      </c>
      <c r="G56" s="27">
        <f>'P&amp;L Schedule'!G153</f>
        <v>414082.78</v>
      </c>
      <c r="H56" s="27">
        <f>'P&amp;L Schedule'!H153</f>
        <v>192254.54</v>
      </c>
      <c r="I56" s="27">
        <f>'P&amp;L Schedule'!I153</f>
        <v>67603.199999999997</v>
      </c>
      <c r="J56" s="27">
        <f>'P&amp;L Schedule'!J153</f>
        <v>403300.22000000003</v>
      </c>
      <c r="K56" s="27">
        <f>'P&amp;L Schedule'!K153</f>
        <v>403300.22000000003</v>
      </c>
      <c r="L56" s="27">
        <f>'P&amp;L Schedule'!L153</f>
        <v>403300.22000000003</v>
      </c>
      <c r="M56" s="27">
        <f>'P&amp;L Schedule'!M153</f>
        <v>403300.22000000003</v>
      </c>
      <c r="N56" s="27">
        <f>'P&amp;L Schedule'!N153</f>
        <v>403300.22000000003</v>
      </c>
      <c r="O56" s="10"/>
    </row>
    <row r="57" spans="1:18" x14ac:dyDescent="0.3">
      <c r="B57" s="48" t="s">
        <v>183</v>
      </c>
      <c r="C57" s="27">
        <f>'P&amp;L Schedule'!C169</f>
        <v>947340</v>
      </c>
      <c r="D57" s="27">
        <f>'P&amp;L Schedule'!D169</f>
        <v>716500</v>
      </c>
      <c r="E57" s="27">
        <f>'P&amp;L Schedule'!E169</f>
        <v>1967579</v>
      </c>
      <c r="F57" s="27">
        <f>'P&amp;L Schedule'!F169</f>
        <v>3212674</v>
      </c>
      <c r="G57" s="27">
        <f>'P&amp;L Schedule'!G169</f>
        <v>2098389.48</v>
      </c>
      <c r="H57" s="27">
        <f>'P&amp;L Schedule'!H169</f>
        <v>223854</v>
      </c>
      <c r="I57" s="27">
        <f>'P&amp;L Schedule'!I169</f>
        <v>761433</v>
      </c>
      <c r="J57" s="27">
        <f>'P&amp;L Schedule'!J169</f>
        <v>770000</v>
      </c>
      <c r="K57" s="27">
        <f>'P&amp;L Schedule'!K169</f>
        <v>2650000</v>
      </c>
      <c r="L57" s="27">
        <f>'P&amp;L Schedule'!L169</f>
        <v>3150000</v>
      </c>
      <c r="M57" s="27">
        <f>'P&amp;L Schedule'!M169</f>
        <v>1830000</v>
      </c>
      <c r="N57" s="27">
        <f>'P&amp;L Schedule'!N169</f>
        <v>225000</v>
      </c>
      <c r="O57" s="10"/>
    </row>
    <row r="58" spans="1:18" x14ac:dyDescent="0.3">
      <c r="B58" s="48" t="s">
        <v>184</v>
      </c>
      <c r="C58" s="27">
        <f>'P&amp;L Schedule'!C159</f>
        <v>72329.740000000005</v>
      </c>
      <c r="D58" s="27">
        <f>'P&amp;L Schedule'!D159</f>
        <v>57959.94</v>
      </c>
      <c r="E58" s="27">
        <f>'P&amp;L Schedule'!E159</f>
        <v>17050.95</v>
      </c>
      <c r="F58" s="27">
        <f>'P&amp;L Schedule'!F159</f>
        <v>45157.47</v>
      </c>
      <c r="G58" s="27">
        <f>'P&amp;L Schedule'!G159</f>
        <v>64164.68</v>
      </c>
      <c r="H58" s="27">
        <f>'P&amp;L Schedule'!H159</f>
        <v>16123.45</v>
      </c>
      <c r="I58" s="27">
        <f>'P&amp;L Schedule'!I159</f>
        <v>29337.89</v>
      </c>
      <c r="J58" s="27">
        <f>'P&amp;L Schedule'!J159</f>
        <v>50000</v>
      </c>
      <c r="K58" s="27">
        <f>'P&amp;L Schedule'!K159</f>
        <v>50000</v>
      </c>
      <c r="L58" s="27">
        <f>'P&amp;L Schedule'!L159</f>
        <v>50000</v>
      </c>
      <c r="M58" s="27">
        <f>'P&amp;L Schedule'!M159</f>
        <v>50000</v>
      </c>
      <c r="N58" s="27">
        <f>'P&amp;L Schedule'!N159</f>
        <v>50000</v>
      </c>
      <c r="O58" s="10"/>
    </row>
    <row r="59" spans="1:18" x14ac:dyDescent="0.3">
      <c r="B59" s="4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10"/>
    </row>
    <row r="60" spans="1:18" x14ac:dyDescent="0.3">
      <c r="B60" s="51" t="s">
        <v>136</v>
      </c>
      <c r="C60" s="27">
        <f>'P&amp;L Schedule'!C177</f>
        <v>38226</v>
      </c>
      <c r="D60" s="27">
        <f>'P&amp;L Schedule'!D177</f>
        <v>0</v>
      </c>
      <c r="E60" s="27">
        <f>'P&amp;L Schedule'!E177</f>
        <v>0</v>
      </c>
      <c r="F60" s="27">
        <f>'P&amp;L Schedule'!F177</f>
        <v>26952</v>
      </c>
      <c r="G60" s="27">
        <f>'P&amp;L Schedule'!G177</f>
        <v>26753</v>
      </c>
      <c r="H60" s="27">
        <f>'P&amp;L Schedule'!H177</f>
        <v>3908</v>
      </c>
      <c r="I60" s="27">
        <f>'P&amp;L Schedule'!I177</f>
        <v>0</v>
      </c>
      <c r="J60" s="27">
        <f>'P&amp;L Schedule'!J177</f>
        <v>0</v>
      </c>
      <c r="K60" s="27">
        <f>'P&amp;L Schedule'!K177</f>
        <v>0</v>
      </c>
      <c r="L60" s="27">
        <f>'P&amp;L Schedule'!L177</f>
        <v>0</v>
      </c>
      <c r="M60" s="27">
        <f>'P&amp;L Schedule'!M177</f>
        <v>0</v>
      </c>
      <c r="N60" s="27">
        <f>'P&amp;L Schedule'!N177</f>
        <v>0</v>
      </c>
      <c r="O60" s="10"/>
    </row>
    <row r="61" spans="1:18" x14ac:dyDescent="0.3">
      <c r="B61" s="51" t="s">
        <v>185</v>
      </c>
      <c r="C61" s="27">
        <f>'P&amp;L Schedule'!C186</f>
        <v>551367</v>
      </c>
      <c r="D61" s="27">
        <f>'P&amp;L Schedule'!D186</f>
        <v>215513</v>
      </c>
      <c r="E61" s="27">
        <f>'P&amp;L Schedule'!E186</f>
        <v>189107</v>
      </c>
      <c r="F61" s="27">
        <f>'P&amp;L Schedule'!F186</f>
        <v>61670</v>
      </c>
      <c r="G61" s="27">
        <f>'P&amp;L Schedule'!G186</f>
        <v>542733</v>
      </c>
      <c r="H61" s="27">
        <f>'P&amp;L Schedule'!H186</f>
        <v>245000</v>
      </c>
      <c r="I61" s="27">
        <f>'P&amp;L Schedule'!I186</f>
        <v>223000</v>
      </c>
      <c r="J61" s="27">
        <f>'P&amp;L Schedule'!J186</f>
        <v>300000</v>
      </c>
      <c r="K61" s="27">
        <f>'P&amp;L Schedule'!K186</f>
        <v>300000</v>
      </c>
      <c r="L61" s="27">
        <f>'P&amp;L Schedule'!L186</f>
        <v>300000</v>
      </c>
      <c r="M61" s="27">
        <f>'P&amp;L Schedule'!M186</f>
        <v>300000</v>
      </c>
      <c r="N61" s="27">
        <f>'P&amp;L Schedule'!N186</f>
        <v>300000</v>
      </c>
      <c r="O61" s="10"/>
    </row>
    <row r="62" spans="1:18" x14ac:dyDescent="0.3">
      <c r="B62" s="51" t="s">
        <v>49</v>
      </c>
      <c r="C62" s="27">
        <f>'P&amp;L Schedule'!C195</f>
        <v>739592</v>
      </c>
      <c r="D62" s="27">
        <f>'P&amp;L Schedule'!D195</f>
        <v>360321</v>
      </c>
      <c r="E62" s="27">
        <f>'P&amp;L Schedule'!E195</f>
        <v>218946</v>
      </c>
      <c r="F62" s="27">
        <f>'P&amp;L Schedule'!F195</f>
        <v>253692</v>
      </c>
      <c r="G62" s="27">
        <f>'P&amp;L Schedule'!G195</f>
        <v>406861</v>
      </c>
      <c r="H62" s="27">
        <f>'P&amp;L Schedule'!H195</f>
        <v>672488</v>
      </c>
      <c r="I62" s="27">
        <f>'P&amp;L Schedule'!I195</f>
        <v>844251</v>
      </c>
      <c r="J62" s="27">
        <f>'P&amp;L Schedule'!J195</f>
        <v>350000</v>
      </c>
      <c r="K62" s="27">
        <f>'P&amp;L Schedule'!K195</f>
        <v>350000</v>
      </c>
      <c r="L62" s="27">
        <f>'P&amp;L Schedule'!L195</f>
        <v>350000</v>
      </c>
      <c r="M62" s="27">
        <f>'P&amp;L Schedule'!M195</f>
        <v>350000</v>
      </c>
      <c r="N62" s="27">
        <f>'P&amp;L Schedule'!N195</f>
        <v>350000</v>
      </c>
      <c r="O62" s="10"/>
    </row>
    <row r="63" spans="1:18" x14ac:dyDescent="0.3">
      <c r="B63" s="8" t="s">
        <v>186</v>
      </c>
      <c r="C63" s="27">
        <f>'P&amp;L Schedule'!C207</f>
        <v>21156.080000000002</v>
      </c>
      <c r="D63" s="27">
        <f>'P&amp;L Schedule'!D207</f>
        <v>125307.9</v>
      </c>
      <c r="E63" s="27">
        <f>'P&amp;L Schedule'!E207</f>
        <v>68219.91</v>
      </c>
      <c r="F63" s="27">
        <f>'P&amp;L Schedule'!F207</f>
        <v>21094</v>
      </c>
      <c r="G63" s="27">
        <f>'P&amp;L Schedule'!G207</f>
        <v>77081</v>
      </c>
      <c r="H63" s="27">
        <f>'P&amp;L Schedule'!H207</f>
        <v>137366</v>
      </c>
      <c r="I63" s="27">
        <f>'P&amp;L Schedule'!I207</f>
        <v>16256</v>
      </c>
      <c r="J63" s="27">
        <f>'P&amp;L Schedule'!J207</f>
        <v>71000</v>
      </c>
      <c r="K63" s="27">
        <f>'P&amp;L Schedule'!K207</f>
        <v>71000</v>
      </c>
      <c r="L63" s="27">
        <f>'P&amp;L Schedule'!L207</f>
        <v>71000</v>
      </c>
      <c r="M63" s="27">
        <f>'P&amp;L Schedule'!M207</f>
        <v>71000</v>
      </c>
      <c r="N63" s="27">
        <f>'P&amp;L Schedule'!N207</f>
        <v>71000</v>
      </c>
      <c r="O63" s="10"/>
    </row>
    <row r="64" spans="1:18" x14ac:dyDescent="0.3">
      <c r="B64" s="46" t="s">
        <v>187</v>
      </c>
      <c r="C64" s="27">
        <f>'P&amp;L Schedule'!C229-1223</f>
        <v>93680.52</v>
      </c>
      <c r="D64" s="27">
        <f>'P&amp;L Schedule'!D229+3153</f>
        <v>190708.40999999997</v>
      </c>
      <c r="E64" s="27">
        <f>'P&amp;L Schedule'!E229+333</f>
        <v>428448.65</v>
      </c>
      <c r="F64" s="27">
        <f>'P&amp;L Schedule'!F229+10355</f>
        <v>134627.39000000001</v>
      </c>
      <c r="G64" s="27">
        <f>'P&amp;L Schedule'!G229</f>
        <v>220419.93</v>
      </c>
      <c r="H64" s="27">
        <f>'P&amp;L Schedule'!H229+20563</f>
        <v>269356.33</v>
      </c>
      <c r="I64" s="27">
        <f>'P&amp;L Schedule'!I229+29482</f>
        <v>389274.48</v>
      </c>
      <c r="J64" s="27">
        <f>'P&amp;L Schedule'!J229</f>
        <v>198000</v>
      </c>
      <c r="K64" s="27">
        <f>'P&amp;L Schedule'!K229</f>
        <v>198000</v>
      </c>
      <c r="L64" s="27">
        <f>'P&amp;L Schedule'!L229</f>
        <v>198000</v>
      </c>
      <c r="M64" s="27">
        <f>'P&amp;L Schedule'!M229</f>
        <v>198000</v>
      </c>
      <c r="N64" s="27">
        <f>'P&amp;L Schedule'!N229</f>
        <v>198000</v>
      </c>
      <c r="O64" s="10"/>
    </row>
    <row r="65" spans="1:18" x14ac:dyDescent="0.3">
      <c r="B65" s="4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10"/>
    </row>
    <row r="66" spans="1:18" s="7" customFormat="1" x14ac:dyDescent="0.3">
      <c r="A66" s="36"/>
      <c r="B66" s="53" t="s">
        <v>188</v>
      </c>
      <c r="C66" s="37">
        <f t="shared" ref="C66:N66" si="13">C64+C62+C61+C63+C55+C49+C39+C33+C60</f>
        <v>11281635.120000001</v>
      </c>
      <c r="D66" s="37">
        <f t="shared" si="13"/>
        <v>10510690.629999999</v>
      </c>
      <c r="E66" s="37">
        <f t="shared" si="13"/>
        <v>11887375.4</v>
      </c>
      <c r="F66" s="37">
        <f t="shared" si="13"/>
        <v>13175815.48</v>
      </c>
      <c r="G66" s="37">
        <f t="shared" si="13"/>
        <v>12562809.030000001</v>
      </c>
      <c r="H66" s="37">
        <f>H64+H62+H61+H63+H55+H49+H39+H33+H60</f>
        <v>9304154.7799999993</v>
      </c>
      <c r="I66" s="37">
        <f t="shared" si="13"/>
        <v>10744765.300000001</v>
      </c>
      <c r="J66" s="37">
        <f t="shared" si="13"/>
        <v>9531457.2199999988</v>
      </c>
      <c r="K66" s="37">
        <f t="shared" si="13"/>
        <v>10789457.220000001</v>
      </c>
      <c r="L66" s="37">
        <f t="shared" si="13"/>
        <v>11635457.220000001</v>
      </c>
      <c r="M66" s="37">
        <f t="shared" si="13"/>
        <v>9928457.2200000007</v>
      </c>
      <c r="N66" s="37">
        <f t="shared" si="13"/>
        <v>8303457.2199999997</v>
      </c>
      <c r="O66" s="38">
        <f>SUM(C66:N66)</f>
        <v>129655531.83999999</v>
      </c>
      <c r="P66" s="36"/>
      <c r="Q66" s="57"/>
      <c r="R66" s="36"/>
    </row>
    <row r="67" spans="1:18" x14ac:dyDescent="0.3">
      <c r="B67" s="54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10"/>
    </row>
    <row r="68" spans="1:18" x14ac:dyDescent="0.3">
      <c r="B68" s="54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10"/>
    </row>
    <row r="69" spans="1:18" x14ac:dyDescent="0.3">
      <c r="B69" s="54" t="s">
        <v>189</v>
      </c>
      <c r="C69" s="27"/>
      <c r="D69" s="27"/>
      <c r="E69" s="27"/>
      <c r="F69" s="27">
        <v>40.479999999999997</v>
      </c>
      <c r="G69" s="27"/>
      <c r="H69" s="27"/>
      <c r="I69" s="27">
        <v>1017446</v>
      </c>
      <c r="J69" s="27"/>
      <c r="K69" s="27"/>
      <c r="L69" s="27"/>
      <c r="M69" s="27"/>
      <c r="N69" s="27"/>
      <c r="O69" s="10"/>
    </row>
    <row r="70" spans="1:18" x14ac:dyDescent="0.3">
      <c r="B70" s="54" t="s">
        <v>190</v>
      </c>
      <c r="C70" s="27">
        <f>'P&amp;L Schedule'!C235</f>
        <v>400000</v>
      </c>
      <c r="D70" s="27">
        <f>'P&amp;L Schedule'!D235</f>
        <v>400000</v>
      </c>
      <c r="E70" s="27">
        <f>'P&amp;L Schedule'!E235</f>
        <v>400000</v>
      </c>
      <c r="F70" s="27">
        <f>'P&amp;L Schedule'!F235</f>
        <v>400000</v>
      </c>
      <c r="G70" s="27">
        <f>'P&amp;L Schedule'!G235</f>
        <v>400000</v>
      </c>
      <c r="H70" s="27">
        <f>'P&amp;L Schedule'!H235</f>
        <v>400000</v>
      </c>
      <c r="I70" s="27">
        <f>'P&amp;L Schedule'!I235</f>
        <v>400000</v>
      </c>
      <c r="J70" s="27">
        <f>'P&amp;L Schedule'!J235</f>
        <v>400000</v>
      </c>
      <c r="K70" s="27">
        <f>'P&amp;L Schedule'!K235</f>
        <v>400000</v>
      </c>
      <c r="L70" s="27">
        <f>'P&amp;L Schedule'!L235</f>
        <v>400000</v>
      </c>
      <c r="M70" s="27">
        <f>'P&amp;L Schedule'!M235</f>
        <v>400000</v>
      </c>
      <c r="N70" s="27">
        <f>'P&amp;L Schedule'!N235</f>
        <v>400000</v>
      </c>
      <c r="O70" s="10"/>
    </row>
    <row r="71" spans="1:18" x14ac:dyDescent="0.3">
      <c r="B71" s="54" t="s">
        <v>191</v>
      </c>
      <c r="C71" s="27">
        <f>'P&amp;L Schedule'!C248</f>
        <v>1031758.41</v>
      </c>
      <c r="D71" s="27">
        <f>'P&amp;L Schedule'!D248</f>
        <v>1062883.1600000001</v>
      </c>
      <c r="E71" s="27">
        <f>'P&amp;L Schedule'!E248</f>
        <v>1024754.11</v>
      </c>
      <c r="F71" s="27">
        <f>'P&amp;L Schedule'!F248</f>
        <v>1046116.5099999999</v>
      </c>
      <c r="G71" s="27">
        <f>'P&amp;L Schedule'!G248</f>
        <v>1060982.2799999998</v>
      </c>
      <c r="H71" s="27">
        <f>'P&amp;L Schedule'!H248</f>
        <v>1014822.22</v>
      </c>
      <c r="I71" s="27">
        <f>'P&amp;L Schedule'!I248</f>
        <v>1040534.36</v>
      </c>
      <c r="J71" s="27">
        <f>'P&amp;L Schedule'!J248</f>
        <v>1045000</v>
      </c>
      <c r="K71" s="27">
        <f>'P&amp;L Schedule'!K248</f>
        <v>1045000</v>
      </c>
      <c r="L71" s="27">
        <f>'P&amp;L Schedule'!L248</f>
        <v>1045000</v>
      </c>
      <c r="M71" s="27">
        <f>'P&amp;L Schedule'!M248</f>
        <v>1045000</v>
      </c>
      <c r="N71" s="27">
        <f>'P&amp;L Schedule'!N248</f>
        <v>1045000</v>
      </c>
      <c r="O71" s="10"/>
    </row>
    <row r="72" spans="1:18" x14ac:dyDescent="0.3">
      <c r="B72" s="54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10"/>
    </row>
    <row r="73" spans="1:18" s="7" customFormat="1" x14ac:dyDescent="0.3">
      <c r="A73" s="36"/>
      <c r="B73" s="53" t="s">
        <v>192</v>
      </c>
      <c r="C73" s="37">
        <f t="shared" ref="C73:N73" si="14">C30-C66-C70-C71+C69</f>
        <v>-7319802.0900000185</v>
      </c>
      <c r="D73" s="37">
        <f t="shared" si="14"/>
        <v>-13604368.609999999</v>
      </c>
      <c r="E73" s="37">
        <f t="shared" si="14"/>
        <v>-16555717.330000028</v>
      </c>
      <c r="F73" s="37">
        <f t="shared" si="14"/>
        <v>-3509867.9799999879</v>
      </c>
      <c r="G73" s="37">
        <f t="shared" si="14"/>
        <v>835590.19999998948</v>
      </c>
      <c r="H73" s="37">
        <f>H30-H66-H70-H71+H69</f>
        <v>4093024.6800000602</v>
      </c>
      <c r="I73" s="37">
        <f t="shared" si="14"/>
        <v>-4927025.9200000232</v>
      </c>
      <c r="J73" s="37">
        <f t="shared" si="14"/>
        <v>9424238.7599922568</v>
      </c>
      <c r="K73" s="37">
        <f t="shared" si="14"/>
        <v>11146120.887045687</v>
      </c>
      <c r="L73" s="37">
        <f t="shared" si="14"/>
        <v>1979093.4722319823</v>
      </c>
      <c r="M73" s="37">
        <f t="shared" si="14"/>
        <v>4929668.2751789372</v>
      </c>
      <c r="N73" s="37">
        <f t="shared" si="14"/>
        <v>1004030.2450937657</v>
      </c>
      <c r="O73" s="38">
        <f>SUM(C73:N73)</f>
        <v>-12505015.41045738</v>
      </c>
      <c r="P73" s="36"/>
      <c r="Q73" s="57"/>
      <c r="R73" s="36"/>
    </row>
    <row r="74" spans="1:18" x14ac:dyDescent="0.3">
      <c r="B74" s="4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10"/>
    </row>
    <row r="75" spans="1:18" x14ac:dyDescent="0.3">
      <c r="B75" s="47" t="s">
        <v>193</v>
      </c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10"/>
    </row>
    <row r="76" spans="1:18" x14ac:dyDescent="0.3">
      <c r="B76" s="4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10"/>
    </row>
    <row r="77" spans="1:18" x14ac:dyDescent="0.3">
      <c r="B77" s="55" t="s">
        <v>194</v>
      </c>
      <c r="C77" s="2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125"/>
    </row>
    <row r="79" spans="1:18" x14ac:dyDescent="0.3">
      <c r="B79" t="s">
        <v>304</v>
      </c>
      <c r="C79" s="25">
        <f>SUM(C14:C18)+C23+C28+C66+C70+C71</f>
        <v>23175078.530000001</v>
      </c>
      <c r="D79" s="25">
        <f t="shared" ref="D79:N79" si="15">SUM(D14:D18)+D23+D28+D66+D70+D71</f>
        <v>22173157.289999999</v>
      </c>
      <c r="E79" s="25">
        <f t="shared" si="15"/>
        <v>25178092.43</v>
      </c>
      <c r="F79" s="25">
        <f t="shared" si="15"/>
        <v>24819001.990000002</v>
      </c>
      <c r="G79" s="25">
        <f t="shared" si="15"/>
        <v>26031771.280000001</v>
      </c>
      <c r="H79" s="25">
        <f t="shared" si="15"/>
        <v>20602212.75</v>
      </c>
      <c r="I79" s="25">
        <f t="shared" si="15"/>
        <v>22524273.810000002</v>
      </c>
      <c r="J79" s="25">
        <f t="shared" si="15"/>
        <v>19947867.62465775</v>
      </c>
      <c r="K79" s="25">
        <f t="shared" si="15"/>
        <v>21286330.233534299</v>
      </c>
      <c r="L79" s="25">
        <f t="shared" si="15"/>
        <v>22186575.668568</v>
      </c>
      <c r="M79" s="25">
        <f t="shared" si="15"/>
        <v>21054796.995451048</v>
      </c>
      <c r="N79" s="25">
        <f t="shared" si="15"/>
        <v>19486784.244148739</v>
      </c>
    </row>
    <row r="86" spans="2:2" x14ac:dyDescent="0.3">
      <c r="B86" s="56"/>
    </row>
  </sheetData>
  <mergeCells count="5">
    <mergeCell ref="B2:B3"/>
    <mergeCell ref="C2:E2"/>
    <mergeCell ref="F2:H2"/>
    <mergeCell ref="I2:K2"/>
    <mergeCell ref="L2:N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B6C8-6B1C-4B04-BE9B-0D8B0D9EC6F7}">
  <dimension ref="B2:Q81"/>
  <sheetViews>
    <sheetView showGridLines="0" zoomScale="90" zoomScaleNormal="90" workbookViewId="0">
      <selection activeCell="B29" sqref="B29"/>
    </sheetView>
  </sheetViews>
  <sheetFormatPr defaultRowHeight="14.4" x14ac:dyDescent="0.3"/>
  <cols>
    <col min="2" max="2" width="38.5546875" bestFit="1" customWidth="1"/>
    <col min="3" max="3" width="7.5546875" bestFit="1" customWidth="1"/>
    <col min="4" max="15" width="13.5546875" style="25" bestFit="1" customWidth="1"/>
    <col min="16" max="16" width="12.109375" bestFit="1" customWidth="1"/>
    <col min="17" max="17" width="9.77734375" bestFit="1" customWidth="1"/>
    <col min="18" max="18" width="12.5546875" bestFit="1" customWidth="1"/>
    <col min="19" max="19" width="11.5546875" bestFit="1" customWidth="1"/>
  </cols>
  <sheetData>
    <row r="2" spans="2:16" x14ac:dyDescent="0.3">
      <c r="B2" s="2" t="s">
        <v>210</v>
      </c>
      <c r="C2" s="2"/>
    </row>
    <row r="3" spans="2:16" x14ac:dyDescent="0.3">
      <c r="B3" s="106"/>
      <c r="C3" s="106"/>
    </row>
    <row r="5" spans="2:16" x14ac:dyDescent="0.3">
      <c r="B5" s="3" t="s">
        <v>1</v>
      </c>
      <c r="C5" s="59">
        <v>45352</v>
      </c>
      <c r="D5" s="59">
        <v>45383</v>
      </c>
      <c r="E5" s="59">
        <v>45413</v>
      </c>
      <c r="F5" s="59">
        <v>45444</v>
      </c>
      <c r="G5" s="59">
        <v>45474</v>
      </c>
      <c r="H5" s="59">
        <v>45505</v>
      </c>
      <c r="I5" s="59">
        <v>45536</v>
      </c>
      <c r="J5" s="59">
        <v>45566</v>
      </c>
      <c r="K5" s="59">
        <v>45597</v>
      </c>
      <c r="L5" s="59">
        <v>45627</v>
      </c>
      <c r="M5" s="59">
        <v>45658</v>
      </c>
      <c r="N5" s="59">
        <v>45689</v>
      </c>
      <c r="O5" s="59">
        <v>45717</v>
      </c>
    </row>
    <row r="6" spans="2:16" x14ac:dyDescent="0.3">
      <c r="B6" s="107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6" x14ac:dyDescent="0.3">
      <c r="B7" s="108" t="s">
        <v>211</v>
      </c>
      <c r="C7" s="10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x14ac:dyDescent="0.3">
      <c r="B8" s="4" t="s">
        <v>127</v>
      </c>
      <c r="C8" s="4"/>
      <c r="D8" s="10">
        <v>43071441.210000001</v>
      </c>
      <c r="E8" s="10">
        <v>42681583.75</v>
      </c>
      <c r="F8" s="10">
        <v>42117274</v>
      </c>
      <c r="G8" s="10">
        <v>41121093.520000003</v>
      </c>
      <c r="H8" s="10">
        <v>40109423.520000003</v>
      </c>
      <c r="I8" s="10">
        <v>39631686.979999997</v>
      </c>
      <c r="J8" s="10">
        <v>39130106.439999998</v>
      </c>
      <c r="K8" s="10">
        <f>J8</f>
        <v>39130106.439999998</v>
      </c>
      <c r="L8" s="10">
        <f t="shared" ref="L8:O8" si="0">K8</f>
        <v>39130106.439999998</v>
      </c>
      <c r="M8" s="10">
        <f t="shared" si="0"/>
        <v>39130106.439999998</v>
      </c>
      <c r="N8" s="10">
        <f t="shared" si="0"/>
        <v>39130106.439999998</v>
      </c>
      <c r="O8" s="10">
        <f t="shared" si="0"/>
        <v>39130106.439999998</v>
      </c>
      <c r="P8" s="105"/>
    </row>
    <row r="9" spans="2:16" x14ac:dyDescent="0.3">
      <c r="B9" s="4" t="s">
        <v>128</v>
      </c>
      <c r="C9" s="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5"/>
    </row>
    <row r="10" spans="2:16" x14ac:dyDescent="0.3">
      <c r="B10" s="4" t="s">
        <v>129</v>
      </c>
      <c r="C10" s="4"/>
      <c r="D10" s="10"/>
      <c r="E10" s="10">
        <f>SUM(D10:D11)</f>
        <v>-7319802.0900000185</v>
      </c>
      <c r="F10" s="10">
        <f>SUM(E10:E11)</f>
        <v>-20924170.700000018</v>
      </c>
      <c r="G10" s="10">
        <f>SUM(F10:F11)</f>
        <v>-37479888.030000046</v>
      </c>
      <c r="H10" s="10">
        <f>SUM(G10:G11)</f>
        <v>-40989756.010000035</v>
      </c>
      <c r="I10" s="10">
        <f>SUM(H10:H11)+18</f>
        <v>-40154147.810000047</v>
      </c>
      <c r="J10" s="10">
        <f t="shared" ref="J10" si="1">SUM(I10:I11)</f>
        <v>-36061123.129999988</v>
      </c>
      <c r="K10" s="10">
        <f t="shared" ref="K10" si="2">SUM(J10:J11)</f>
        <v>-40988149.050000012</v>
      </c>
      <c r="L10" s="10">
        <f t="shared" ref="L10" si="3">SUM(K10:K11)</f>
        <v>-31563910.290007755</v>
      </c>
      <c r="M10" s="10">
        <f t="shared" ref="M10" si="4">SUM(L10:L11)</f>
        <v>-20417789.402962066</v>
      </c>
      <c r="N10" s="10">
        <f t="shared" ref="N10" si="5">SUM(M10:M11)</f>
        <v>-18438695.930730082</v>
      </c>
      <c r="O10" s="10">
        <f t="shared" ref="O10" si="6">SUM(N10:N11)</f>
        <v>-13509027.655551145</v>
      </c>
      <c r="P10" s="105"/>
    </row>
    <row r="11" spans="2:16" x14ac:dyDescent="0.3">
      <c r="B11" s="4" t="s">
        <v>130</v>
      </c>
      <c r="C11" s="4"/>
      <c r="D11" s="10">
        <f>'P&amp;L'!C73</f>
        <v>-7319802.0900000185</v>
      </c>
      <c r="E11" s="10">
        <f>'P&amp;L'!D73</f>
        <v>-13604368.609999999</v>
      </c>
      <c r="F11" s="10">
        <f>'P&amp;L'!E73</f>
        <v>-16555717.330000028</v>
      </c>
      <c r="G11" s="10">
        <f>'P&amp;L'!F73</f>
        <v>-3509867.9799999879</v>
      </c>
      <c r="H11" s="10">
        <f>'P&amp;L'!G73</f>
        <v>835590.19999998948</v>
      </c>
      <c r="I11" s="10">
        <f>'P&amp;L'!H73</f>
        <v>4093024.6800000602</v>
      </c>
      <c r="J11" s="10">
        <f>'P&amp;L'!I73</f>
        <v>-4927025.9200000232</v>
      </c>
      <c r="K11" s="10">
        <f>'P&amp;L'!J73</f>
        <v>9424238.7599922568</v>
      </c>
      <c r="L11" s="10">
        <f>'P&amp;L'!K73</f>
        <v>11146120.887045687</v>
      </c>
      <c r="M11" s="10">
        <f>'P&amp;L'!L73</f>
        <v>1979093.4722319823</v>
      </c>
      <c r="N11" s="10">
        <f>'P&amp;L'!M73</f>
        <v>4929668.2751789372</v>
      </c>
      <c r="O11" s="10">
        <f>'P&amp;L'!N73</f>
        <v>1004030.2450937657</v>
      </c>
      <c r="P11" s="105"/>
    </row>
    <row r="12" spans="2:16" x14ac:dyDescent="0.3">
      <c r="B12" s="4" t="s">
        <v>131</v>
      </c>
      <c r="C12" s="4"/>
      <c r="D12" s="10">
        <v>18885310</v>
      </c>
      <c r="E12" s="10">
        <v>18885310</v>
      </c>
      <c r="F12" s="10">
        <v>18885310</v>
      </c>
      <c r="G12" s="10">
        <v>18885310</v>
      </c>
      <c r="H12" s="10">
        <v>18885310</v>
      </c>
      <c r="I12" s="10">
        <f>18885310</f>
        <v>18885310</v>
      </c>
      <c r="J12" s="10">
        <f>18885310</f>
        <v>18885310</v>
      </c>
      <c r="K12" s="10">
        <f t="shared" ref="K12:O12" si="7">18885310</f>
        <v>18885310</v>
      </c>
      <c r="L12" s="10">
        <f t="shared" si="7"/>
        <v>18885310</v>
      </c>
      <c r="M12" s="10">
        <f t="shared" si="7"/>
        <v>18885310</v>
      </c>
      <c r="N12" s="10">
        <f t="shared" si="7"/>
        <v>18885310</v>
      </c>
      <c r="O12" s="10">
        <f t="shared" si="7"/>
        <v>18885310</v>
      </c>
      <c r="P12" s="105"/>
    </row>
    <row r="13" spans="2:16" x14ac:dyDescent="0.3">
      <c r="B13" s="4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5"/>
    </row>
    <row r="14" spans="2:16" x14ac:dyDescent="0.3">
      <c r="B14" s="4"/>
      <c r="C14" s="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5"/>
    </row>
    <row r="15" spans="2:16" x14ac:dyDescent="0.3">
      <c r="B15" s="109" t="s">
        <v>212</v>
      </c>
      <c r="C15" s="10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5"/>
    </row>
    <row r="16" spans="2:16" x14ac:dyDescent="0.3">
      <c r="B16" s="4" t="s">
        <v>213</v>
      </c>
      <c r="C16" s="4"/>
      <c r="D16" s="10">
        <f t="shared" ref="D16:J16" si="8">SUM(D17:D18)</f>
        <v>189563099.28999999</v>
      </c>
      <c r="E16" s="10">
        <f t="shared" si="8"/>
        <v>192782777.94999999</v>
      </c>
      <c r="F16" s="10">
        <f t="shared" si="8"/>
        <v>195741166.23999998</v>
      </c>
      <c r="G16" s="10">
        <f t="shared" si="8"/>
        <v>196675119.38</v>
      </c>
      <c r="H16" s="10">
        <f t="shared" si="8"/>
        <v>198854789.74000001</v>
      </c>
      <c r="I16" s="10">
        <f t="shared" si="8"/>
        <v>195245585.05000001</v>
      </c>
      <c r="J16" s="10">
        <f t="shared" si="8"/>
        <v>195323002.46000001</v>
      </c>
      <c r="K16" s="10">
        <f t="shared" ref="K16:O16" si="9">SUM(K17:K18)</f>
        <v>195123002.46000001</v>
      </c>
      <c r="L16" s="10">
        <f t="shared" si="9"/>
        <v>194923002.46000001</v>
      </c>
      <c r="M16" s="10">
        <f t="shared" si="9"/>
        <v>194723002.46000001</v>
      </c>
      <c r="N16" s="10">
        <f t="shared" si="9"/>
        <v>194523002.46000001</v>
      </c>
      <c r="O16" s="10">
        <f t="shared" si="9"/>
        <v>194323002.46000001</v>
      </c>
      <c r="P16" s="105"/>
    </row>
    <row r="17" spans="2:16" x14ac:dyDescent="0.3">
      <c r="B17" s="4" t="s">
        <v>214</v>
      </c>
      <c r="C17" s="4"/>
      <c r="D17" s="10">
        <v>6664358.9500000002</v>
      </c>
      <c r="E17" s="10">
        <v>6041939.4699999997</v>
      </c>
      <c r="F17" s="10">
        <v>5419206.7599999998</v>
      </c>
      <c r="G17" s="10">
        <v>4796158.4400000004</v>
      </c>
      <c r="H17" s="10">
        <v>4656125.8</v>
      </c>
      <c r="I17" s="10">
        <v>4515773.1100000003</v>
      </c>
      <c r="J17" s="10">
        <v>4375098.0599999996</v>
      </c>
      <c r="K17" s="10">
        <f>J17-200000</f>
        <v>4175098.0599999996</v>
      </c>
      <c r="L17" s="10">
        <f t="shared" ref="L17:O17" si="10">K17-200000</f>
        <v>3975098.0599999996</v>
      </c>
      <c r="M17" s="10">
        <f t="shared" si="10"/>
        <v>3775098.0599999996</v>
      </c>
      <c r="N17" s="10">
        <f t="shared" si="10"/>
        <v>3575098.0599999996</v>
      </c>
      <c r="O17" s="10">
        <f t="shared" si="10"/>
        <v>3375098.0599999996</v>
      </c>
      <c r="P17" s="105"/>
    </row>
    <row r="18" spans="2:16" x14ac:dyDescent="0.3">
      <c r="B18" s="4" t="s">
        <v>215</v>
      </c>
      <c r="C18" s="4"/>
      <c r="D18" s="10">
        <v>182898740.34</v>
      </c>
      <c r="E18" s="10">
        <v>186740838.47999999</v>
      </c>
      <c r="F18" s="10">
        <v>190321959.47999999</v>
      </c>
      <c r="G18" s="10">
        <v>191878960.94</v>
      </c>
      <c r="H18" s="10">
        <f>194201611.94-2948</f>
        <v>194198663.94</v>
      </c>
      <c r="I18" s="10">
        <f>190732759.94-2948</f>
        <v>190729811.94</v>
      </c>
      <c r="J18" s="10">
        <f>190950852.4-2948</f>
        <v>190947904.40000001</v>
      </c>
      <c r="K18" s="10">
        <f t="shared" ref="K18:O18" si="11">190950852.4-2948</f>
        <v>190947904.40000001</v>
      </c>
      <c r="L18" s="10">
        <f t="shared" si="11"/>
        <v>190947904.40000001</v>
      </c>
      <c r="M18" s="10">
        <f t="shared" si="11"/>
        <v>190947904.40000001</v>
      </c>
      <c r="N18" s="10">
        <f t="shared" si="11"/>
        <v>190947904.40000001</v>
      </c>
      <c r="O18" s="10">
        <f t="shared" si="11"/>
        <v>190947904.40000001</v>
      </c>
      <c r="P18" s="105"/>
    </row>
    <row r="19" spans="2:16" x14ac:dyDescent="0.3">
      <c r="B19" s="4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5"/>
    </row>
    <row r="20" spans="2:16" x14ac:dyDescent="0.3">
      <c r="B20" s="109" t="s">
        <v>216</v>
      </c>
      <c r="C20" s="10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5"/>
    </row>
    <row r="21" spans="2:16" x14ac:dyDescent="0.3">
      <c r="B21" s="4" t="s">
        <v>217</v>
      </c>
      <c r="C21" s="4"/>
      <c r="D21" s="10">
        <v>92428289.709999993</v>
      </c>
      <c r="E21" s="10">
        <v>92702773.829999998</v>
      </c>
      <c r="F21" s="10">
        <v>93789852.840000004</v>
      </c>
      <c r="G21" s="10">
        <v>93175836.280000001</v>
      </c>
      <c r="H21" s="10">
        <v>95080630.670000002</v>
      </c>
      <c r="I21" s="10">
        <v>101768745.75</v>
      </c>
      <c r="J21" s="10">
        <v>104444266.66</v>
      </c>
      <c r="K21" s="10">
        <v>100000000</v>
      </c>
      <c r="L21" s="10">
        <v>100000000</v>
      </c>
      <c r="M21" s="10">
        <v>100000000</v>
      </c>
      <c r="N21" s="10">
        <v>100000000</v>
      </c>
      <c r="O21" s="10">
        <v>100000000</v>
      </c>
      <c r="P21" s="105"/>
    </row>
    <row r="22" spans="2:16" x14ac:dyDescent="0.3">
      <c r="B22" s="4" t="s">
        <v>218</v>
      </c>
      <c r="C22" s="4"/>
      <c r="D22" s="10"/>
      <c r="E22" s="10"/>
      <c r="F22" s="10"/>
      <c r="G22" s="10"/>
      <c r="H22" s="10"/>
      <c r="I22" s="10"/>
      <c r="J22" s="10"/>
      <c r="K22" s="10">
        <f>K62-(K8+K10+K11+K12+K16+K21+K23+SUM(K26:K29))</f>
        <v>-19282275.649992287</v>
      </c>
      <c r="L22" s="10">
        <f t="shared" ref="L22:O22" si="12">L62-(L8+L10+L11+L12+L16+L21+L23+SUM(L26:L29))</f>
        <v>-35727553.537037969</v>
      </c>
      <c r="M22" s="10">
        <f t="shared" si="12"/>
        <v>-46006647.009269953</v>
      </c>
      <c r="N22" s="10">
        <f t="shared" si="12"/>
        <v>-56236315.284448922</v>
      </c>
      <c r="O22" s="10">
        <f t="shared" si="12"/>
        <v>-64540345.529542625</v>
      </c>
      <c r="P22" s="105"/>
    </row>
    <row r="23" spans="2:16" x14ac:dyDescent="0.3">
      <c r="B23" s="4" t="s">
        <v>219</v>
      </c>
      <c r="C23" s="4"/>
      <c r="D23" s="10">
        <v>83433211.680000007</v>
      </c>
      <c r="E23" s="10">
        <v>85452410.629999995</v>
      </c>
      <c r="F23" s="10">
        <v>85346301.769999996</v>
      </c>
      <c r="G23" s="10">
        <v>82237780.620000005</v>
      </c>
      <c r="H23" s="10">
        <v>93430959.989999995</v>
      </c>
      <c r="I23" s="10">
        <v>93651644.060000002</v>
      </c>
      <c r="J23" s="10">
        <v>93510624.599999994</v>
      </c>
      <c r="K23" s="10">
        <v>85000000</v>
      </c>
      <c r="L23" s="10">
        <v>85000000</v>
      </c>
      <c r="M23" s="10">
        <v>85000000</v>
      </c>
      <c r="N23" s="10">
        <v>85000000</v>
      </c>
      <c r="O23" s="10">
        <v>85000000</v>
      </c>
      <c r="P23" s="105"/>
    </row>
    <row r="24" spans="2:16" x14ac:dyDescent="0.3">
      <c r="B24" s="4" t="s">
        <v>220</v>
      </c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5"/>
    </row>
    <row r="25" spans="2:16" x14ac:dyDescent="0.3">
      <c r="B25" s="4" t="s">
        <v>221</v>
      </c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5"/>
    </row>
    <row r="26" spans="2:16" x14ac:dyDescent="0.3">
      <c r="B26" s="4" t="s">
        <v>222</v>
      </c>
      <c r="C26" s="4"/>
      <c r="D26" s="10">
        <v>7776434.1600000001</v>
      </c>
      <c r="E26" s="10">
        <v>2454353.4700000002</v>
      </c>
      <c r="F26" s="10">
        <v>1716680.3</v>
      </c>
      <c r="G26" s="10">
        <v>4271179.3899999997</v>
      </c>
      <c r="H26" s="10">
        <v>6186512.3300000001</v>
      </c>
      <c r="I26" s="10">
        <v>8403147.8699999992</v>
      </c>
      <c r="J26" s="10">
        <v>10634526.939999999</v>
      </c>
      <c r="K26" s="10">
        <v>5000000</v>
      </c>
      <c r="L26" s="10">
        <v>5000000</v>
      </c>
      <c r="M26" s="10">
        <v>5000000</v>
      </c>
      <c r="N26" s="10">
        <v>5000000</v>
      </c>
      <c r="O26" s="10">
        <v>5000000</v>
      </c>
      <c r="P26" s="105"/>
    </row>
    <row r="27" spans="2:16" x14ac:dyDescent="0.3">
      <c r="B27" s="4" t="s">
        <v>223</v>
      </c>
      <c r="C27" s="4"/>
      <c r="D27" s="10"/>
      <c r="E27" s="10"/>
      <c r="F27" s="10">
        <v>399710</v>
      </c>
      <c r="G27" s="10">
        <v>319703</v>
      </c>
      <c r="H27" s="10">
        <v>319703</v>
      </c>
      <c r="I27" s="10">
        <v>319703</v>
      </c>
      <c r="J27" s="10">
        <v>319703</v>
      </c>
      <c r="K27" s="10">
        <v>319703</v>
      </c>
      <c r="L27" s="10">
        <v>319703</v>
      </c>
      <c r="M27" s="10">
        <v>319703</v>
      </c>
      <c r="N27" s="10">
        <v>319703</v>
      </c>
      <c r="O27" s="10">
        <v>319703</v>
      </c>
      <c r="P27" s="105"/>
    </row>
    <row r="28" spans="2:16" x14ac:dyDescent="0.3">
      <c r="B28" s="4" t="s">
        <v>224</v>
      </c>
      <c r="C28" s="4"/>
      <c r="D28" s="10">
        <v>2804859</v>
      </c>
      <c r="E28" s="10">
        <v>2804859</v>
      </c>
      <c r="F28" s="10">
        <v>2804859</v>
      </c>
      <c r="G28" s="10">
        <v>2804859</v>
      </c>
      <c r="H28" s="10">
        <v>2726552</v>
      </c>
      <c r="I28" s="10">
        <v>2726552</v>
      </c>
      <c r="J28" s="10">
        <f>2726552+57.14</f>
        <v>2726609.14</v>
      </c>
      <c r="K28" s="10">
        <f t="shared" ref="K28:O28" si="13">2726552+57.14</f>
        <v>2726609.14</v>
      </c>
      <c r="L28" s="10">
        <f t="shared" si="13"/>
        <v>2726609.14</v>
      </c>
      <c r="M28" s="10">
        <f t="shared" si="13"/>
        <v>2726609.14</v>
      </c>
      <c r="N28" s="10">
        <f t="shared" si="13"/>
        <v>2726609.14</v>
      </c>
      <c r="O28" s="10">
        <f t="shared" si="13"/>
        <v>2726609.14</v>
      </c>
      <c r="P28" s="105"/>
    </row>
    <row r="29" spans="2:16" x14ac:dyDescent="0.3">
      <c r="B29" s="4" t="s">
        <v>225</v>
      </c>
      <c r="C29" s="4"/>
      <c r="D29" s="10">
        <v>9428098.8599999994</v>
      </c>
      <c r="E29" s="10">
        <v>10544684.859999999</v>
      </c>
      <c r="F29" s="10">
        <v>9958998.8599999994</v>
      </c>
      <c r="G29" s="10">
        <v>12191188.859999999</v>
      </c>
      <c r="H29" s="10">
        <v>11198585.4</v>
      </c>
      <c r="I29" s="10">
        <v>11302696.07</v>
      </c>
      <c r="J29" s="10">
        <v>12261403.4</v>
      </c>
      <c r="K29" s="10">
        <v>12261403.4</v>
      </c>
      <c r="L29" s="10">
        <v>12261403.4</v>
      </c>
      <c r="M29" s="10">
        <v>12261403.4</v>
      </c>
      <c r="N29" s="10">
        <v>12261403.4</v>
      </c>
      <c r="O29" s="10">
        <v>12261403.4</v>
      </c>
      <c r="P29" s="105"/>
    </row>
    <row r="30" spans="2:16" x14ac:dyDescent="0.3">
      <c r="B30" s="4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5"/>
    </row>
    <row r="31" spans="2:16" x14ac:dyDescent="0.3">
      <c r="B31" s="4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5"/>
    </row>
    <row r="32" spans="2:16" x14ac:dyDescent="0.3">
      <c r="B32" s="8" t="s">
        <v>226</v>
      </c>
      <c r="C32" s="8"/>
      <c r="D32" s="110">
        <f>SUM(D6:D30)-D16</f>
        <v>440070941.81999993</v>
      </c>
      <c r="E32" s="110">
        <f t="shared" ref="E32:O32" si="14">SUM(E6:E30)-E16</f>
        <v>427384582.7899999</v>
      </c>
      <c r="F32" s="110">
        <f t="shared" si="14"/>
        <v>413280264.9799999</v>
      </c>
      <c r="G32" s="110">
        <f t="shared" si="14"/>
        <v>410692314.03999996</v>
      </c>
      <c r="H32" s="110">
        <f t="shared" si="14"/>
        <v>426638300.83999991</v>
      </c>
      <c r="I32" s="110">
        <f t="shared" si="14"/>
        <v>435873947.65000004</v>
      </c>
      <c r="J32" s="110">
        <f t="shared" si="14"/>
        <v>436247403.59000003</v>
      </c>
      <c r="K32" s="110">
        <f t="shared" si="14"/>
        <v>407599948.5</v>
      </c>
      <c r="L32" s="110">
        <f t="shared" si="14"/>
        <v>402100791.49999988</v>
      </c>
      <c r="M32" s="110">
        <f t="shared" si="14"/>
        <v>393600791.49999988</v>
      </c>
      <c r="N32" s="110">
        <f t="shared" si="14"/>
        <v>388100791.49999988</v>
      </c>
      <c r="O32" s="110">
        <f t="shared" si="14"/>
        <v>380600791.5</v>
      </c>
      <c r="P32" s="105"/>
    </row>
    <row r="33" spans="2:17" x14ac:dyDescent="0.3">
      <c r="B33" s="4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5"/>
    </row>
    <row r="34" spans="2:17" x14ac:dyDescent="0.3">
      <c r="B34" s="108" t="s">
        <v>227</v>
      </c>
      <c r="C34" s="108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5"/>
    </row>
    <row r="35" spans="2:17" x14ac:dyDescent="0.3">
      <c r="B35" s="109" t="s">
        <v>228</v>
      </c>
      <c r="C35" s="10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5"/>
    </row>
    <row r="36" spans="2:17" x14ac:dyDescent="0.3">
      <c r="B36" s="4" t="s">
        <v>229</v>
      </c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5"/>
    </row>
    <row r="37" spans="2:17" x14ac:dyDescent="0.3">
      <c r="B37" s="4" t="s">
        <v>230</v>
      </c>
      <c r="C37" s="4"/>
      <c r="D37" s="10">
        <v>34874419.369999997</v>
      </c>
      <c r="E37" s="10">
        <v>34961574.369999997</v>
      </c>
      <c r="F37" s="10">
        <v>34961574.369999997</v>
      </c>
      <c r="G37" s="111">
        <v>34966674.369999997</v>
      </c>
      <c r="H37" s="10">
        <v>34983509.369999997</v>
      </c>
      <c r="I37" s="10">
        <v>34989689.369999997</v>
      </c>
      <c r="J37" s="10">
        <v>35158691.369999997</v>
      </c>
      <c r="K37" s="10">
        <v>35158691.369999997</v>
      </c>
      <c r="L37" s="10">
        <v>35158691.369999997</v>
      </c>
      <c r="M37" s="10">
        <v>35158691.369999997</v>
      </c>
      <c r="N37" s="10">
        <v>35158691.369999997</v>
      </c>
      <c r="O37" s="10">
        <v>35158691.369999997</v>
      </c>
      <c r="P37" s="105"/>
      <c r="Q37" s="105"/>
    </row>
    <row r="38" spans="2:17" x14ac:dyDescent="0.3">
      <c r="B38" s="4" t="s">
        <v>231</v>
      </c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5"/>
    </row>
    <row r="39" spans="2:17" x14ac:dyDescent="0.3">
      <c r="B39" s="4" t="s">
        <v>232</v>
      </c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5"/>
    </row>
    <row r="40" spans="2:17" x14ac:dyDescent="0.3">
      <c r="B40" s="4" t="s">
        <v>233</v>
      </c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5"/>
    </row>
    <row r="41" spans="2:17" x14ac:dyDescent="0.3">
      <c r="B41" s="4" t="s">
        <v>234</v>
      </c>
      <c r="C41" s="4"/>
      <c r="D41" s="10">
        <v>15520776.5</v>
      </c>
      <c r="E41" s="10">
        <v>15520776.5</v>
      </c>
      <c r="F41" s="10">
        <v>15520776.5</v>
      </c>
      <c r="G41" s="10">
        <v>16832907.5</v>
      </c>
      <c r="H41" s="10">
        <v>16832907.5</v>
      </c>
      <c r="I41" s="10">
        <v>16832907.5</v>
      </c>
      <c r="J41" s="10">
        <f>I41-500000</f>
        <v>16332907.5</v>
      </c>
      <c r="K41" s="10">
        <f t="shared" ref="K41:O41" si="15">J41-500000</f>
        <v>15832907.5</v>
      </c>
      <c r="L41" s="10">
        <f t="shared" si="15"/>
        <v>15332907.5</v>
      </c>
      <c r="M41" s="10">
        <f t="shared" si="15"/>
        <v>14832907.5</v>
      </c>
      <c r="N41" s="10">
        <f t="shared" si="15"/>
        <v>14332907.5</v>
      </c>
      <c r="O41" s="10">
        <f t="shared" si="15"/>
        <v>13832907.5</v>
      </c>
      <c r="P41" s="105"/>
    </row>
    <row r="42" spans="2:17" x14ac:dyDescent="0.3">
      <c r="B42" s="4" t="s">
        <v>235</v>
      </c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5"/>
    </row>
    <row r="43" spans="2:17" x14ac:dyDescent="0.3">
      <c r="B43" s="4" t="s">
        <v>236</v>
      </c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5"/>
    </row>
    <row r="44" spans="2:17" x14ac:dyDescent="0.3">
      <c r="B44" s="109" t="s">
        <v>237</v>
      </c>
      <c r="C44" s="10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5"/>
    </row>
    <row r="45" spans="2:17" x14ac:dyDescent="0.3">
      <c r="B45" s="4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5"/>
    </row>
    <row r="46" spans="2:17" x14ac:dyDescent="0.3">
      <c r="B46" s="4" t="s">
        <v>238</v>
      </c>
      <c r="C46" s="4"/>
      <c r="D46" s="10">
        <f>3567731.52</f>
        <v>3567731.52</v>
      </c>
      <c r="E46" s="10">
        <v>3121442.08</v>
      </c>
      <c r="F46" s="10">
        <v>3076564.31</v>
      </c>
      <c r="G46" s="10">
        <v>2331680.7400000002</v>
      </c>
      <c r="H46" s="10">
        <v>3680782.2</v>
      </c>
      <c r="I46" s="10">
        <v>2633041.98</v>
      </c>
      <c r="J46" s="10">
        <v>3008007.32</v>
      </c>
      <c r="K46" s="10">
        <v>3008007.32</v>
      </c>
      <c r="L46" s="10">
        <v>3008007.32</v>
      </c>
      <c r="M46" s="10">
        <v>3008007.32</v>
      </c>
      <c r="N46" s="10">
        <v>3008007.32</v>
      </c>
      <c r="O46" s="10">
        <v>3008007.32</v>
      </c>
      <c r="P46" s="105"/>
    </row>
    <row r="47" spans="2:17" x14ac:dyDescent="0.3">
      <c r="B47" s="4" t="s">
        <v>239</v>
      </c>
      <c r="C47" s="4"/>
      <c r="D47" s="10">
        <f>220024818.39+41402+41934+10</f>
        <v>220108164.38999999</v>
      </c>
      <c r="E47" s="10">
        <f>221202123+10</f>
        <v>221202133</v>
      </c>
      <c r="F47" s="10">
        <f>219605275-42485-42485+11</f>
        <v>219520316</v>
      </c>
      <c r="G47" s="10">
        <f>220054919.04+20</f>
        <v>220054939.03999999</v>
      </c>
      <c r="H47" s="10">
        <f>214516404.62+20</f>
        <v>214516424.62</v>
      </c>
      <c r="I47" s="10">
        <f>213504610-851</f>
        <v>213503759</v>
      </c>
      <c r="J47" s="10">
        <f>198756760-843</f>
        <v>198755917</v>
      </c>
      <c r="K47" s="10">
        <v>193755917</v>
      </c>
      <c r="L47" s="10">
        <v>188756760</v>
      </c>
      <c r="M47" s="10">
        <v>180756760</v>
      </c>
      <c r="N47" s="10">
        <v>175756760</v>
      </c>
      <c r="O47" s="10">
        <v>168756760</v>
      </c>
      <c r="P47" s="105"/>
    </row>
    <row r="48" spans="2:17" x14ac:dyDescent="0.3">
      <c r="B48" s="4" t="s">
        <v>240</v>
      </c>
      <c r="C48" s="4"/>
      <c r="D48" s="10">
        <v>158600125</v>
      </c>
      <c r="E48" s="10">
        <v>144854448.83000001</v>
      </c>
      <c r="F48" s="10">
        <v>133243758.84</v>
      </c>
      <c r="G48" s="10">
        <v>129791966.68000001</v>
      </c>
      <c r="H48" s="10">
        <v>151681766.19</v>
      </c>
      <c r="I48" s="10">
        <v>163003798.56999999</v>
      </c>
      <c r="J48" s="10">
        <v>179468430.94</v>
      </c>
      <c r="K48" s="10">
        <v>155000000</v>
      </c>
      <c r="L48" s="10">
        <v>155000000</v>
      </c>
      <c r="M48" s="10">
        <v>155000000</v>
      </c>
      <c r="N48" s="10">
        <v>155000000</v>
      </c>
      <c r="O48" s="10">
        <v>155000000</v>
      </c>
      <c r="P48" s="105"/>
    </row>
    <row r="49" spans="2:16" x14ac:dyDescent="0.3">
      <c r="B49" s="4" t="s">
        <v>241</v>
      </c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5"/>
    </row>
    <row r="50" spans="2:16" x14ac:dyDescent="0.3">
      <c r="B50" s="4" t="s">
        <v>242</v>
      </c>
      <c r="C50" s="4"/>
      <c r="D50" s="111">
        <v>365463.01</v>
      </c>
      <c r="E50" s="111">
        <v>429867.01</v>
      </c>
      <c r="F50" s="10">
        <v>-488736</v>
      </c>
      <c r="G50" s="10">
        <v>357537.41</v>
      </c>
      <c r="H50" s="10">
        <v>-611597</v>
      </c>
      <c r="I50" s="10">
        <v>-614881</v>
      </c>
      <c r="J50" s="10">
        <v>-326822</v>
      </c>
      <c r="K50" s="10">
        <v>50000</v>
      </c>
      <c r="L50" s="10">
        <v>50000</v>
      </c>
      <c r="M50" s="10">
        <v>50000</v>
      </c>
      <c r="N50" s="10">
        <v>50000</v>
      </c>
      <c r="O50" s="10">
        <v>50000</v>
      </c>
      <c r="P50" s="105"/>
    </row>
    <row r="51" spans="2:16" x14ac:dyDescent="0.3">
      <c r="B51" s="4" t="s">
        <v>243</v>
      </c>
      <c r="C51" s="4"/>
      <c r="D51" s="10">
        <v>31125.77</v>
      </c>
      <c r="E51" s="10">
        <v>46667</v>
      </c>
      <c r="F51" s="10">
        <v>296595.40999999997</v>
      </c>
      <c r="G51" s="10">
        <v>-498199</v>
      </c>
      <c r="H51" s="10">
        <v>-194360</v>
      </c>
      <c r="I51" s="10">
        <v>-245627</v>
      </c>
      <c r="J51" s="10">
        <v>-894154</v>
      </c>
      <c r="K51" s="10">
        <v>50000</v>
      </c>
      <c r="L51" s="10">
        <v>50000</v>
      </c>
      <c r="M51" s="10">
        <v>50000</v>
      </c>
      <c r="N51" s="10">
        <v>50000</v>
      </c>
      <c r="O51" s="10">
        <v>50000</v>
      </c>
      <c r="P51" s="105"/>
    </row>
    <row r="52" spans="2:16" x14ac:dyDescent="0.3">
      <c r="B52" s="4" t="s">
        <v>244</v>
      </c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5"/>
    </row>
    <row r="53" spans="2:16" x14ac:dyDescent="0.3">
      <c r="B53" s="4" t="s">
        <v>245</v>
      </c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5"/>
    </row>
    <row r="54" spans="2:16" x14ac:dyDescent="0.3">
      <c r="B54" s="4" t="s">
        <v>246</v>
      </c>
      <c r="C54" s="4"/>
      <c r="D54" s="10">
        <v>1051308.48</v>
      </c>
      <c r="E54" s="10">
        <v>1230247.1399999999</v>
      </c>
      <c r="F54" s="10">
        <v>3122026.19</v>
      </c>
      <c r="G54" s="10">
        <v>2821790.19</v>
      </c>
      <c r="H54" s="10">
        <v>1626076.19</v>
      </c>
      <c r="I54" s="10">
        <v>1546977.19</v>
      </c>
      <c r="J54" s="10">
        <v>1425732.19</v>
      </c>
      <c r="K54" s="10">
        <v>1425732.19</v>
      </c>
      <c r="L54" s="10">
        <v>1425732.19</v>
      </c>
      <c r="M54" s="10">
        <v>1425732.19</v>
      </c>
      <c r="N54" s="10">
        <v>1425732.19</v>
      </c>
      <c r="O54" s="10">
        <v>1425732.19</v>
      </c>
      <c r="P54" s="105"/>
    </row>
    <row r="55" spans="2:16" x14ac:dyDescent="0.3">
      <c r="B55" s="4" t="s">
        <v>247</v>
      </c>
      <c r="C55" s="4"/>
      <c r="D55" s="10">
        <v>853652</v>
      </c>
      <c r="E55" s="10">
        <v>784926</v>
      </c>
      <c r="F55" s="10">
        <v>775885</v>
      </c>
      <c r="G55" s="10">
        <v>701212</v>
      </c>
      <c r="H55" s="10">
        <v>714454</v>
      </c>
      <c r="I55" s="10">
        <v>695923</v>
      </c>
      <c r="J55" s="10">
        <v>694433</v>
      </c>
      <c r="K55" s="10">
        <v>694433</v>
      </c>
      <c r="L55" s="10">
        <v>694433</v>
      </c>
      <c r="M55" s="10">
        <v>694433</v>
      </c>
      <c r="N55" s="10">
        <v>694433</v>
      </c>
      <c r="O55" s="10">
        <v>694433</v>
      </c>
      <c r="P55" s="105"/>
    </row>
    <row r="56" spans="2:16" x14ac:dyDescent="0.3">
      <c r="B56" s="4" t="s">
        <v>248</v>
      </c>
      <c r="C56" s="4"/>
      <c r="D56" s="10">
        <v>2591869.19</v>
      </c>
      <c r="E56" s="10">
        <v>2787192.19</v>
      </c>
      <c r="F56" s="10">
        <v>741086.55</v>
      </c>
      <c r="G56" s="10">
        <v>738280.83</v>
      </c>
      <c r="H56" s="10">
        <v>749845.11</v>
      </c>
      <c r="I56" s="10">
        <v>1276802.67</v>
      </c>
      <c r="J56" s="10">
        <v>1293472.6100000001</v>
      </c>
      <c r="K56" s="10">
        <v>1293472.6100000001</v>
      </c>
      <c r="L56" s="10">
        <v>1293472.6100000001</v>
      </c>
      <c r="M56" s="10">
        <v>1293472.6100000001</v>
      </c>
      <c r="N56" s="10">
        <v>1293472.6100000001</v>
      </c>
      <c r="O56" s="10">
        <v>1293472.6100000001</v>
      </c>
      <c r="P56" s="105"/>
    </row>
    <row r="57" spans="2:16" x14ac:dyDescent="0.3">
      <c r="B57" s="4" t="s">
        <v>249</v>
      </c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5"/>
    </row>
    <row r="58" spans="2:16" x14ac:dyDescent="0.3">
      <c r="B58" s="4" t="s">
        <v>250</v>
      </c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5"/>
    </row>
    <row r="59" spans="2:16" x14ac:dyDescent="0.3">
      <c r="B59" s="4" t="s">
        <v>251</v>
      </c>
      <c r="C59" s="4"/>
      <c r="D59" s="10">
        <v>2246894</v>
      </c>
      <c r="E59" s="10">
        <v>2185896</v>
      </c>
      <c r="F59" s="10">
        <v>2251005</v>
      </c>
      <c r="G59" s="10">
        <v>2334111.4299999997</v>
      </c>
      <c r="H59" s="10">
        <v>2399081</v>
      </c>
      <c r="I59" s="10">
        <f>2492143.75-500000</f>
        <v>1992143.75</v>
      </c>
      <c r="J59" s="10">
        <v>1071374.52</v>
      </c>
      <c r="K59" s="10">
        <v>1071374.52</v>
      </c>
      <c r="L59" s="10">
        <v>1071374.52</v>
      </c>
      <c r="M59" s="10">
        <v>1071374.52</v>
      </c>
      <c r="N59" s="10">
        <v>1071374.52</v>
      </c>
      <c r="O59" s="10">
        <v>1071374.52</v>
      </c>
      <c r="P59" s="105"/>
    </row>
    <row r="60" spans="2:16" x14ac:dyDescent="0.3">
      <c r="B60" s="4" t="s">
        <v>252</v>
      </c>
      <c r="C60" s="4"/>
      <c r="D60" s="10">
        <v>259412.99</v>
      </c>
      <c r="E60" s="10">
        <v>259412.99</v>
      </c>
      <c r="F60" s="10">
        <v>259412.99</v>
      </c>
      <c r="G60" s="10">
        <v>259412.99</v>
      </c>
      <c r="H60" s="10">
        <v>259412.99</v>
      </c>
      <c r="I60" s="10">
        <v>259412.99</v>
      </c>
      <c r="J60" s="10">
        <v>259412.99</v>
      </c>
      <c r="K60" s="10">
        <v>259412.99</v>
      </c>
      <c r="L60" s="10">
        <v>259412.99</v>
      </c>
      <c r="M60" s="10">
        <v>259412.99</v>
      </c>
      <c r="N60" s="10">
        <v>259412.99</v>
      </c>
      <c r="O60" s="10">
        <v>259412.99</v>
      </c>
      <c r="P60" s="105"/>
    </row>
    <row r="61" spans="2:16" x14ac:dyDescent="0.3">
      <c r="B61" s="4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5"/>
    </row>
    <row r="62" spans="2:16" x14ac:dyDescent="0.3">
      <c r="B62" s="112" t="s">
        <v>226</v>
      </c>
      <c r="C62" s="112"/>
      <c r="D62" s="113">
        <f>SUM(D37:D61)</f>
        <v>440070942.21999997</v>
      </c>
      <c r="E62" s="113">
        <f>SUM(E37:E61)</f>
        <v>427384583.10999995</v>
      </c>
      <c r="F62" s="113">
        <f>SUM(F37:F61)</f>
        <v>413280265.16000003</v>
      </c>
      <c r="G62" s="113">
        <f>SUM(G37:G61)</f>
        <v>410692314.18000001</v>
      </c>
      <c r="H62" s="113">
        <f t="shared" ref="H62:O62" si="16">SUM(H37:H61)</f>
        <v>426638302.17000002</v>
      </c>
      <c r="I62" s="113">
        <f t="shared" si="16"/>
        <v>435873948.01999998</v>
      </c>
      <c r="J62" s="113">
        <f t="shared" si="16"/>
        <v>436247403.44</v>
      </c>
      <c r="K62" s="113">
        <f t="shared" si="16"/>
        <v>407599948.5</v>
      </c>
      <c r="L62" s="113">
        <f t="shared" si="16"/>
        <v>402100791.5</v>
      </c>
      <c r="M62" s="113">
        <f t="shared" si="16"/>
        <v>393600791.5</v>
      </c>
      <c r="N62" s="113">
        <f t="shared" si="16"/>
        <v>388100791.5</v>
      </c>
      <c r="O62" s="113">
        <f t="shared" si="16"/>
        <v>380600791.5</v>
      </c>
      <c r="P62" s="105"/>
    </row>
    <row r="64" spans="2:16" x14ac:dyDescent="0.3">
      <c r="B64" s="105"/>
      <c r="C64" s="105"/>
      <c r="D64" s="25">
        <f t="shared" ref="D64:O64" si="17">D62-D32</f>
        <v>0.40000003576278687</v>
      </c>
      <c r="E64" s="25">
        <f t="shared" si="17"/>
        <v>0.3200000524520874</v>
      </c>
      <c r="F64" s="25">
        <f t="shared" si="17"/>
        <v>0.18000012636184692</v>
      </c>
      <c r="G64" s="25">
        <f t="shared" si="17"/>
        <v>0.14000004529953003</v>
      </c>
      <c r="H64" s="25">
        <f t="shared" si="17"/>
        <v>1.330000102519989</v>
      </c>
      <c r="I64" s="25">
        <f t="shared" si="17"/>
        <v>0.36999994516372681</v>
      </c>
      <c r="J64" s="25">
        <f t="shared" si="17"/>
        <v>-0.15000003576278687</v>
      </c>
      <c r="K64" s="25">
        <f t="shared" si="17"/>
        <v>0</v>
      </c>
      <c r="L64" s="25">
        <f t="shared" si="17"/>
        <v>0</v>
      </c>
      <c r="M64" s="25">
        <f t="shared" si="17"/>
        <v>0</v>
      </c>
      <c r="N64" s="25">
        <f t="shared" si="17"/>
        <v>0</v>
      </c>
      <c r="O64" s="25">
        <f t="shared" si="17"/>
        <v>0</v>
      </c>
    </row>
    <row r="66" spans="2:15" x14ac:dyDescent="0.3">
      <c r="B66" t="s">
        <v>253</v>
      </c>
    </row>
    <row r="68" spans="2:15" x14ac:dyDescent="0.3">
      <c r="B68" s="107" t="s">
        <v>254</v>
      </c>
      <c r="C68" s="107"/>
      <c r="D68" s="114">
        <f>SUM(D46:D60)/SUM(D21:D30)</f>
        <v>1.9894520291706879</v>
      </c>
      <c r="E68" s="114">
        <f t="shared" ref="E68:O68" si="18">SUM(E46:E60)/SUM(E21:E30)</f>
        <v>1.9432048696130306</v>
      </c>
      <c r="F68" s="114">
        <f t="shared" si="18"/>
        <v>1.8699342380864818</v>
      </c>
      <c r="G68" s="114">
        <f t="shared" si="18"/>
        <v>1.8404703861365554</v>
      </c>
      <c r="H68" s="114">
        <f t="shared" si="18"/>
        <v>1.7938958799885412</v>
      </c>
      <c r="I68" s="114">
        <f t="shared" si="18"/>
        <v>1.7603106301366789</v>
      </c>
      <c r="J68" s="114">
        <f t="shared" si="18"/>
        <v>1.7184489954962834</v>
      </c>
      <c r="K68" s="114">
        <f t="shared" si="18"/>
        <v>1.9169869983420214</v>
      </c>
      <c r="L68" s="114">
        <f t="shared" si="18"/>
        <v>2.0734099347296207</v>
      </c>
      <c r="M68" s="114">
        <f t="shared" si="18"/>
        <v>2.1569798357235497</v>
      </c>
      <c r="N68" s="114">
        <f t="shared" si="18"/>
        <v>2.2714564433521578</v>
      </c>
      <c r="O68" s="114">
        <f t="shared" si="18"/>
        <v>2.3557248572972935</v>
      </c>
    </row>
    <row r="69" spans="2:15" x14ac:dyDescent="0.3">
      <c r="B69" s="4" t="s">
        <v>255</v>
      </c>
      <c r="C69" s="4"/>
      <c r="D69" s="115">
        <f>(SUM(D46:D60)-D47)/SUM(D21:D30)</f>
        <v>0.86571097424392973</v>
      </c>
      <c r="E69" s="115">
        <f t="shared" ref="E69:O69" si="19">(SUM(E46:E60)-E47)/SUM(E21:E30)</f>
        <v>0.8027471454447126</v>
      </c>
      <c r="F69" s="115">
        <f t="shared" si="19"/>
        <v>0.73848188217287392</v>
      </c>
      <c r="G69" s="115">
        <f t="shared" si="19"/>
        <v>0.71198668567428214</v>
      </c>
      <c r="H69" s="115">
        <f t="shared" si="19"/>
        <v>0.76722122355088929</v>
      </c>
      <c r="I69" s="115">
        <f t="shared" si="19"/>
        <v>0.78170988985429524</v>
      </c>
      <c r="J69" s="115">
        <f t="shared" si="19"/>
        <v>0.83073813613885705</v>
      </c>
      <c r="K69" s="115">
        <f t="shared" si="19"/>
        <v>0.87543097721629182</v>
      </c>
      <c r="L69" s="115">
        <f t="shared" si="19"/>
        <v>0.96032714385044338</v>
      </c>
      <c r="M69" s="115">
        <f t="shared" si="19"/>
        <v>1.0222934104085113</v>
      </c>
      <c r="N69" s="115">
        <f t="shared" si="19"/>
        <v>1.0924458504503498</v>
      </c>
      <c r="O69" s="115">
        <f t="shared" si="19"/>
        <v>1.1568904968381661</v>
      </c>
    </row>
    <row r="70" spans="2:15" x14ac:dyDescent="0.3">
      <c r="B70" s="4"/>
      <c r="C70" s="4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2:15" x14ac:dyDescent="0.3">
      <c r="B71" s="4" t="s">
        <v>256</v>
      </c>
      <c r="C71" s="4"/>
      <c r="D71" s="10">
        <f t="shared" ref="D71:O71" si="20">D62/SUM(D8:D12)</f>
        <v>8.0544567240287392</v>
      </c>
      <c r="E71" s="10">
        <f t="shared" si="20"/>
        <v>10.515648338429926</v>
      </c>
      <c r="F71" s="10">
        <f t="shared" si="20"/>
        <v>17.569425957257774</v>
      </c>
      <c r="G71" s="10">
        <f t="shared" si="20"/>
        <v>21.596462466059599</v>
      </c>
      <c r="H71" s="10">
        <f t="shared" si="20"/>
        <v>22.644662769028685</v>
      </c>
      <c r="I71" s="10">
        <f t="shared" si="20"/>
        <v>19.410242101088389</v>
      </c>
      <c r="J71" s="10">
        <f t="shared" si="20"/>
        <v>25.620517576191087</v>
      </c>
      <c r="K71" s="10">
        <f t="shared" si="20"/>
        <v>15.409328534591575</v>
      </c>
      <c r="L71" s="10">
        <f t="shared" si="20"/>
        <v>10.694844946035692</v>
      </c>
      <c r="M71" s="10">
        <f t="shared" si="20"/>
        <v>9.9452604065010455</v>
      </c>
      <c r="N71" s="10">
        <f t="shared" si="20"/>
        <v>8.720114170116803</v>
      </c>
      <c r="O71" s="10">
        <f t="shared" si="20"/>
        <v>8.3629375342146783</v>
      </c>
    </row>
    <row r="72" spans="2:15" x14ac:dyDescent="0.3">
      <c r="B72" s="4"/>
      <c r="C72" s="4"/>
      <c r="D72" s="10"/>
      <c r="E72" s="10"/>
      <c r="F72" s="10"/>
      <c r="G72" s="10"/>
      <c r="H72" s="10"/>
      <c r="I72" s="10"/>
      <c r="J72" s="116"/>
      <c r="K72" s="116"/>
      <c r="L72" s="116"/>
      <c r="M72" s="116"/>
      <c r="N72" s="116"/>
      <c r="O72" s="116"/>
    </row>
    <row r="73" spans="2:15" x14ac:dyDescent="0.3">
      <c r="B73" s="4" t="s">
        <v>257</v>
      </c>
      <c r="C73" s="4"/>
      <c r="D73" s="116">
        <f>'[1]P&amp;L'!C78/D37</f>
        <v>-0.20989028211023666</v>
      </c>
      <c r="E73" s="116">
        <f>'[1]P&amp;L'!D78/E37</f>
        <v>-0.38912346354956245</v>
      </c>
      <c r="F73" s="116">
        <f>'[1]P&amp;L'!E78/F37</f>
        <v>-0.47354039336987713</v>
      </c>
      <c r="G73" s="116">
        <f>'[1]P&amp;L'!F78/G37</f>
        <v>-0.10037751868708797</v>
      </c>
      <c r="H73" s="116">
        <f>'[1]P&amp;L'!G78/H37</f>
        <v>2.3885292386262115E-2</v>
      </c>
      <c r="I73" s="116">
        <f>'[1]P&amp;L'!H78/I37</f>
        <v>0.11697803220594997</v>
      </c>
      <c r="J73" s="116">
        <f>'[1]P&amp;L'!I78/J37</f>
        <v>-0.14013676982881479</v>
      </c>
      <c r="K73" s="116">
        <f>'[1]P&amp;L'!J78/K37</f>
        <v>-0.16954666117174591</v>
      </c>
      <c r="L73" s="116">
        <f>'[1]P&amp;L'!K78/L37</f>
        <v>-0.18168198241204581</v>
      </c>
      <c r="M73" s="116">
        <f>'[1]P&amp;L'!L78/M37</f>
        <v>-0.19381730365234581</v>
      </c>
      <c r="N73" s="116">
        <f>'[1]P&amp;L'!M78/N37</f>
        <v>-0.23022326737324558</v>
      </c>
      <c r="O73" s="116">
        <f>'[1]P&amp;L'!N78/O37</f>
        <v>-0.15749050608624796</v>
      </c>
    </row>
    <row r="74" spans="2:15" x14ac:dyDescent="0.3">
      <c r="B74" s="4" t="s">
        <v>258</v>
      </c>
      <c r="C74" s="4"/>
      <c r="D74" s="116">
        <f>'[1]P&amp;L'!C78/SUM(BS!D8:D13)</f>
        <v>-0.13397164076499599</v>
      </c>
      <c r="E74" s="116">
        <f>'[1]P&amp;L'!D78/SUM(BS!E8:E13)</f>
        <v>-0.33473074363800576</v>
      </c>
      <c r="F74" s="116">
        <f>'[1]P&amp;L'!E78/SUM(BS!F8:F13)</f>
        <v>-0.70381888628389411</v>
      </c>
      <c r="G74" s="116">
        <f>'[1]P&amp;L'!F78/SUM(BS!G8:G13)</f>
        <v>-0.18456817944142462</v>
      </c>
      <c r="H74" s="116">
        <f>'[1]P&amp;L'!G78/SUM(BS!H8:H13)</f>
        <v>4.4350646055983003E-2</v>
      </c>
      <c r="I74" s="116">
        <f>'[1]P&amp;L'!H78/SUM(BS!I8:I13)</f>
        <v>0.18226968308338817</v>
      </c>
      <c r="J74" s="116">
        <f>'[1]P&amp;L'!I78/SUM(BS!J8:J13)</f>
        <v>-0.28936090137949205</v>
      </c>
      <c r="K74" s="116">
        <f>'[1]P&amp;L'!J78/SUM(BS!K8:K13)</f>
        <v>-0.22535725183849786</v>
      </c>
      <c r="L74" s="116">
        <f>'[1]P&amp;L'!K78/SUM(BS!L8:L13)</f>
        <v>-0.16989638045034799</v>
      </c>
      <c r="M74" s="116">
        <f>'[1]P&amp;L'!L78/SUM(BS!M8:M13)</f>
        <v>-0.17218108710352328</v>
      </c>
      <c r="N74" s="116">
        <f>'[1]P&amp;L'!M78/SUM(BS!N8:N13)</f>
        <v>-0.18186936808041385</v>
      </c>
      <c r="O74" s="116">
        <f>'[1]P&amp;L'!N78/SUM(BS!O8:O13)</f>
        <v>-0.12166796560579032</v>
      </c>
    </row>
    <row r="75" spans="2:15" x14ac:dyDescent="0.3">
      <c r="B75" s="4"/>
      <c r="C75" s="4"/>
      <c r="D75" s="10"/>
      <c r="E75" s="10"/>
      <c r="F75" s="10"/>
      <c r="G75" s="10"/>
      <c r="H75" s="10"/>
      <c r="I75" s="10"/>
      <c r="J75" s="116"/>
      <c r="K75" s="116"/>
      <c r="L75" s="116"/>
      <c r="M75" s="116"/>
      <c r="N75" s="116"/>
      <c r="O75" s="116"/>
    </row>
    <row r="76" spans="2:15" x14ac:dyDescent="0.3">
      <c r="B76" s="4" t="s">
        <v>259</v>
      </c>
      <c r="C76" s="4"/>
      <c r="D76" s="116">
        <f>'[1]P&amp;L'!C10/BS!D62</f>
        <v>6.9556465136245166E-2</v>
      </c>
      <c r="E76" s="116">
        <f>'[1]P&amp;L'!D10/BS!E62</f>
        <v>4.1264864707253275E-2</v>
      </c>
      <c r="F76" s="116">
        <f>'[1]P&amp;L'!E10/BS!F62</f>
        <v>5.4134344695453807E-2</v>
      </c>
      <c r="G76" s="116">
        <f>'[1]P&amp;L'!F10/BS!G62</f>
        <v>8.0566154679724764E-2</v>
      </c>
      <c r="H76" s="116">
        <f>'[1]P&amp;L'!G10/BS!H62</f>
        <v>0.12267606948038404</v>
      </c>
      <c r="I76" s="116">
        <f>'[1]P&amp;L'!H10/BS!I62</f>
        <v>0.10869969895017907</v>
      </c>
      <c r="J76" s="116">
        <f>'[1]P&amp;L'!I10/BS!J62</f>
        <v>0.1025492271065241</v>
      </c>
      <c r="K76" s="116">
        <f>'[1]P&amp;L'!J10/BS!K62</f>
        <v>0.14355848275583508</v>
      </c>
      <c r="L76" s="116">
        <f>'[1]P&amp;L'!K10/BS!L62</f>
        <v>0.13229254368545443</v>
      </c>
      <c r="M76" s="116">
        <f>'[1]P&amp;L'!L10/BS!M62</f>
        <v>0.12163451879878294</v>
      </c>
      <c r="N76" s="116">
        <f>'[1]P&amp;L'!M10/BS!N62</f>
        <v>8.2238847779525143E-2</v>
      </c>
      <c r="O76" s="116">
        <f>'[1]P&amp;L'!N10/BS!O62</f>
        <v>0.16762766376398336</v>
      </c>
    </row>
    <row r="77" spans="2:15" x14ac:dyDescent="0.3">
      <c r="B77" s="4" t="s">
        <v>260</v>
      </c>
      <c r="C77" s="4"/>
      <c r="D77" s="116">
        <f>'[1]P&amp;L'!C10/SUM(BS!D36:D43)</f>
        <v>0.60739478479181452</v>
      </c>
      <c r="E77" s="116">
        <f>'[1]P&amp;L'!D10/SUM(BS!E36:E43)</f>
        <v>0.34934916255020265</v>
      </c>
      <c r="F77" s="116">
        <f>'[1]P&amp;L'!E10/SUM(BS!F36:F43)</f>
        <v>0.44317778281786252</v>
      </c>
      <c r="G77" s="116">
        <f>'[1]P&amp;L'!F10/SUM(BS!G36:G43)</f>
        <v>0.63876771424603018</v>
      </c>
      <c r="H77" s="116">
        <f>'[1]P&amp;L'!G10/SUM(BS!H36:H43)</f>
        <v>1.010071964862205</v>
      </c>
      <c r="I77" s="116">
        <f>'[1]P&amp;L'!H10/SUM(BS!I36:I43)</f>
        <v>0.91426076251743815</v>
      </c>
      <c r="J77" s="116">
        <f>'[1]P&amp;L'!I10/SUM(BS!J36:J43)</f>
        <v>0.86881811852349666</v>
      </c>
      <c r="K77" s="116">
        <f>'[1]P&amp;L'!J10/SUM(BS!K36:K43)</f>
        <v>1.1475307986948109</v>
      </c>
      <c r="L77" s="116">
        <f>'[1]P&amp;L'!K10/SUM(BS!L36:L43)</f>
        <v>1.0535403456410601</v>
      </c>
      <c r="M77" s="116">
        <f>'[1]P&amp;L'!L10/SUM(BS!M36:M43)</f>
        <v>0.95766976762274925</v>
      </c>
      <c r="N77" s="116">
        <f>'[1]P&amp;L'!M10/SUM(BS!N36:N43)</f>
        <v>0.64489656111370097</v>
      </c>
      <c r="O77" s="116">
        <f>'[1]P&amp;L'!N10/SUM(BS!O36:O43)</f>
        <v>1.3022482012714098</v>
      </c>
    </row>
    <row r="78" spans="2:15" x14ac:dyDescent="0.3">
      <c r="B78" s="4"/>
      <c r="C78" s="4"/>
      <c r="D78" s="10"/>
      <c r="E78" s="10"/>
      <c r="F78" s="10"/>
      <c r="G78" s="10"/>
      <c r="H78" s="10"/>
      <c r="I78" s="10"/>
      <c r="J78" s="116"/>
      <c r="K78" s="116"/>
      <c r="L78" s="116"/>
      <c r="M78" s="116"/>
      <c r="N78" s="116"/>
      <c r="O78" s="116"/>
    </row>
    <row r="79" spans="2:15" x14ac:dyDescent="0.3">
      <c r="B79" s="4" t="s">
        <v>261</v>
      </c>
      <c r="C79" s="4"/>
      <c r="D79" s="10"/>
      <c r="E79" s="10"/>
      <c r="F79" s="10"/>
      <c r="G79" s="10"/>
      <c r="H79" s="10"/>
      <c r="I79" s="10"/>
      <c r="J79" s="116"/>
      <c r="K79" s="116"/>
      <c r="L79" s="116"/>
      <c r="M79" s="116"/>
      <c r="N79" s="116"/>
      <c r="O79" s="116"/>
    </row>
    <row r="80" spans="2:15" x14ac:dyDescent="0.3">
      <c r="B80" s="4" t="s">
        <v>262</v>
      </c>
      <c r="C80" s="4"/>
      <c r="D80" s="116">
        <f>'[1]P&amp;L'!C10/D48</f>
        <v>0.19299971642519193</v>
      </c>
      <c r="E80" s="116">
        <f>'[1]P&amp;L'!D10/E48</f>
        <v>0.12174957098278298</v>
      </c>
      <c r="F80" s="116">
        <f>'[1]P&amp;L'!E10/F48</f>
        <v>0.16790772434501211</v>
      </c>
      <c r="G80" s="116">
        <f>'[1]P&amp;L'!F10/G48</f>
        <v>0.25493026538058156</v>
      </c>
      <c r="H80" s="116">
        <f>'[1]P&amp;L'!G10/H48</f>
        <v>0.34505340565747272</v>
      </c>
      <c r="I80" s="116">
        <f>'[1]P&amp;L'!H10/I48</f>
        <v>0.29066418909037578</v>
      </c>
      <c r="J80" s="116">
        <f>'[1]P&amp;L'!I10/J48</f>
        <v>0.2492741136459618</v>
      </c>
      <c r="K80" s="116">
        <f>'[1]P&amp;L'!J10/K48</f>
        <v>0.37751245276139689</v>
      </c>
      <c r="L80" s="116">
        <f>'[1]P&amp;L'!K10/L48</f>
        <v>0.34319313887399716</v>
      </c>
      <c r="M80" s="116">
        <f>'[1]P&amp;L'!L10/M48</f>
        <v>0.30887382498659738</v>
      </c>
      <c r="N80" s="116">
        <f>'[1]P&amp;L'!M10/N48</f>
        <v>0.20591588332439825</v>
      </c>
      <c r="O80" s="116">
        <f>'[1]P&amp;L'!N10/O48</f>
        <v>0.41160788068301896</v>
      </c>
    </row>
    <row r="81" spans="2:15" x14ac:dyDescent="0.3">
      <c r="B81" s="117" t="s">
        <v>123</v>
      </c>
      <c r="C81" s="117"/>
      <c r="D81" s="118">
        <f>'[1]P&amp;L'!C13/BS!D23</f>
        <v>0.17684208018492034</v>
      </c>
      <c r="E81" s="118">
        <f>'[1]P&amp;L'!D13/BS!E23</f>
        <v>0.10610792899991948</v>
      </c>
      <c r="F81" s="118">
        <f>'[1]P&amp;L'!E13/BS!F23</f>
        <v>0.16111162340760446</v>
      </c>
      <c r="G81" s="118">
        <f>'[1]P&amp;L'!F13/BS!G23</f>
        <v>0.14322865830276824</v>
      </c>
      <c r="H81" s="118">
        <f>'[1]P&amp;L'!G13/BS!H23</f>
        <v>0.27261786160311519</v>
      </c>
      <c r="I81" s="118">
        <f>'[1]P&amp;L'!H13/BS!I23</f>
        <v>0.24221816635132284</v>
      </c>
      <c r="J81" s="118">
        <f>'[1]P&amp;L'!I13/BS!J23</f>
        <v>0.30111051316836174</v>
      </c>
      <c r="K81" s="118">
        <f>'[1]P&amp;L'!J13/BS!K23</f>
        <v>0.3028982268038502</v>
      </c>
      <c r="L81" s="118">
        <f>'[1]P&amp;L'!K13/BS!L23</f>
        <v>0.27536202436713653</v>
      </c>
      <c r="M81" s="118">
        <f>'[1]P&amp;L'!L13/BS!M23</f>
        <v>0.2478258219304228</v>
      </c>
      <c r="N81" s="118">
        <f>'[1]P&amp;L'!M13/BS!N23</f>
        <v>0.16521721462028188</v>
      </c>
      <c r="O81" s="118">
        <f>'[1]P&amp;L'!N13/BS!O23</f>
        <v>0.33025479367743404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1E0F-E046-4A08-9EC0-504311F49071}">
  <dimension ref="C1:Q60"/>
  <sheetViews>
    <sheetView showGridLines="0" topLeftCell="A52" zoomScale="80" zoomScaleNormal="80" workbookViewId="0"/>
  </sheetViews>
  <sheetFormatPr defaultColWidth="8.77734375" defaultRowHeight="14.4" x14ac:dyDescent="0.3"/>
  <cols>
    <col min="1" max="1" width="3.88671875" style="73" customWidth="1"/>
    <col min="2" max="2" width="4.77734375" style="73" customWidth="1"/>
    <col min="3" max="3" width="26.77734375" style="60" bestFit="1" customWidth="1"/>
    <col min="4" max="4" width="51.88671875" style="61" bestFit="1" customWidth="1"/>
    <col min="5" max="5" width="7" style="103" bestFit="1" customWidth="1"/>
    <col min="6" max="6" width="13.33203125" style="73" bestFit="1" customWidth="1"/>
    <col min="7" max="8" width="11.88671875" style="104" bestFit="1" customWidth="1"/>
    <col min="9" max="9" width="10.6640625" style="104" bestFit="1" customWidth="1"/>
    <col min="10" max="12" width="11.88671875" style="104" bestFit="1" customWidth="1"/>
    <col min="13" max="14" width="12.21875" style="73" bestFit="1" customWidth="1"/>
    <col min="15" max="15" width="11.21875" style="73" bestFit="1" customWidth="1"/>
    <col min="16" max="17" width="10.6640625" style="73" bestFit="1" customWidth="1"/>
    <col min="18" max="16384" width="8.77734375" style="73"/>
  </cols>
  <sheetData>
    <row r="1" spans="3:17" s="61" customFormat="1" x14ac:dyDescent="0.3">
      <c r="C1" s="60"/>
      <c r="E1" s="60"/>
    </row>
    <row r="2" spans="3:17" s="61" customFormat="1" x14ac:dyDescent="0.3">
      <c r="C2" s="62" t="s">
        <v>263</v>
      </c>
      <c r="E2" s="60"/>
    </row>
    <row r="3" spans="3:17" s="61" customFormat="1" x14ac:dyDescent="0.3">
      <c r="C3" s="62"/>
      <c r="E3" s="60"/>
    </row>
    <row r="4" spans="3:17" s="61" customFormat="1" ht="15" thickBot="1" x14ac:dyDescent="0.35">
      <c r="C4" s="60"/>
      <c r="E4" s="60"/>
    </row>
    <row r="5" spans="3:17" s="61" customFormat="1" ht="15" thickBot="1" x14ac:dyDescent="0.35">
      <c r="C5" s="63"/>
      <c r="D5" s="64" t="s">
        <v>1</v>
      </c>
      <c r="E5" s="65">
        <v>45352</v>
      </c>
      <c r="F5" s="66">
        <v>45383</v>
      </c>
      <c r="G5" s="66">
        <v>45413</v>
      </c>
      <c r="H5" s="66">
        <v>45444</v>
      </c>
      <c r="I5" s="66">
        <v>45474</v>
      </c>
      <c r="J5" s="66">
        <v>45505</v>
      </c>
      <c r="K5" s="66">
        <v>45536</v>
      </c>
      <c r="L5" s="66">
        <v>45566</v>
      </c>
      <c r="M5" s="67">
        <v>45597</v>
      </c>
      <c r="N5" s="67">
        <v>45627</v>
      </c>
      <c r="O5" s="67">
        <v>45658</v>
      </c>
      <c r="P5" s="67">
        <v>45689</v>
      </c>
      <c r="Q5" s="68">
        <v>45717</v>
      </c>
    </row>
    <row r="6" spans="3:17" x14ac:dyDescent="0.3">
      <c r="C6" s="69"/>
      <c r="E6" s="70"/>
      <c r="F6" s="71"/>
      <c r="G6" s="72"/>
      <c r="H6" s="72"/>
      <c r="I6" s="72"/>
      <c r="J6" s="72"/>
      <c r="K6" s="72"/>
      <c r="L6" s="72"/>
      <c r="M6" s="72"/>
      <c r="N6" s="72"/>
      <c r="O6" s="72"/>
      <c r="P6" s="72"/>
      <c r="Q6" s="119"/>
    </row>
    <row r="7" spans="3:17" x14ac:dyDescent="0.3">
      <c r="C7" s="69" t="s">
        <v>264</v>
      </c>
      <c r="D7" s="74" t="s">
        <v>265</v>
      </c>
      <c r="E7" s="70"/>
      <c r="F7" s="71"/>
      <c r="G7" s="72"/>
      <c r="H7" s="72"/>
      <c r="I7" s="72"/>
      <c r="J7" s="72"/>
      <c r="K7" s="72"/>
      <c r="L7" s="72"/>
      <c r="M7" s="72"/>
      <c r="N7" s="72"/>
      <c r="O7" s="72"/>
      <c r="P7" s="72"/>
      <c r="Q7" s="119"/>
    </row>
    <row r="8" spans="3:17" x14ac:dyDescent="0.3">
      <c r="C8" s="69"/>
      <c r="E8" s="70"/>
      <c r="F8" s="75"/>
      <c r="G8" s="76"/>
      <c r="H8" s="76"/>
      <c r="I8" s="76"/>
      <c r="J8" s="76"/>
      <c r="K8" s="76"/>
      <c r="L8" s="76"/>
      <c r="M8" s="76"/>
      <c r="N8" s="76"/>
      <c r="O8" s="76"/>
      <c r="P8" s="76"/>
      <c r="Q8" s="120"/>
    </row>
    <row r="9" spans="3:17" x14ac:dyDescent="0.3">
      <c r="C9" s="69"/>
      <c r="D9" s="61" t="s">
        <v>266</v>
      </c>
      <c r="E9" s="77">
        <v>0</v>
      </c>
      <c r="F9" s="78">
        <f>'P&amp;L'!C73</f>
        <v>-7319802.0900000185</v>
      </c>
      <c r="G9" s="78">
        <f>'P&amp;L'!D73</f>
        <v>-13604368.609999999</v>
      </c>
      <c r="H9" s="78">
        <f>'P&amp;L'!E73</f>
        <v>-16555717.330000028</v>
      </c>
      <c r="I9" s="78">
        <f>'P&amp;L'!F73</f>
        <v>-3509867.9799999879</v>
      </c>
      <c r="J9" s="78">
        <f>'P&amp;L'!G73</f>
        <v>835590.19999998948</v>
      </c>
      <c r="K9" s="78">
        <f>'P&amp;L'!H73</f>
        <v>4093024.6800000602</v>
      </c>
      <c r="L9" s="78">
        <f>'P&amp;L'!I73</f>
        <v>-4927025.9200000232</v>
      </c>
      <c r="M9" s="78">
        <f>'P&amp;L'!J73</f>
        <v>9424238.7599922568</v>
      </c>
      <c r="N9" s="78">
        <f>'P&amp;L'!K73</f>
        <v>11146120.887045687</v>
      </c>
      <c r="O9" s="78">
        <f>'P&amp;L'!L73</f>
        <v>1979093.4722319823</v>
      </c>
      <c r="P9" s="78">
        <f>'P&amp;L'!M73</f>
        <v>4929668.2751789372</v>
      </c>
      <c r="Q9" s="84">
        <f>'P&amp;L'!N73</f>
        <v>1004030.2450937657</v>
      </c>
    </row>
    <row r="10" spans="3:17" x14ac:dyDescent="0.3">
      <c r="C10" s="69"/>
      <c r="E10" s="7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84"/>
    </row>
    <row r="11" spans="3:17" x14ac:dyDescent="0.3">
      <c r="C11" s="69"/>
      <c r="D11" s="61" t="s">
        <v>267</v>
      </c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84"/>
    </row>
    <row r="12" spans="3:17" x14ac:dyDescent="0.3">
      <c r="C12" s="69"/>
      <c r="D12" s="61" t="s">
        <v>190</v>
      </c>
      <c r="E12" s="77"/>
      <c r="F12" s="78">
        <f>'P&amp;L'!C70</f>
        <v>400000</v>
      </c>
      <c r="G12" s="78">
        <f>'P&amp;L'!D70</f>
        <v>400000</v>
      </c>
      <c r="H12" s="78">
        <f>'P&amp;L'!E70</f>
        <v>400000</v>
      </c>
      <c r="I12" s="78">
        <f>'P&amp;L'!F70</f>
        <v>400000</v>
      </c>
      <c r="J12" s="78">
        <f>'P&amp;L'!G70</f>
        <v>400000</v>
      </c>
      <c r="K12" s="78">
        <f>'P&amp;L'!H70</f>
        <v>400000</v>
      </c>
      <c r="L12" s="78">
        <f>'P&amp;L'!I70</f>
        <v>400000</v>
      </c>
      <c r="M12" s="78">
        <f>'P&amp;L'!J70</f>
        <v>400000</v>
      </c>
      <c r="N12" s="78">
        <f>'P&amp;L'!K70</f>
        <v>400000</v>
      </c>
      <c r="O12" s="78">
        <f>'P&amp;L'!L70</f>
        <v>400000</v>
      </c>
      <c r="P12" s="78">
        <f>'P&amp;L'!M70</f>
        <v>400000</v>
      </c>
      <c r="Q12" s="84">
        <f>'P&amp;L'!N70</f>
        <v>400000</v>
      </c>
    </row>
    <row r="13" spans="3:17" x14ac:dyDescent="0.3">
      <c r="C13" s="69"/>
      <c r="D13" s="61" t="s">
        <v>189</v>
      </c>
      <c r="E13" s="77"/>
      <c r="F13" s="78">
        <f>'P&amp;L'!C69</f>
        <v>0</v>
      </c>
      <c r="G13" s="78">
        <f>-'[1]P&amp;L'!D74</f>
        <v>0</v>
      </c>
      <c r="H13" s="78">
        <f>-'[1]P&amp;L'!E74</f>
        <v>0</v>
      </c>
      <c r="I13" s="78">
        <f>-'[1]P&amp;L'!F74</f>
        <v>-40.479999999999997</v>
      </c>
      <c r="J13" s="78">
        <f>-'[1]P&amp;L'!G74</f>
        <v>0</v>
      </c>
      <c r="K13" s="78">
        <f>-'[1]P&amp;L'!H74</f>
        <v>0</v>
      </c>
      <c r="L13" s="78">
        <f>-'[1]P&amp;L'!I74</f>
        <v>-1017446</v>
      </c>
      <c r="M13" s="78">
        <f>-'[1]P&amp;L'!J74</f>
        <v>0</v>
      </c>
      <c r="N13" s="78">
        <f>-'[1]P&amp;L'!K74</f>
        <v>0</v>
      </c>
      <c r="O13" s="78">
        <f>-'[1]P&amp;L'!L74</f>
        <v>0</v>
      </c>
      <c r="P13" s="78">
        <f>-'[1]P&amp;L'!M74</f>
        <v>0</v>
      </c>
      <c r="Q13" s="84">
        <f>-'[1]P&amp;L'!N74</f>
        <v>0</v>
      </c>
    </row>
    <row r="14" spans="3:17" x14ac:dyDescent="0.3">
      <c r="C14" s="69"/>
      <c r="D14" s="61" t="s">
        <v>268</v>
      </c>
      <c r="E14" s="77"/>
      <c r="F14" s="78">
        <f>'P&amp;L'!C71</f>
        <v>1031758.41</v>
      </c>
      <c r="G14" s="78">
        <f>'P&amp;L'!D71</f>
        <v>1062883.1600000001</v>
      </c>
      <c r="H14" s="78">
        <f>'P&amp;L'!E71</f>
        <v>1024754.11</v>
      </c>
      <c r="I14" s="78">
        <f>'P&amp;L'!F71</f>
        <v>1046116.5099999999</v>
      </c>
      <c r="J14" s="78">
        <f>'P&amp;L'!G71</f>
        <v>1060982.2799999998</v>
      </c>
      <c r="K14" s="78">
        <f>'P&amp;L'!H71</f>
        <v>1014822.22</v>
      </c>
      <c r="L14" s="78">
        <f>'P&amp;L'!I71</f>
        <v>1040534.36</v>
      </c>
      <c r="M14" s="78">
        <f>'P&amp;L'!J71</f>
        <v>1045000</v>
      </c>
      <c r="N14" s="78">
        <f>'P&amp;L'!K71</f>
        <v>1045000</v>
      </c>
      <c r="O14" s="78">
        <f>'P&amp;L'!L71</f>
        <v>1045000</v>
      </c>
      <c r="P14" s="78">
        <f>'P&amp;L'!M71</f>
        <v>1045000</v>
      </c>
      <c r="Q14" s="84">
        <f>'P&amp;L'!N71</f>
        <v>1045000</v>
      </c>
    </row>
    <row r="15" spans="3:17" x14ac:dyDescent="0.3">
      <c r="C15" s="69"/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84"/>
    </row>
    <row r="16" spans="3:17" x14ac:dyDescent="0.3">
      <c r="C16" s="69"/>
      <c r="D16" s="61" t="s">
        <v>269</v>
      </c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84"/>
    </row>
    <row r="17" spans="3:17" x14ac:dyDescent="0.3">
      <c r="C17" s="69"/>
      <c r="D17" s="61" t="s">
        <v>125</v>
      </c>
      <c r="E17" s="77"/>
      <c r="F17" s="78">
        <f>+BS!C47-BS!D47</f>
        <v>-220108164.38999999</v>
      </c>
      <c r="G17" s="78">
        <f>+BS!D47-BS!E47</f>
        <v>-1093968.6100000143</v>
      </c>
      <c r="H17" s="78">
        <f>+BS!E47-BS!F47</f>
        <v>1681817</v>
      </c>
      <c r="I17" s="78">
        <f>+BS!F47-BS!G47</f>
        <v>-534623.03999999166</v>
      </c>
      <c r="J17" s="78">
        <f>+BS!G47-BS!H47</f>
        <v>5538514.4199999869</v>
      </c>
      <c r="K17" s="78">
        <f>+BS!H47-BS!I47</f>
        <v>1012665.6200000048</v>
      </c>
      <c r="L17" s="78">
        <f>+BS!I47-BS!J47</f>
        <v>14747842</v>
      </c>
      <c r="M17" s="78">
        <f>+BS!J47-BS!K47</f>
        <v>5000000</v>
      </c>
      <c r="N17" s="78">
        <f>+BS!K47-BS!L47</f>
        <v>4999157</v>
      </c>
      <c r="O17" s="78">
        <f>+BS!L47-BS!M47</f>
        <v>8000000</v>
      </c>
      <c r="P17" s="78">
        <f>+BS!M47-BS!N47</f>
        <v>5000000</v>
      </c>
      <c r="Q17" s="84">
        <f>+BS!N47-BS!O47</f>
        <v>7000000</v>
      </c>
    </row>
    <row r="18" spans="3:17" x14ac:dyDescent="0.3">
      <c r="C18" s="69"/>
      <c r="D18" s="61" t="s">
        <v>126</v>
      </c>
      <c r="E18" s="77"/>
      <c r="F18" s="78">
        <f>+BS!C48-BS!D48</f>
        <v>-158600125</v>
      </c>
      <c r="G18" s="78">
        <f>+BS!D48-BS!E48</f>
        <v>13745676.169999987</v>
      </c>
      <c r="H18" s="78">
        <f>+BS!E48-BS!F48</f>
        <v>11610689.99000001</v>
      </c>
      <c r="I18" s="78">
        <f>+BS!F48-BS!G48</f>
        <v>3451792.1599999964</v>
      </c>
      <c r="J18" s="78">
        <f>+BS!G48-BS!H48</f>
        <v>-21889799.50999999</v>
      </c>
      <c r="K18" s="78">
        <f>+BS!H48-BS!I48</f>
        <v>-11322032.379999995</v>
      </c>
      <c r="L18" s="78">
        <f>+BS!I48-BS!J48</f>
        <v>-16464632.370000005</v>
      </c>
      <c r="M18" s="78">
        <f>+BS!J48-BS!K48</f>
        <v>24468430.939999998</v>
      </c>
      <c r="N18" s="78">
        <f>+BS!K48-BS!L48</f>
        <v>0</v>
      </c>
      <c r="O18" s="78">
        <f>+BS!L48-BS!M48</f>
        <v>0</v>
      </c>
      <c r="P18" s="78">
        <f>+BS!M48-BS!N48</f>
        <v>0</v>
      </c>
      <c r="Q18" s="84">
        <f>+BS!N48-BS!O48</f>
        <v>0</v>
      </c>
    </row>
    <row r="19" spans="3:17" x14ac:dyDescent="0.3">
      <c r="C19" s="69"/>
      <c r="D19" s="61" t="s">
        <v>270</v>
      </c>
      <c r="E19" s="77"/>
      <c r="F19" s="78">
        <f>+SUM(BS!C54:C56)-SUM(BS!D54:D56)</f>
        <v>-4496829.67</v>
      </c>
      <c r="G19" s="78">
        <f>+SUM(BS!D54:D56)-SUM(BS!E54:E56)</f>
        <v>-305535.66000000015</v>
      </c>
      <c r="H19" s="78">
        <f>+SUM(BS!E54:E56)-SUM(BS!F54:F56)</f>
        <v>163367.58999999985</v>
      </c>
      <c r="I19" s="78">
        <f>+SUM(BS!F54:F56)-SUM(BS!G54:G56)</f>
        <v>377714.72000000067</v>
      </c>
      <c r="J19" s="78">
        <f>+SUM(BS!G54:G56)-SUM(BS!H54:H56)</f>
        <v>1170907.7199999997</v>
      </c>
      <c r="K19" s="78">
        <f>+SUM(BS!H54:H56)-SUM(BS!I54:I56)</f>
        <v>-429327.56000000006</v>
      </c>
      <c r="L19" s="78">
        <f>+SUM(BS!I54:I56)-SUM(BS!J54:J56)</f>
        <v>106065.06000000006</v>
      </c>
      <c r="M19" s="78">
        <f>+SUM(BS!J54:J56)-SUM(BS!K54:K56)</f>
        <v>0</v>
      </c>
      <c r="N19" s="78">
        <f>+SUM(BS!K54:K56)-SUM(BS!L54:L56)</f>
        <v>0</v>
      </c>
      <c r="O19" s="78">
        <f>+SUM(BS!L54:L56)-SUM(BS!M54:M56)</f>
        <v>0</v>
      </c>
      <c r="P19" s="78">
        <f>+SUM(BS!M54:M56)-SUM(BS!N54:N56)</f>
        <v>0</v>
      </c>
      <c r="Q19" s="84">
        <f>+SUM(BS!N54:N56)-SUM(BS!O54:O56)</f>
        <v>0</v>
      </c>
    </row>
    <row r="20" spans="3:17" x14ac:dyDescent="0.3">
      <c r="C20" s="69"/>
      <c r="D20" s="61" t="s">
        <v>271</v>
      </c>
      <c r="E20" s="77"/>
      <c r="F20" s="78">
        <f>+SUM(BS!C58:C60)-SUM(BS!D58:D60)</f>
        <v>-2506306.9900000002</v>
      </c>
      <c r="G20" s="78">
        <f>+SUM(BS!D58:D60)-SUM(BS!E58:E60)</f>
        <v>60998</v>
      </c>
      <c r="H20" s="78">
        <f>+SUM(BS!E58:E60)-SUM(BS!F58:F60)</f>
        <v>-65109</v>
      </c>
      <c r="I20" s="78">
        <f>+SUM(BS!F58:F60)-SUM(BS!G58:G60)</f>
        <v>-83106.429999999702</v>
      </c>
      <c r="J20" s="78">
        <f>+SUM(BS!G58:G60)-SUM(BS!H58:H60)</f>
        <v>-64969.570000000298</v>
      </c>
      <c r="K20" s="78">
        <f>+SUM(BS!H58:H60)-SUM(BS!I58:I60)</f>
        <v>406937.25</v>
      </c>
      <c r="L20" s="78">
        <f>+SUM(BS!I58:I60)-SUM(BS!J58:J60)</f>
        <v>920769.23000000021</v>
      </c>
      <c r="M20" s="78">
        <f>+SUM(BS!J58:J60)-SUM(BS!K58:K60)</f>
        <v>0</v>
      </c>
      <c r="N20" s="78">
        <f>+SUM(BS!K58:K60)-SUM(BS!L58:L60)</f>
        <v>0</v>
      </c>
      <c r="O20" s="78">
        <f>+SUM(BS!L58:L60)-SUM(BS!M58:M60)</f>
        <v>0</v>
      </c>
      <c r="P20" s="78">
        <f>+SUM(BS!M58:M60)-SUM(BS!N58:N60)</f>
        <v>0</v>
      </c>
      <c r="Q20" s="84">
        <f>+SUM(BS!N58:N60)-SUM(BS!O58:O60)</f>
        <v>0</v>
      </c>
    </row>
    <row r="21" spans="3:17" x14ac:dyDescent="0.3">
      <c r="C21" s="69"/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84"/>
    </row>
    <row r="22" spans="3:17" x14ac:dyDescent="0.3">
      <c r="C22" s="69"/>
      <c r="D22" s="61" t="s">
        <v>272</v>
      </c>
      <c r="E22" s="77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84"/>
    </row>
    <row r="23" spans="3:17" x14ac:dyDescent="0.3">
      <c r="C23" s="69"/>
      <c r="D23" s="61" t="s">
        <v>122</v>
      </c>
      <c r="E23" s="77"/>
      <c r="F23" s="78">
        <f>+BS!D23-BS!C23</f>
        <v>83433211.680000007</v>
      </c>
      <c r="G23" s="78">
        <f>+BS!E23-BS!D23</f>
        <v>2019198.9499999881</v>
      </c>
      <c r="H23" s="78">
        <f>+BS!F23-BS!E23</f>
        <v>-106108.8599999994</v>
      </c>
      <c r="I23" s="78">
        <f>+BS!G23-BS!F23</f>
        <v>-3108521.1499999911</v>
      </c>
      <c r="J23" s="78">
        <f>+BS!H23-BS!G23</f>
        <v>11193179.36999999</v>
      </c>
      <c r="K23" s="78">
        <f>+BS!I23-BS!H23</f>
        <v>220684.07000000775</v>
      </c>
      <c r="L23" s="78">
        <f>+BS!J23-BS!I23</f>
        <v>-141019.46000000834</v>
      </c>
      <c r="M23" s="78">
        <f>+BS!K23-BS!J23</f>
        <v>-8510624.599999994</v>
      </c>
      <c r="N23" s="78">
        <f>+BS!L23-BS!K23</f>
        <v>0</v>
      </c>
      <c r="O23" s="78">
        <f>+BS!M23-BS!L23</f>
        <v>0</v>
      </c>
      <c r="P23" s="78">
        <f>+BS!N23-BS!M23</f>
        <v>0</v>
      </c>
      <c r="Q23" s="84">
        <f>+BS!O23-BS!N23</f>
        <v>0</v>
      </c>
    </row>
    <row r="24" spans="3:17" x14ac:dyDescent="0.3">
      <c r="C24" s="69"/>
      <c r="D24" s="61" t="s">
        <v>273</v>
      </c>
      <c r="E24" s="77"/>
      <c r="F24" s="78">
        <f>+SUM(BS!D25:D28)-SUM(BS!C25:C28)-F12</f>
        <v>10181293.16</v>
      </c>
      <c r="G24" s="78">
        <f>+SUM(BS!E25:E28)-SUM(BS!D25:D28)-G12</f>
        <v>-5722080.6899999995</v>
      </c>
      <c r="H24" s="78">
        <f>+SUM(BS!F25:F28)-SUM(BS!E25:E28)-H12</f>
        <v>-737963.17000000086</v>
      </c>
      <c r="I24" s="78">
        <f>+SUM(BS!G25:G28)-SUM(BS!F25:F28)-I12</f>
        <v>2074492.0899999999</v>
      </c>
      <c r="J24" s="78">
        <f>+SUM(BS!H25:H28)-SUM(BS!G25:G28)-J12</f>
        <v>1437025.9400000004</v>
      </c>
      <c r="K24" s="78">
        <f>+SUM(BS!I25:I28)-SUM(BS!H25:H28)-K12</f>
        <v>1816635.5399999991</v>
      </c>
      <c r="L24" s="78">
        <f>+SUM(BS!J25:J28)-SUM(BS!I25:I28)-L12</f>
        <v>1831436.2100000009</v>
      </c>
      <c r="M24" s="78">
        <f>+SUM(BS!K25:K28)-SUM(BS!J25:J28)-M12</f>
        <v>-6034526.9399999995</v>
      </c>
      <c r="N24" s="78">
        <f>+SUM(BS!L25:L28)-SUM(BS!K25:K28)-N12</f>
        <v>-400000</v>
      </c>
      <c r="O24" s="78">
        <f>+SUM(BS!M25:M28)-SUM(BS!L25:L28)-O12</f>
        <v>-400000</v>
      </c>
      <c r="P24" s="78">
        <f>+SUM(BS!N25:N28)-SUM(BS!M25:M28)-P12</f>
        <v>-400000</v>
      </c>
      <c r="Q24" s="84">
        <f>+SUM(BS!O25:O28)-SUM(BS!N25:N28)-Q12</f>
        <v>-400000</v>
      </c>
    </row>
    <row r="25" spans="3:17" x14ac:dyDescent="0.3">
      <c r="C25" s="69"/>
      <c r="D25" s="61" t="s">
        <v>274</v>
      </c>
      <c r="E25" s="79"/>
      <c r="F25" s="80">
        <f>+BS!D30-BS!C30</f>
        <v>0</v>
      </c>
      <c r="G25" s="80">
        <f>BS!E29-BS!D29</f>
        <v>1116586</v>
      </c>
      <c r="H25" s="80">
        <f>BS!F29-BS!E29</f>
        <v>-585686</v>
      </c>
      <c r="I25" s="80">
        <f>BS!G29-BS!F29</f>
        <v>2232190</v>
      </c>
      <c r="J25" s="80">
        <f>BS!H29-BS!G29</f>
        <v>-992603.45999999903</v>
      </c>
      <c r="K25" s="80">
        <f>BS!I29-BS!H29</f>
        <v>104110.66999999993</v>
      </c>
      <c r="L25" s="80">
        <f>BS!J29-BS!I29</f>
        <v>958707.33000000007</v>
      </c>
      <c r="M25" s="80">
        <f>BS!K29-BS!J29</f>
        <v>0</v>
      </c>
      <c r="N25" s="80">
        <f>BS!L29-BS!K29</f>
        <v>0</v>
      </c>
      <c r="O25" s="80">
        <f>BS!M29-BS!L29</f>
        <v>0</v>
      </c>
      <c r="P25" s="80">
        <f>BS!N29-BS!M29</f>
        <v>0</v>
      </c>
      <c r="Q25" s="121">
        <f>BS!O29-BS!N29</f>
        <v>0</v>
      </c>
    </row>
    <row r="26" spans="3:17" x14ac:dyDescent="0.3">
      <c r="C26" s="69"/>
      <c r="E26" s="77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84"/>
    </row>
    <row r="27" spans="3:17" x14ac:dyDescent="0.3">
      <c r="C27" s="69"/>
      <c r="D27" s="61" t="s">
        <v>275</v>
      </c>
      <c r="E27" s="81"/>
      <c r="F27" s="82">
        <f t="shared" ref="F27:G27" si="0">+SUM(F9:F25)</f>
        <v>-297984964.88999999</v>
      </c>
      <c r="G27" s="82">
        <f t="shared" si="0"/>
        <v>-2320611.2900000382</v>
      </c>
      <c r="H27" s="82">
        <f t="shared" ref="H27:Q27" si="1">+SUM(H9:H25)</f>
        <v>-3169955.6700000195</v>
      </c>
      <c r="I27" s="82">
        <f t="shared" si="1"/>
        <v>2346146.4000000264</v>
      </c>
      <c r="J27" s="82">
        <f t="shared" si="1"/>
        <v>-1311172.6100000245</v>
      </c>
      <c r="K27" s="82">
        <f t="shared" si="1"/>
        <v>-2682479.8899999242</v>
      </c>
      <c r="L27" s="82">
        <f t="shared" si="1"/>
        <v>-2544769.560000034</v>
      </c>
      <c r="M27" s="82">
        <f t="shared" si="1"/>
        <v>25792518.159992263</v>
      </c>
      <c r="N27" s="82">
        <f t="shared" si="1"/>
        <v>17190277.887045689</v>
      </c>
      <c r="O27" s="82">
        <f t="shared" si="1"/>
        <v>11024093.472231982</v>
      </c>
      <c r="P27" s="82">
        <f t="shared" si="1"/>
        <v>10974668.275178937</v>
      </c>
      <c r="Q27" s="83">
        <f t="shared" si="1"/>
        <v>9049030.2450937666</v>
      </c>
    </row>
    <row r="28" spans="3:17" x14ac:dyDescent="0.3">
      <c r="C28" s="69"/>
      <c r="E28" s="77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84"/>
    </row>
    <row r="29" spans="3:17" x14ac:dyDescent="0.3">
      <c r="C29" s="69"/>
      <c r="D29" s="61" t="s">
        <v>276</v>
      </c>
      <c r="E29" s="77"/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84">
        <v>0</v>
      </c>
    </row>
    <row r="30" spans="3:17" x14ac:dyDescent="0.3">
      <c r="C30" s="69"/>
      <c r="E30" s="77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84"/>
    </row>
    <row r="31" spans="3:17" ht="15" thickBot="1" x14ac:dyDescent="0.35">
      <c r="C31" s="69"/>
      <c r="D31" s="85" t="s">
        <v>277</v>
      </c>
      <c r="E31" s="86"/>
      <c r="F31" s="87">
        <f t="shared" ref="F31:G31" si="2">+F27-F29</f>
        <v>-297984964.88999999</v>
      </c>
      <c r="G31" s="87">
        <f t="shared" si="2"/>
        <v>-2320611.2900000382</v>
      </c>
      <c r="H31" s="87">
        <f t="shared" ref="H31:Q31" si="3">+H27-H29</f>
        <v>-3169955.6700000195</v>
      </c>
      <c r="I31" s="87">
        <f t="shared" si="3"/>
        <v>2346146.4000000264</v>
      </c>
      <c r="J31" s="87">
        <f t="shared" si="3"/>
        <v>-1311172.6100000245</v>
      </c>
      <c r="K31" s="87">
        <f t="shared" si="3"/>
        <v>-2682479.8899999242</v>
      </c>
      <c r="L31" s="87">
        <f t="shared" si="3"/>
        <v>-2544769.560000034</v>
      </c>
      <c r="M31" s="87">
        <f t="shared" si="3"/>
        <v>25792518.159992263</v>
      </c>
      <c r="N31" s="87">
        <f t="shared" si="3"/>
        <v>17190277.887045689</v>
      </c>
      <c r="O31" s="87">
        <f t="shared" si="3"/>
        <v>11024093.472231982</v>
      </c>
      <c r="P31" s="87">
        <f t="shared" si="3"/>
        <v>10974668.275178937</v>
      </c>
      <c r="Q31" s="88">
        <f t="shared" si="3"/>
        <v>9049030.2450937666</v>
      </c>
    </row>
    <row r="32" spans="3:17" x14ac:dyDescent="0.3">
      <c r="C32" s="69"/>
      <c r="E32" s="77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84"/>
    </row>
    <row r="33" spans="3:17" x14ac:dyDescent="0.3">
      <c r="C33" s="69" t="s">
        <v>278</v>
      </c>
      <c r="D33" s="61" t="s">
        <v>279</v>
      </c>
      <c r="E33" s="77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84"/>
    </row>
    <row r="34" spans="3:17" x14ac:dyDescent="0.3">
      <c r="C34" s="69"/>
      <c r="E34" s="77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84"/>
    </row>
    <row r="35" spans="3:17" x14ac:dyDescent="0.3">
      <c r="C35" s="69"/>
      <c r="D35" s="61" t="s">
        <v>280</v>
      </c>
      <c r="E35" s="77"/>
      <c r="F35" s="78">
        <f>+BS!C37-BS!D37</f>
        <v>-34874419.369999997</v>
      </c>
      <c r="G35" s="78">
        <f>+BS!D37-BS!E37</f>
        <v>-87155</v>
      </c>
      <c r="H35" s="78">
        <f>+BS!E37-BS!F37</f>
        <v>0</v>
      </c>
      <c r="I35" s="78">
        <f>+BS!F37-BS!G37</f>
        <v>-5100</v>
      </c>
      <c r="J35" s="78">
        <f>+BS!G37-BS!H37</f>
        <v>-16835</v>
      </c>
      <c r="K35" s="78">
        <f>+BS!H37-BS!I37</f>
        <v>-6180</v>
      </c>
      <c r="L35" s="78">
        <f>+BS!I37-BS!J37</f>
        <v>-169002</v>
      </c>
      <c r="M35" s="78">
        <f>+BS!J37-BS!K37</f>
        <v>0</v>
      </c>
      <c r="N35" s="78">
        <f>+BS!K37-BS!L37</f>
        <v>0</v>
      </c>
      <c r="O35" s="78">
        <f>+BS!L37-BS!M37</f>
        <v>0</v>
      </c>
      <c r="P35" s="78">
        <f>+BS!M37-BS!N37</f>
        <v>0</v>
      </c>
      <c r="Q35" s="84">
        <f>+BS!N37-BS!O37</f>
        <v>0</v>
      </c>
    </row>
    <row r="36" spans="3:17" x14ac:dyDescent="0.3">
      <c r="C36" s="69"/>
      <c r="D36" s="61" t="s">
        <v>281</v>
      </c>
      <c r="E36" s="77"/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84">
        <v>0</v>
      </c>
    </row>
    <row r="37" spans="3:17" x14ac:dyDescent="0.3">
      <c r="C37" s="69"/>
      <c r="D37" s="61" t="s">
        <v>282</v>
      </c>
      <c r="E37" s="77"/>
      <c r="F37" s="78">
        <f>+BS!C39-BS!D39</f>
        <v>0</v>
      </c>
      <c r="G37" s="78">
        <f>+BS!D39-BS!E39</f>
        <v>0</v>
      </c>
      <c r="H37" s="78">
        <f>+BS!E39-BS!F39</f>
        <v>0</v>
      </c>
      <c r="I37" s="78">
        <f>+BS!F39-BS!G39</f>
        <v>0</v>
      </c>
      <c r="J37" s="78">
        <f>+BS!G39-BS!H39</f>
        <v>0</v>
      </c>
      <c r="K37" s="78">
        <f>+BS!H39-BS!I39</f>
        <v>0</v>
      </c>
      <c r="L37" s="78">
        <f>+BS!I39-BS!J39</f>
        <v>0</v>
      </c>
      <c r="M37" s="78">
        <f>+BS!J39-BS!K39</f>
        <v>0</v>
      </c>
      <c r="N37" s="78">
        <f>+BS!K39-BS!L39</f>
        <v>0</v>
      </c>
      <c r="O37" s="78">
        <f>+BS!L39-BS!M39</f>
        <v>0</v>
      </c>
      <c r="P37" s="78">
        <f>+BS!M39-BS!N39</f>
        <v>0</v>
      </c>
      <c r="Q37" s="84">
        <f>+BS!N39-BS!O39</f>
        <v>0</v>
      </c>
    </row>
    <row r="38" spans="3:17" x14ac:dyDescent="0.3">
      <c r="C38" s="69"/>
      <c r="D38" s="61" t="s">
        <v>124</v>
      </c>
      <c r="E38" s="77"/>
      <c r="F38" s="78">
        <f>+BS!C41+BS!C42-BS!D41-BS!D42</f>
        <v>-15520776.5</v>
      </c>
      <c r="G38" s="78">
        <f>+BS!D41+BS!D42-BS!E41-BS!E42</f>
        <v>0</v>
      </c>
      <c r="H38" s="78">
        <f>+BS!E41+BS!E42-BS!F41-BS!F42</f>
        <v>0</v>
      </c>
      <c r="I38" s="78">
        <f>+BS!F41+BS!F42-BS!G41-BS!G42</f>
        <v>-1312131</v>
      </c>
      <c r="J38" s="78">
        <f>+BS!G41+BS!G42-BS!H41-BS!H42</f>
        <v>0</v>
      </c>
      <c r="K38" s="78">
        <f>+BS!H41+BS!H42-BS!I41-BS!I42</f>
        <v>0</v>
      </c>
      <c r="L38" s="78">
        <f>+BS!I41+BS!I42-BS!J41-BS!J42</f>
        <v>500000</v>
      </c>
      <c r="M38" s="78">
        <f>+BS!J41+BS!J42-BS!K41-BS!K42</f>
        <v>500000</v>
      </c>
      <c r="N38" s="78">
        <f>+BS!K41+BS!K42-BS!L41-BS!L42</f>
        <v>500000</v>
      </c>
      <c r="O38" s="78">
        <f>+BS!L41+BS!L42-BS!M41-BS!M42</f>
        <v>500000</v>
      </c>
      <c r="P38" s="78">
        <f>+BS!M41+BS!M42-BS!N41-BS!N42</f>
        <v>500000</v>
      </c>
      <c r="Q38" s="84">
        <f>+BS!N41+BS!N42-BS!O41-BS!O42</f>
        <v>500000</v>
      </c>
    </row>
    <row r="39" spans="3:17" x14ac:dyDescent="0.3">
      <c r="C39" s="69"/>
      <c r="D39" s="61" t="s">
        <v>283</v>
      </c>
      <c r="E39" s="77"/>
      <c r="F39" s="78">
        <f>+BS!C43-BS!D43</f>
        <v>0</v>
      </c>
      <c r="G39" s="78">
        <f>+BS!D43-BS!E43</f>
        <v>0</v>
      </c>
      <c r="H39" s="78">
        <f>+BS!E43-BS!F43</f>
        <v>0</v>
      </c>
      <c r="I39" s="78">
        <f>+BS!F43-BS!G43</f>
        <v>0</v>
      </c>
      <c r="J39" s="78">
        <f>+BS!G43-BS!H43</f>
        <v>0</v>
      </c>
      <c r="K39" s="78">
        <f>+BS!H43-BS!I43</f>
        <v>0</v>
      </c>
      <c r="L39" s="78">
        <f>+BS!I43-BS!J43</f>
        <v>0</v>
      </c>
      <c r="M39" s="78">
        <f>+BS!J43-BS!K43</f>
        <v>0</v>
      </c>
      <c r="N39" s="78">
        <f>+BS!K43-BS!L43</f>
        <v>0</v>
      </c>
      <c r="O39" s="78">
        <f>+BS!L43-BS!M43</f>
        <v>0</v>
      </c>
      <c r="P39" s="78">
        <f>+BS!M43-BS!N43</f>
        <v>0</v>
      </c>
      <c r="Q39" s="84">
        <f>+BS!N43-BS!O43</f>
        <v>0</v>
      </c>
    </row>
    <row r="40" spans="3:17" x14ac:dyDescent="0.3">
      <c r="C40" s="69"/>
      <c r="D40" s="61" t="s">
        <v>284</v>
      </c>
      <c r="E40" s="77"/>
      <c r="F40" s="78">
        <f>-F13</f>
        <v>0</v>
      </c>
      <c r="G40" s="78">
        <f t="shared" ref="G40" si="4">-G13</f>
        <v>0</v>
      </c>
      <c r="H40" s="78">
        <f t="shared" ref="H40:Q40" si="5">-H13</f>
        <v>0</v>
      </c>
      <c r="I40" s="78">
        <f t="shared" si="5"/>
        <v>40.479999999999997</v>
      </c>
      <c r="J40" s="78">
        <f t="shared" si="5"/>
        <v>0</v>
      </c>
      <c r="K40" s="78">
        <f t="shared" si="5"/>
        <v>0</v>
      </c>
      <c r="L40" s="78">
        <f t="shared" si="5"/>
        <v>1017446</v>
      </c>
      <c r="M40" s="78">
        <f t="shared" si="5"/>
        <v>0</v>
      </c>
      <c r="N40" s="78">
        <f t="shared" si="5"/>
        <v>0</v>
      </c>
      <c r="O40" s="78">
        <f t="shared" si="5"/>
        <v>0</v>
      </c>
      <c r="P40" s="78">
        <f t="shared" si="5"/>
        <v>0</v>
      </c>
      <c r="Q40" s="84">
        <f t="shared" si="5"/>
        <v>0</v>
      </c>
    </row>
    <row r="41" spans="3:17" x14ac:dyDescent="0.3">
      <c r="C41" s="69"/>
      <c r="D41" s="61" t="s">
        <v>285</v>
      </c>
      <c r="E41" s="77"/>
      <c r="F41" s="78">
        <f>+BS!C46-BS!D46</f>
        <v>-3567731.52</v>
      </c>
      <c r="G41" s="78">
        <f>+BS!D46-BS!E46</f>
        <v>446289.43999999994</v>
      </c>
      <c r="H41" s="78">
        <f>+BS!E46-BS!F46</f>
        <v>44877.770000000019</v>
      </c>
      <c r="I41" s="78">
        <f>+BS!F46-BS!G46</f>
        <v>744883.56999999983</v>
      </c>
      <c r="J41" s="78">
        <f>+BS!G46-BS!H46</f>
        <v>-1349101.46</v>
      </c>
      <c r="K41" s="78">
        <f>+BS!H46-BS!I46</f>
        <v>1047740.2200000002</v>
      </c>
      <c r="L41" s="78">
        <f>+BS!I46-BS!J46</f>
        <v>-374965.33999999985</v>
      </c>
      <c r="M41" s="78">
        <f>+BS!J46-BS!K46</f>
        <v>0</v>
      </c>
      <c r="N41" s="78">
        <f>+BS!K46-BS!L46</f>
        <v>0</v>
      </c>
      <c r="O41" s="78">
        <f>+BS!L46-BS!M46</f>
        <v>0</v>
      </c>
      <c r="P41" s="78">
        <f>+BS!M46-BS!N46</f>
        <v>0</v>
      </c>
      <c r="Q41" s="84">
        <f>+BS!N46-BS!O46</f>
        <v>0</v>
      </c>
    </row>
    <row r="42" spans="3:17" x14ac:dyDescent="0.3">
      <c r="C42" s="69"/>
      <c r="E42" s="77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84"/>
    </row>
    <row r="43" spans="3:17" s="90" customFormat="1" ht="15" thickBot="1" x14ac:dyDescent="0.35">
      <c r="C43" s="89"/>
      <c r="D43" s="85" t="s">
        <v>286</v>
      </c>
      <c r="E43" s="86"/>
      <c r="F43" s="87">
        <f>+SUM(F35:F41)</f>
        <v>-53962927.390000001</v>
      </c>
      <c r="G43" s="87">
        <f t="shared" ref="G43" si="6">+SUM(G35:G41)</f>
        <v>359134.43999999994</v>
      </c>
      <c r="H43" s="87">
        <f t="shared" ref="H43:Q43" si="7">+SUM(H35:H41)</f>
        <v>44877.770000000019</v>
      </c>
      <c r="I43" s="87">
        <f t="shared" si="7"/>
        <v>-572306.95000000019</v>
      </c>
      <c r="J43" s="87">
        <f t="shared" si="7"/>
        <v>-1365936.46</v>
      </c>
      <c r="K43" s="87">
        <f t="shared" si="7"/>
        <v>1041560.2200000002</v>
      </c>
      <c r="L43" s="87">
        <f t="shared" si="7"/>
        <v>973478.66000000015</v>
      </c>
      <c r="M43" s="87">
        <f t="shared" si="7"/>
        <v>500000</v>
      </c>
      <c r="N43" s="87">
        <f t="shared" si="7"/>
        <v>500000</v>
      </c>
      <c r="O43" s="87">
        <f t="shared" si="7"/>
        <v>500000</v>
      </c>
      <c r="P43" s="87">
        <f t="shared" si="7"/>
        <v>500000</v>
      </c>
      <c r="Q43" s="88">
        <f t="shared" si="7"/>
        <v>500000</v>
      </c>
    </row>
    <row r="44" spans="3:17" x14ac:dyDescent="0.3">
      <c r="C44" s="69"/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84"/>
    </row>
    <row r="45" spans="3:17" x14ac:dyDescent="0.3">
      <c r="C45" s="69" t="s">
        <v>287</v>
      </c>
      <c r="D45" s="61" t="s">
        <v>288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84"/>
    </row>
    <row r="46" spans="3:17" x14ac:dyDescent="0.3">
      <c r="C46" s="69"/>
      <c r="E46" s="77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84"/>
    </row>
    <row r="47" spans="3:17" x14ac:dyDescent="0.3">
      <c r="C47" s="69"/>
      <c r="D47" s="61" t="s">
        <v>289</v>
      </c>
      <c r="E47" s="77"/>
      <c r="F47" s="78">
        <f>+BS!D8-BS!C8</f>
        <v>43071441.210000001</v>
      </c>
      <c r="G47" s="78">
        <f>+BS!E8-BS!D8+BS!E13-BS!D13</f>
        <v>-389857.46000000089</v>
      </c>
      <c r="H47" s="78">
        <f>+BS!F8-BS!E8+BS!F13-BS!E13</f>
        <v>-564309.75</v>
      </c>
      <c r="I47" s="78">
        <f>+BS!G8-BS!F8+BS!G13-BS!F13</f>
        <v>-996180.47999999672</v>
      </c>
      <c r="J47" s="78">
        <f>+BS!H8-BS!G8+BS!H13-BS!G13</f>
        <v>-1011670</v>
      </c>
      <c r="K47" s="78">
        <f>+BS!I8-BS!H8+BS!I13-BS!H13</f>
        <v>-477736.54000000656</v>
      </c>
      <c r="L47" s="78">
        <f>+BS!J8-BS!I8+BS!J13-BS!I13</f>
        <v>-501580.53999999911</v>
      </c>
      <c r="M47" s="78">
        <f>+BS!K8-BS!J8+BS!K13-BS!J13</f>
        <v>0</v>
      </c>
      <c r="N47" s="78">
        <f>+BS!L8-BS!K8+BS!L13-BS!K13</f>
        <v>0</v>
      </c>
      <c r="O47" s="78">
        <f>+BS!M8-BS!L8+BS!M13-BS!L13</f>
        <v>0</v>
      </c>
      <c r="P47" s="78">
        <f>+BS!N8-BS!M8+BS!N13-BS!M13</f>
        <v>0</v>
      </c>
      <c r="Q47" s="84">
        <f>+BS!O8-BS!N8+BS!O13-BS!N13</f>
        <v>0</v>
      </c>
    </row>
    <row r="48" spans="3:17" x14ac:dyDescent="0.3">
      <c r="C48" s="69"/>
      <c r="D48" s="61" t="s">
        <v>290</v>
      </c>
      <c r="E48" s="77"/>
      <c r="F48" s="78">
        <f>+BS!D16+BS!D21+BS!D22-BS!C22-BS!C16-BS!C21</f>
        <v>281991389</v>
      </c>
      <c r="G48" s="78">
        <f>+BS!E16+BS!E21+BS!E22-BS!D22-BS!D16-BS!D21</f>
        <v>3494162.7799999863</v>
      </c>
      <c r="H48" s="78">
        <f>+BS!F16+BS!F21+BS!F22-BS!E22-BS!E16-BS!E21</f>
        <v>4045467.299999997</v>
      </c>
      <c r="I48" s="78">
        <f>+BS!G16+BS!G21+BS!G22-BS!F22-BS!F16-BS!F21</f>
        <v>319936.57999998331</v>
      </c>
      <c r="J48" s="78">
        <f>+BS!H16+BS!H21+BS!H22-BS!G22-BS!G16-BS!G21</f>
        <v>4084464.7500000298</v>
      </c>
      <c r="K48" s="78">
        <f>+BS!I16+BS!I21+BS!I22-BS!H22-BS!H16-BS!H21</f>
        <v>3078910.3900000006</v>
      </c>
      <c r="L48" s="78">
        <f>+BS!J16+BS!J21+BS!J22-BS!I22-BS!I16-BS!I21</f>
        <v>2752938.3199999928</v>
      </c>
      <c r="M48" s="78">
        <f>+BS!K16+BS!K21+BS!K22-BS!J22-BS!J16-BS!J21</f>
        <v>-23926542.309992254</v>
      </c>
      <c r="N48" s="78">
        <f>+BS!L16+BS!L21+BS!L22-BS!K22-BS!K16-BS!K21</f>
        <v>-16645277.887045652</v>
      </c>
      <c r="O48" s="78">
        <f>+BS!M16+BS!M21+BS!M22-BS!L22-BS!L16-BS!L21</f>
        <v>-10479093.472231954</v>
      </c>
      <c r="P48" s="78">
        <f>+BS!N16+BS!N21+BS!N22-BS!M22-BS!M16-BS!M21</f>
        <v>-10429668.275178939</v>
      </c>
      <c r="Q48" s="84">
        <f>+BS!O16+BS!O21+BS!O22-BS!N22-BS!N16-BS!N21</f>
        <v>-8504030.2450936735</v>
      </c>
    </row>
    <row r="49" spans="3:17" x14ac:dyDescent="0.3">
      <c r="C49" s="69"/>
      <c r="D49" s="61" t="s">
        <v>191</v>
      </c>
      <c r="E49" s="77"/>
      <c r="F49" s="78">
        <f t="shared" ref="F49:G49" si="8">-F14</f>
        <v>-1031758.41</v>
      </c>
      <c r="G49" s="78">
        <f t="shared" si="8"/>
        <v>-1062883.1600000001</v>
      </c>
      <c r="H49" s="78">
        <f t="shared" ref="H49:Q49" si="9">-H14</f>
        <v>-1024754.11</v>
      </c>
      <c r="I49" s="78">
        <f t="shared" si="9"/>
        <v>-1046116.5099999999</v>
      </c>
      <c r="J49" s="78">
        <f t="shared" si="9"/>
        <v>-1060982.2799999998</v>
      </c>
      <c r="K49" s="78">
        <f t="shared" si="9"/>
        <v>-1014822.22</v>
      </c>
      <c r="L49" s="78">
        <f t="shared" si="9"/>
        <v>-1040534.36</v>
      </c>
      <c r="M49" s="78">
        <f t="shared" si="9"/>
        <v>-1045000</v>
      </c>
      <c r="N49" s="78">
        <f t="shared" si="9"/>
        <v>-1045000</v>
      </c>
      <c r="O49" s="78">
        <f t="shared" si="9"/>
        <v>-1045000</v>
      </c>
      <c r="P49" s="78">
        <f t="shared" si="9"/>
        <v>-1045000</v>
      </c>
      <c r="Q49" s="84">
        <f t="shared" si="9"/>
        <v>-1045000</v>
      </c>
    </row>
    <row r="50" spans="3:17" x14ac:dyDescent="0.3">
      <c r="C50" s="69"/>
      <c r="E50" s="91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84"/>
    </row>
    <row r="51" spans="3:17" s="90" customFormat="1" ht="15" thickBot="1" x14ac:dyDescent="0.35">
      <c r="C51" s="89"/>
      <c r="D51" s="85" t="s">
        <v>291</v>
      </c>
      <c r="E51" s="86"/>
      <c r="F51" s="87">
        <f t="shared" ref="F51:G51" si="10">+SUM(F47:F49)</f>
        <v>324031071.79999995</v>
      </c>
      <c r="G51" s="87">
        <f t="shared" si="10"/>
        <v>2041422.1599999852</v>
      </c>
      <c r="H51" s="87">
        <f t="shared" ref="H51:Q51" si="11">+SUM(H47:H49)</f>
        <v>2456403.4399999972</v>
      </c>
      <c r="I51" s="87">
        <f t="shared" si="11"/>
        <v>-1722360.4100000132</v>
      </c>
      <c r="J51" s="87">
        <f t="shared" si="11"/>
        <v>2011812.47000003</v>
      </c>
      <c r="K51" s="87">
        <f t="shared" si="11"/>
        <v>1586351.6299999941</v>
      </c>
      <c r="L51" s="87">
        <f t="shared" si="11"/>
        <v>1210823.4199999939</v>
      </c>
      <c r="M51" s="87">
        <f t="shared" si="11"/>
        <v>-24971542.309992254</v>
      </c>
      <c r="N51" s="87">
        <f t="shared" si="11"/>
        <v>-17690277.887045652</v>
      </c>
      <c r="O51" s="87">
        <f t="shared" si="11"/>
        <v>-11524093.472231954</v>
      </c>
      <c r="P51" s="87">
        <f t="shared" si="11"/>
        <v>-11474668.275178939</v>
      </c>
      <c r="Q51" s="88">
        <f t="shared" si="11"/>
        <v>-9549030.2450936735</v>
      </c>
    </row>
    <row r="52" spans="3:17" x14ac:dyDescent="0.3">
      <c r="C52" s="69"/>
      <c r="E52" s="77"/>
      <c r="F52" s="92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122"/>
    </row>
    <row r="53" spans="3:17" x14ac:dyDescent="0.3">
      <c r="C53" s="69"/>
      <c r="D53" s="61" t="s">
        <v>292</v>
      </c>
      <c r="E53" s="77"/>
      <c r="F53" s="78">
        <f t="shared" ref="F53:G53" si="12">+F31+F43+F51</f>
        <v>-27916820.480000019</v>
      </c>
      <c r="G53" s="78">
        <f t="shared" si="12"/>
        <v>79945.30999994697</v>
      </c>
      <c r="H53" s="78">
        <f t="shared" ref="H53:Q53" si="13">+H31+H43+H51</f>
        <v>-668674.46000002231</v>
      </c>
      <c r="I53" s="78">
        <f t="shared" si="13"/>
        <v>51479.040000013076</v>
      </c>
      <c r="J53" s="78">
        <f t="shared" si="13"/>
        <v>-665296.59999999451</v>
      </c>
      <c r="K53" s="78">
        <f t="shared" si="13"/>
        <v>-54568.039999929955</v>
      </c>
      <c r="L53" s="78">
        <f t="shared" si="13"/>
        <v>-360467.48000004003</v>
      </c>
      <c r="M53" s="78">
        <f t="shared" si="13"/>
        <v>1320975.8500000089</v>
      </c>
      <c r="N53" s="78">
        <f t="shared" si="13"/>
        <v>3.7252902984619141E-8</v>
      </c>
      <c r="O53" s="78">
        <f t="shared" si="13"/>
        <v>2.7939677238464355E-8</v>
      </c>
      <c r="P53" s="78">
        <f t="shared" si="13"/>
        <v>0</v>
      </c>
      <c r="Q53" s="84">
        <f t="shared" si="13"/>
        <v>9.3132257461547852E-8</v>
      </c>
    </row>
    <row r="54" spans="3:17" x14ac:dyDescent="0.3">
      <c r="C54" s="69"/>
      <c r="E54" s="77"/>
      <c r="F54" s="92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122"/>
    </row>
    <row r="55" spans="3:17" x14ac:dyDescent="0.3">
      <c r="C55" s="69"/>
      <c r="D55" s="61" t="s">
        <v>293</v>
      </c>
      <c r="E55" s="77"/>
      <c r="F55" s="78">
        <v>0</v>
      </c>
      <c r="G55" s="78">
        <f>+F59</f>
        <v>396588.78</v>
      </c>
      <c r="H55" s="78">
        <f t="shared" ref="H55:Q55" si="14">+G59</f>
        <v>476534.01</v>
      </c>
      <c r="I55" s="78">
        <f t="shared" si="14"/>
        <v>-192140.59000000003</v>
      </c>
      <c r="J55" s="78">
        <f t="shared" si="14"/>
        <v>-140661.59000000003</v>
      </c>
      <c r="K55" s="78">
        <f t="shared" si="14"/>
        <v>-805957</v>
      </c>
      <c r="L55" s="78">
        <f t="shared" si="14"/>
        <v>-860508</v>
      </c>
      <c r="M55" s="78">
        <f t="shared" si="14"/>
        <v>-1220976</v>
      </c>
      <c r="N55" s="78">
        <f t="shared" si="14"/>
        <v>100000</v>
      </c>
      <c r="O55" s="78">
        <f t="shared" si="14"/>
        <v>100000</v>
      </c>
      <c r="P55" s="78">
        <f t="shared" si="14"/>
        <v>100000</v>
      </c>
      <c r="Q55" s="84">
        <f t="shared" si="14"/>
        <v>100000</v>
      </c>
    </row>
    <row r="56" spans="3:17" x14ac:dyDescent="0.3">
      <c r="C56" s="69"/>
      <c r="E56" s="77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84"/>
    </row>
    <row r="57" spans="3:17" x14ac:dyDescent="0.3">
      <c r="C57" s="69"/>
      <c r="D57" s="61" t="s">
        <v>294</v>
      </c>
      <c r="E57" s="77"/>
      <c r="F57" s="78">
        <f t="shared" ref="F57:G57" si="15">+F53+F55</f>
        <v>-27916820.480000019</v>
      </c>
      <c r="G57" s="78">
        <f t="shared" si="15"/>
        <v>476534.089999947</v>
      </c>
      <c r="H57" s="78">
        <f t="shared" ref="H57:Q57" si="16">+H53+H55</f>
        <v>-192140.45000002231</v>
      </c>
      <c r="I57" s="78">
        <f t="shared" si="16"/>
        <v>-140661.54999998695</v>
      </c>
      <c r="J57" s="78">
        <f t="shared" si="16"/>
        <v>-805958.18999999459</v>
      </c>
      <c r="K57" s="78">
        <f t="shared" si="16"/>
        <v>-860525.03999992996</v>
      </c>
      <c r="L57" s="78">
        <f t="shared" si="16"/>
        <v>-1220975.48000004</v>
      </c>
      <c r="M57" s="78">
        <f t="shared" si="16"/>
        <v>99999.850000008941</v>
      </c>
      <c r="N57" s="78">
        <f t="shared" si="16"/>
        <v>100000.00000003725</v>
      </c>
      <c r="O57" s="78">
        <f t="shared" si="16"/>
        <v>100000.00000002794</v>
      </c>
      <c r="P57" s="78">
        <f t="shared" si="16"/>
        <v>100000</v>
      </c>
      <c r="Q57" s="84">
        <f t="shared" si="16"/>
        <v>100000.00000009313</v>
      </c>
    </row>
    <row r="58" spans="3:17" x14ac:dyDescent="0.3">
      <c r="C58" s="69"/>
      <c r="E58" s="77"/>
      <c r="F58" s="92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122"/>
    </row>
    <row r="59" spans="3:17" x14ac:dyDescent="0.3">
      <c r="C59" s="94"/>
      <c r="D59" s="95" t="s">
        <v>295</v>
      </c>
      <c r="E59" s="91">
        <v>0</v>
      </c>
      <c r="F59" s="96">
        <f>+BS!D50+BS!D51</f>
        <v>396588.78</v>
      </c>
      <c r="G59" s="96">
        <f>+BS!E50+BS!E51</f>
        <v>476534.01</v>
      </c>
      <c r="H59" s="96">
        <f>+BS!F50+BS!F51</f>
        <v>-192140.59000000003</v>
      </c>
      <c r="I59" s="96">
        <f>+BS!G50+BS!G51</f>
        <v>-140661.59000000003</v>
      </c>
      <c r="J59" s="96">
        <f>+BS!H50+BS!H51</f>
        <v>-805957</v>
      </c>
      <c r="K59" s="96">
        <f>+BS!I50+BS!I51</f>
        <v>-860508</v>
      </c>
      <c r="L59" s="96">
        <f>+BS!J50+BS!J51</f>
        <v>-1220976</v>
      </c>
      <c r="M59" s="96">
        <f>+BS!K50+BS!K51</f>
        <v>100000</v>
      </c>
      <c r="N59" s="96">
        <f>+BS!L50+BS!L51</f>
        <v>100000</v>
      </c>
      <c r="O59" s="96">
        <f>+BS!M50+BS!M51</f>
        <v>100000</v>
      </c>
      <c r="P59" s="96">
        <f>+BS!N50+BS!N51</f>
        <v>100000</v>
      </c>
      <c r="Q59" s="97">
        <f>+BS!O50+BS!O51</f>
        <v>100000</v>
      </c>
    </row>
    <row r="60" spans="3:17" ht="15" thickBot="1" x14ac:dyDescent="0.35">
      <c r="C60" s="98"/>
      <c r="D60" s="99" t="s">
        <v>296</v>
      </c>
      <c r="E60" s="100"/>
      <c r="F60" s="101">
        <f t="shared" ref="F60:G60" si="17">+F57-F59</f>
        <v>-28313409.26000002</v>
      </c>
      <c r="G60" s="101">
        <f t="shared" si="17"/>
        <v>7.9999946989119053E-2</v>
      </c>
      <c r="H60" s="101">
        <f t="shared" ref="H60:Q60" si="18">+H57-H59</f>
        <v>0.13999997772043571</v>
      </c>
      <c r="I60" s="101">
        <f t="shared" si="18"/>
        <v>4.0000013075768948E-2</v>
      </c>
      <c r="J60" s="101">
        <f t="shared" si="18"/>
        <v>-1.1899999945890158</v>
      </c>
      <c r="K60" s="101">
        <f t="shared" si="18"/>
        <v>-17.039999929955229</v>
      </c>
      <c r="L60" s="101">
        <f t="shared" si="18"/>
        <v>0.51999995997175574</v>
      </c>
      <c r="M60" s="101">
        <f t="shared" si="18"/>
        <v>-0.14999999105930328</v>
      </c>
      <c r="N60" s="101">
        <f t="shared" si="18"/>
        <v>3.7252902984619141E-8</v>
      </c>
      <c r="O60" s="101">
        <f t="shared" si="18"/>
        <v>2.7939677238464355E-8</v>
      </c>
      <c r="P60" s="101">
        <f t="shared" si="18"/>
        <v>0</v>
      </c>
      <c r="Q60" s="102">
        <f t="shared" si="18"/>
        <v>9.3132257461547852E-8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8D28-3B04-4031-AAB3-0419CB3C2EB0}">
  <dimension ref="A3:O248"/>
  <sheetViews>
    <sheetView showGridLines="0" workbookViewId="0"/>
  </sheetViews>
  <sheetFormatPr defaultRowHeight="14.4" x14ac:dyDescent="0.3"/>
  <cols>
    <col min="2" max="2" width="75.88671875" bestFit="1" customWidth="1"/>
    <col min="3" max="14" width="12.21875" style="15" bestFit="1" customWidth="1"/>
    <col min="15" max="15" width="13.77734375" style="15" bestFit="1" customWidth="1"/>
    <col min="16" max="16384" width="8.88671875" style="15"/>
  </cols>
  <sheetData>
    <row r="3" spans="1:15" x14ac:dyDescent="0.3">
      <c r="A3" s="1"/>
      <c r="B3" s="2" t="s">
        <v>0</v>
      </c>
    </row>
    <row r="4" spans="1:15" x14ac:dyDescent="0.3">
      <c r="A4" s="1"/>
      <c r="B4" t="s">
        <v>3</v>
      </c>
    </row>
    <row r="5" spans="1:15" s="58" customFormat="1" x14ac:dyDescent="0.3">
      <c r="A5" s="18"/>
      <c r="B5" s="19" t="s">
        <v>1</v>
      </c>
      <c r="C5" s="16">
        <v>45383</v>
      </c>
      <c r="D5" s="16">
        <v>45413</v>
      </c>
      <c r="E5" s="16">
        <v>45444</v>
      </c>
      <c r="F5" s="16">
        <v>45474</v>
      </c>
      <c r="G5" s="16">
        <v>45505</v>
      </c>
      <c r="H5" s="16">
        <v>45536</v>
      </c>
      <c r="I5" s="16">
        <v>45566</v>
      </c>
      <c r="J5" s="16">
        <v>45597</v>
      </c>
      <c r="K5" s="16">
        <v>45627</v>
      </c>
      <c r="L5" s="16">
        <v>45658</v>
      </c>
      <c r="M5" s="16">
        <v>45689</v>
      </c>
      <c r="N5" s="16">
        <v>45717</v>
      </c>
      <c r="O5" s="16" t="s">
        <v>2</v>
      </c>
    </row>
    <row r="6" spans="1:15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s="17" customFormat="1" x14ac:dyDescent="0.3">
      <c r="A7" s="7"/>
      <c r="B7" s="8" t="s">
        <v>0</v>
      </c>
      <c r="C7" s="6">
        <v>30609779.149999991</v>
      </c>
      <c r="D7" s="6">
        <v>17635966.999999993</v>
      </c>
      <c r="E7" s="6">
        <v>22372656.329999991</v>
      </c>
      <c r="F7" s="6">
        <v>33087900.510000002</v>
      </c>
      <c r="G7" s="6">
        <v>52338310</v>
      </c>
      <c r="H7" s="6">
        <v>47379366.93</v>
      </c>
      <c r="I7" s="6">
        <v>44597230.960000001</v>
      </c>
      <c r="J7" s="6">
        <f>SUM(J9:J14)</f>
        <v>56856404.657749996</v>
      </c>
      <c r="K7" s="6">
        <f t="shared" ref="K7:N7" si="0">SUM(K9:K14)</f>
        <v>62386013.534299999</v>
      </c>
      <c r="L7" s="6">
        <f t="shared" si="0"/>
        <v>53609448.568000004</v>
      </c>
      <c r="M7" s="6">
        <f t="shared" si="0"/>
        <v>51640775.451049998</v>
      </c>
      <c r="N7" s="6">
        <f t="shared" si="0"/>
        <v>45818024.148737498</v>
      </c>
      <c r="O7" s="6">
        <f>SUM(C7:N7)</f>
        <v>518331877.23983747</v>
      </c>
    </row>
    <row r="8" spans="1:15" x14ac:dyDescent="0.3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x14ac:dyDescent="0.3">
      <c r="B9" s="4" t="s">
        <v>4</v>
      </c>
      <c r="C9" s="5"/>
      <c r="D9" s="5"/>
      <c r="E9" s="5"/>
      <c r="F9" s="5"/>
      <c r="G9" s="5"/>
      <c r="H9" s="5"/>
      <c r="I9" s="5"/>
      <c r="J9" s="5">
        <v>21856404.657749999</v>
      </c>
      <c r="K9" s="5">
        <v>30886013.534299999</v>
      </c>
      <c r="L9" s="5">
        <v>20054868.568</v>
      </c>
      <c r="M9" s="5">
        <v>9531615.4510500003</v>
      </c>
      <c r="N9" s="5">
        <v>14402089.148737499</v>
      </c>
      <c r="O9" s="6">
        <f t="shared" ref="O9:O14" si="1">SUM(C9:N9)</f>
        <v>96730991.359837502</v>
      </c>
    </row>
    <row r="10" spans="1:15" x14ac:dyDescent="0.3">
      <c r="B10" s="4" t="s">
        <v>5</v>
      </c>
      <c r="C10" s="5"/>
      <c r="D10" s="5"/>
      <c r="E10" s="5"/>
      <c r="F10" s="5"/>
      <c r="G10" s="5"/>
      <c r="H10" s="5"/>
      <c r="I10" s="5"/>
      <c r="J10" s="5">
        <v>10000000</v>
      </c>
      <c r="K10" s="5">
        <v>6500000</v>
      </c>
      <c r="L10" s="5">
        <v>8554580</v>
      </c>
      <c r="M10" s="5">
        <v>17109160</v>
      </c>
      <c r="N10" s="5">
        <v>6415935</v>
      </c>
      <c r="O10" s="6">
        <f t="shared" si="1"/>
        <v>48579675</v>
      </c>
    </row>
    <row r="11" spans="1:15" x14ac:dyDescent="0.3">
      <c r="B11" s="4" t="s">
        <v>6</v>
      </c>
      <c r="C11" s="5"/>
      <c r="D11" s="5"/>
      <c r="E11" s="5"/>
      <c r="F11" s="5"/>
      <c r="G11" s="5"/>
      <c r="H11" s="5"/>
      <c r="I11" s="5"/>
      <c r="J11" s="5">
        <f>25000000/5</f>
        <v>5000000</v>
      </c>
      <c r="K11" s="5">
        <f t="shared" ref="K11:N11" si="2">25000000/5</f>
        <v>5000000</v>
      </c>
      <c r="L11" s="5">
        <f t="shared" si="2"/>
        <v>5000000</v>
      </c>
      <c r="M11" s="5">
        <f t="shared" si="2"/>
        <v>5000000</v>
      </c>
      <c r="N11" s="5">
        <f t="shared" si="2"/>
        <v>5000000</v>
      </c>
      <c r="O11" s="6">
        <f t="shared" si="1"/>
        <v>25000000</v>
      </c>
    </row>
    <row r="12" spans="1:15" x14ac:dyDescent="0.3">
      <c r="B12" s="4" t="s">
        <v>8</v>
      </c>
      <c r="C12" s="5"/>
      <c r="D12" s="5"/>
      <c r="E12" s="5"/>
      <c r="F12" s="5"/>
      <c r="G12" s="5"/>
      <c r="H12" s="5"/>
      <c r="I12" s="5"/>
      <c r="J12" s="5">
        <v>20000000</v>
      </c>
      <c r="K12" s="5">
        <v>20000000</v>
      </c>
      <c r="L12" s="5">
        <v>20000000</v>
      </c>
      <c r="M12" s="5">
        <v>20000000</v>
      </c>
      <c r="N12" s="5">
        <v>20000000</v>
      </c>
      <c r="O12" s="6">
        <f t="shared" si="1"/>
        <v>100000000</v>
      </c>
    </row>
    <row r="13" spans="1:15" x14ac:dyDescent="0.3">
      <c r="B13" s="4" t="s">
        <v>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>
        <f t="shared" si="1"/>
        <v>0</v>
      </c>
    </row>
    <row r="14" spans="1:15" x14ac:dyDescent="0.3">
      <c r="B14" s="4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>
        <f t="shared" si="1"/>
        <v>0</v>
      </c>
    </row>
    <row r="15" spans="1:15" x14ac:dyDescent="0.3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1:15" x14ac:dyDescent="0.3">
      <c r="B16" s="3" t="s">
        <v>2</v>
      </c>
      <c r="C16" s="12">
        <f>C7</f>
        <v>30609779.149999991</v>
      </c>
      <c r="D16" s="12">
        <f t="shared" ref="D16:N16" si="3">D7</f>
        <v>17635966.999999993</v>
      </c>
      <c r="E16" s="12">
        <f t="shared" si="3"/>
        <v>22372656.329999991</v>
      </c>
      <c r="F16" s="12">
        <f t="shared" si="3"/>
        <v>33087900.510000002</v>
      </c>
      <c r="G16" s="12">
        <f t="shared" si="3"/>
        <v>52338310</v>
      </c>
      <c r="H16" s="12">
        <f t="shared" si="3"/>
        <v>47379366.93</v>
      </c>
      <c r="I16" s="12">
        <f t="shared" si="3"/>
        <v>44597230.960000001</v>
      </c>
      <c r="J16" s="12">
        <f t="shared" si="3"/>
        <v>56856404.657749996</v>
      </c>
      <c r="K16" s="12">
        <f t="shared" si="3"/>
        <v>62386013.534299999</v>
      </c>
      <c r="L16" s="12">
        <f t="shared" si="3"/>
        <v>53609448.568000004</v>
      </c>
      <c r="M16" s="12">
        <f t="shared" si="3"/>
        <v>51640775.451049998</v>
      </c>
      <c r="N16" s="12">
        <f t="shared" si="3"/>
        <v>45818024.148737498</v>
      </c>
      <c r="O16" s="12">
        <f>SUM(C16:N16)</f>
        <v>518331877.23983747</v>
      </c>
    </row>
    <row r="19" spans="1:15" x14ac:dyDescent="0.3">
      <c r="A19" s="1"/>
      <c r="B19" s="2" t="s">
        <v>10</v>
      </c>
    </row>
    <row r="20" spans="1:15" s="58" customFormat="1" x14ac:dyDescent="0.3">
      <c r="A20" s="18"/>
      <c r="B20" s="19" t="s">
        <v>1</v>
      </c>
      <c r="C20" s="16">
        <v>45383</v>
      </c>
      <c r="D20" s="16">
        <v>45413</v>
      </c>
      <c r="E20" s="16">
        <v>45444</v>
      </c>
      <c r="F20" s="16">
        <v>45474</v>
      </c>
      <c r="G20" s="16">
        <v>45505</v>
      </c>
      <c r="H20" s="16">
        <v>45536</v>
      </c>
      <c r="I20" s="16">
        <v>45566</v>
      </c>
      <c r="J20" s="16">
        <v>45597</v>
      </c>
      <c r="K20" s="16">
        <v>45627</v>
      </c>
      <c r="L20" s="16">
        <v>45658</v>
      </c>
      <c r="M20" s="16">
        <v>45689</v>
      </c>
      <c r="N20" s="16">
        <v>45717</v>
      </c>
      <c r="O20" s="16" t="s">
        <v>2</v>
      </c>
    </row>
    <row r="21" spans="1:15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3">
      <c r="B22" s="4" t="s">
        <v>11</v>
      </c>
      <c r="C22" s="5">
        <v>10099286.960000001</v>
      </c>
      <c r="D22" s="5">
        <v>9929169.2699999996</v>
      </c>
      <c r="E22" s="5">
        <v>12384860.23</v>
      </c>
      <c r="F22" s="5">
        <v>12313419.800000001</v>
      </c>
      <c r="G22" s="5">
        <v>19932444.309999999</v>
      </c>
      <c r="H22" s="5">
        <v>21556954.579999998</v>
      </c>
      <c r="I22" s="5">
        <v>13264363.539999999</v>
      </c>
      <c r="J22" s="5">
        <f>J16*0.4</f>
        <v>22742561.8631</v>
      </c>
      <c r="K22" s="5">
        <f t="shared" ref="K22:N22" si="4">K16*0.4</f>
        <v>24954405.413720001</v>
      </c>
      <c r="L22" s="5">
        <f t="shared" si="4"/>
        <v>21443779.427200004</v>
      </c>
      <c r="M22" s="5">
        <f t="shared" si="4"/>
        <v>20656310.18042</v>
      </c>
      <c r="N22" s="5">
        <f t="shared" si="4"/>
        <v>18327209.659495</v>
      </c>
      <c r="O22" s="5">
        <f>SUM(C22:N22)</f>
        <v>207604765.23393503</v>
      </c>
    </row>
    <row r="23" spans="1:15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">
      <c r="B24" s="3" t="s">
        <v>2</v>
      </c>
      <c r="C24" s="12">
        <f>SUM(C22:C23)</f>
        <v>10099286.960000001</v>
      </c>
      <c r="D24" s="12">
        <f t="shared" ref="D24:O24" si="5">SUM(D22:D23)</f>
        <v>9929169.2699999996</v>
      </c>
      <c r="E24" s="12">
        <f t="shared" si="5"/>
        <v>12384860.23</v>
      </c>
      <c r="F24" s="12">
        <f t="shared" si="5"/>
        <v>12313419.800000001</v>
      </c>
      <c r="G24" s="12">
        <f t="shared" si="5"/>
        <v>19932444.309999999</v>
      </c>
      <c r="H24" s="12">
        <f t="shared" si="5"/>
        <v>21556954.579999998</v>
      </c>
      <c r="I24" s="12">
        <f t="shared" si="5"/>
        <v>13264363.539999999</v>
      </c>
      <c r="J24" s="12">
        <f t="shared" si="5"/>
        <v>22742561.8631</v>
      </c>
      <c r="K24" s="12">
        <f t="shared" si="5"/>
        <v>24954405.413720001</v>
      </c>
      <c r="L24" s="12">
        <f t="shared" si="5"/>
        <v>21443779.427200004</v>
      </c>
      <c r="M24" s="12">
        <f t="shared" si="5"/>
        <v>20656310.18042</v>
      </c>
      <c r="N24" s="12">
        <f t="shared" si="5"/>
        <v>18327209.659495</v>
      </c>
      <c r="O24" s="12">
        <f t="shared" si="5"/>
        <v>207604765.23393503</v>
      </c>
    </row>
    <row r="26" spans="1:15" x14ac:dyDescent="0.3">
      <c r="C26" s="123"/>
      <c r="D26" s="123"/>
      <c r="E26" s="123"/>
      <c r="F26" s="123"/>
      <c r="G26" s="123"/>
      <c r="H26" s="123"/>
      <c r="I26" s="123"/>
    </row>
    <row r="27" spans="1:15" x14ac:dyDescent="0.3">
      <c r="B27" s="2" t="s">
        <v>12</v>
      </c>
    </row>
    <row r="28" spans="1:15" s="58" customFormat="1" x14ac:dyDescent="0.3">
      <c r="A28" s="18"/>
      <c r="B28" s="19" t="s">
        <v>1</v>
      </c>
      <c r="C28" s="16">
        <v>45383</v>
      </c>
      <c r="D28" s="16">
        <v>45413</v>
      </c>
      <c r="E28" s="16">
        <v>45444</v>
      </c>
      <c r="F28" s="16">
        <v>45474</v>
      </c>
      <c r="G28" s="16">
        <v>45505</v>
      </c>
      <c r="H28" s="16">
        <v>45536</v>
      </c>
      <c r="I28" s="16">
        <v>45566</v>
      </c>
      <c r="J28" s="16">
        <v>45597</v>
      </c>
      <c r="K28" s="16">
        <v>45627</v>
      </c>
      <c r="L28" s="16">
        <v>45658</v>
      </c>
      <c r="M28" s="16">
        <v>45689</v>
      </c>
      <c r="N28" s="16">
        <v>45717</v>
      </c>
      <c r="O28" s="16" t="s">
        <v>2</v>
      </c>
    </row>
    <row r="29" spans="1:15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B30" s="4" t="s">
        <v>13</v>
      </c>
      <c r="C30" s="5">
        <v>220024818.38999999</v>
      </c>
      <c r="D30" s="5">
        <v>220886809.34</v>
      </c>
      <c r="E30" s="5">
        <v>219521388.33999997</v>
      </c>
      <c r="F30" s="5">
        <v>220056001.16</v>
      </c>
      <c r="G30" s="5">
        <v>214517496.94999999</v>
      </c>
      <c r="H30" s="5">
        <v>213390322.03000003</v>
      </c>
      <c r="I30" s="5">
        <v>198497653.41</v>
      </c>
      <c r="J30" s="5">
        <v>193755917</v>
      </c>
      <c r="K30" s="5">
        <v>188756760</v>
      </c>
      <c r="L30" s="5">
        <v>180756760</v>
      </c>
      <c r="M30" s="5">
        <v>175756760</v>
      </c>
      <c r="N30" s="5">
        <v>168756760</v>
      </c>
      <c r="O30" s="5">
        <f>SUM(C30:N30)</f>
        <v>2414677446.6199999</v>
      </c>
    </row>
    <row r="31" spans="1:15" x14ac:dyDescent="0.3">
      <c r="B31" s="4" t="s">
        <v>14</v>
      </c>
      <c r="C31" s="5">
        <v>224680034.13999999</v>
      </c>
      <c r="D31" s="5">
        <v>220024818.38999999</v>
      </c>
      <c r="E31" s="5">
        <v>220886809.34</v>
      </c>
      <c r="F31" s="5">
        <v>219521388.33999997</v>
      </c>
      <c r="G31" s="5">
        <v>220056001.16</v>
      </c>
      <c r="H31" s="5">
        <v>214517496.94999999</v>
      </c>
      <c r="I31" s="5">
        <v>213390322.03000003</v>
      </c>
      <c r="J31" s="5">
        <f>I30</f>
        <v>198497653.41</v>
      </c>
      <c r="K31" s="5">
        <f t="shared" ref="K31:N31" si="6">J30</f>
        <v>193755917</v>
      </c>
      <c r="L31" s="5">
        <f t="shared" si="6"/>
        <v>188756760</v>
      </c>
      <c r="M31" s="5">
        <f t="shared" si="6"/>
        <v>180756760</v>
      </c>
      <c r="N31" s="5">
        <f t="shared" si="6"/>
        <v>175756760</v>
      </c>
      <c r="O31" s="5">
        <f>SUM(C31:N31)</f>
        <v>2470600720.7600002</v>
      </c>
    </row>
    <row r="32" spans="1:15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B33" s="3" t="s">
        <v>2</v>
      </c>
      <c r="C33" s="12">
        <f>+C30-C31</f>
        <v>-4655215.75</v>
      </c>
      <c r="D33" s="12">
        <f t="shared" ref="D33:O33" si="7">+D30-D31</f>
        <v>861990.95000001788</v>
      </c>
      <c r="E33" s="12">
        <f t="shared" si="7"/>
        <v>-1365421.0000000298</v>
      </c>
      <c r="F33" s="12">
        <f t="shared" si="7"/>
        <v>534612.82000002265</v>
      </c>
      <c r="G33" s="12">
        <f t="shared" si="7"/>
        <v>-5538504.2100000083</v>
      </c>
      <c r="H33" s="12">
        <f t="shared" si="7"/>
        <v>-1127174.9199999571</v>
      </c>
      <c r="I33" s="12">
        <f t="shared" si="7"/>
        <v>-14892668.620000035</v>
      </c>
      <c r="J33" s="12">
        <f t="shared" si="7"/>
        <v>-4741736.4099999964</v>
      </c>
      <c r="K33" s="12">
        <f t="shared" si="7"/>
        <v>-4999157</v>
      </c>
      <c r="L33" s="12">
        <f t="shared" si="7"/>
        <v>-8000000</v>
      </c>
      <c r="M33" s="12">
        <f t="shared" si="7"/>
        <v>-5000000</v>
      </c>
      <c r="N33" s="12">
        <f t="shared" si="7"/>
        <v>-7000000</v>
      </c>
      <c r="O33" s="12">
        <f t="shared" si="7"/>
        <v>-55923274.140000343</v>
      </c>
    </row>
    <row r="36" spans="1:15" x14ac:dyDescent="0.3">
      <c r="A36" s="1"/>
      <c r="B36" s="2" t="s">
        <v>17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</row>
    <row r="37" spans="1:15" x14ac:dyDescent="0.3">
      <c r="A37" s="1"/>
      <c r="B37" t="s">
        <v>15</v>
      </c>
    </row>
    <row r="38" spans="1:15" s="58" customFormat="1" x14ac:dyDescent="0.3">
      <c r="A38" s="18"/>
      <c r="B38" s="19" t="s">
        <v>1</v>
      </c>
      <c r="C38" s="16">
        <v>45383</v>
      </c>
      <c r="D38" s="16">
        <v>45413</v>
      </c>
      <c r="E38" s="16">
        <v>45444</v>
      </c>
      <c r="F38" s="16">
        <v>45474</v>
      </c>
      <c r="G38" s="16">
        <v>45505</v>
      </c>
      <c r="H38" s="16">
        <v>45536</v>
      </c>
      <c r="I38" s="16">
        <v>45566</v>
      </c>
      <c r="J38" s="16">
        <v>45597</v>
      </c>
      <c r="K38" s="16">
        <v>45627</v>
      </c>
      <c r="L38" s="16">
        <v>45658</v>
      </c>
      <c r="M38" s="16">
        <v>45689</v>
      </c>
      <c r="N38" s="16">
        <v>45717</v>
      </c>
      <c r="O38" s="16" t="s">
        <v>2</v>
      </c>
    </row>
    <row r="39" spans="1:15" x14ac:dyDescent="0.3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3">
      <c r="B40" s="4" t="s">
        <v>18</v>
      </c>
      <c r="C40" s="5"/>
      <c r="D40" s="5">
        <v>33494</v>
      </c>
      <c r="E40" s="5"/>
      <c r="F40" s="5"/>
      <c r="G40" s="5">
        <v>9200</v>
      </c>
      <c r="H40" s="5">
        <v>3000</v>
      </c>
      <c r="I40" s="5"/>
      <c r="J40" s="5"/>
      <c r="K40" s="5"/>
      <c r="L40" s="5"/>
      <c r="M40" s="5"/>
      <c r="N40" s="5"/>
      <c r="O40" s="5">
        <f>SUM(C40:N40)</f>
        <v>45694</v>
      </c>
    </row>
    <row r="41" spans="1:15" x14ac:dyDescent="0.3">
      <c r="B41" s="4" t="s">
        <v>209</v>
      </c>
      <c r="C41" s="5"/>
      <c r="D41" s="5"/>
      <c r="E41" s="5"/>
      <c r="F41" s="5"/>
      <c r="G41" s="5"/>
      <c r="H41" s="5">
        <v>7000</v>
      </c>
      <c r="I41" s="5"/>
      <c r="J41" s="5"/>
      <c r="K41" s="5"/>
      <c r="L41" s="5"/>
      <c r="M41" s="5"/>
      <c r="N41" s="5"/>
      <c r="O41" s="5">
        <f t="shared" ref="O41:O48" si="8">SUM(C41:N41)</f>
        <v>7000</v>
      </c>
    </row>
    <row r="42" spans="1:15" x14ac:dyDescent="0.3">
      <c r="B42" s="4" t="s">
        <v>19</v>
      </c>
      <c r="C42" s="5"/>
      <c r="D42" s="5">
        <v>39757.5</v>
      </c>
      <c r="E42" s="5">
        <v>3856.5</v>
      </c>
      <c r="F42" s="5">
        <v>89634</v>
      </c>
      <c r="G42" s="5"/>
      <c r="H42" s="5">
        <v>7118</v>
      </c>
      <c r="I42" s="5">
        <v>70644.5</v>
      </c>
      <c r="J42" s="5"/>
      <c r="K42" s="5"/>
      <c r="L42" s="5"/>
      <c r="M42" s="5"/>
      <c r="N42" s="5"/>
      <c r="O42" s="5">
        <f t="shared" si="8"/>
        <v>211010.5</v>
      </c>
    </row>
    <row r="43" spans="1:15" x14ac:dyDescent="0.3">
      <c r="B43" s="4" t="s">
        <v>20</v>
      </c>
      <c r="C43" s="5">
        <v>12324</v>
      </c>
      <c r="D43" s="5">
        <v>54605</v>
      </c>
      <c r="E43" s="5">
        <v>6288</v>
      </c>
      <c r="F43" s="5">
        <v>7890</v>
      </c>
      <c r="G43" s="5">
        <v>458655</v>
      </c>
      <c r="H43" s="5">
        <v>383534</v>
      </c>
      <c r="I43" s="5">
        <v>943100.9</v>
      </c>
      <c r="J43" s="5"/>
      <c r="K43" s="5"/>
      <c r="L43" s="5"/>
      <c r="M43" s="5"/>
      <c r="N43" s="5"/>
      <c r="O43" s="5">
        <f t="shared" si="8"/>
        <v>1866396.9</v>
      </c>
    </row>
    <row r="44" spans="1:15" x14ac:dyDescent="0.3">
      <c r="B44" s="4" t="s">
        <v>21</v>
      </c>
      <c r="C44" s="5">
        <v>13793</v>
      </c>
      <c r="D44" s="5"/>
      <c r="E44" s="5"/>
      <c r="F44" s="5">
        <v>44482</v>
      </c>
      <c r="G44" s="5">
        <v>22310</v>
      </c>
      <c r="H44" s="5"/>
      <c r="I44" s="5">
        <v>58320</v>
      </c>
      <c r="J44" s="5"/>
      <c r="K44" s="5"/>
      <c r="L44" s="5"/>
      <c r="M44" s="5"/>
      <c r="N44" s="5"/>
      <c r="O44" s="5">
        <f t="shared" si="8"/>
        <v>138905</v>
      </c>
    </row>
    <row r="45" spans="1:15" x14ac:dyDescent="0.3">
      <c r="B45" s="4" t="s">
        <v>22</v>
      </c>
      <c r="C45" s="5"/>
      <c r="D45" s="5"/>
      <c r="E45" s="5"/>
      <c r="F45" s="5"/>
      <c r="G45" s="5">
        <v>37423</v>
      </c>
      <c r="H45" s="5">
        <v>19452</v>
      </c>
      <c r="I45" s="5">
        <v>2244</v>
      </c>
      <c r="J45" s="5"/>
      <c r="K45" s="5"/>
      <c r="L45" s="5"/>
      <c r="M45" s="5"/>
      <c r="N45" s="5"/>
      <c r="O45" s="5">
        <f t="shared" si="8"/>
        <v>59119</v>
      </c>
    </row>
    <row r="46" spans="1:15" x14ac:dyDescent="0.3">
      <c r="B46" s="4" t="s">
        <v>23</v>
      </c>
      <c r="C46" s="5">
        <v>1010908</v>
      </c>
      <c r="D46" s="5">
        <v>309600</v>
      </c>
      <c r="E46" s="5">
        <v>32870</v>
      </c>
      <c r="F46" s="5"/>
      <c r="G46" s="5"/>
      <c r="H46" s="5"/>
      <c r="I46" s="5"/>
      <c r="J46" s="5"/>
      <c r="K46" s="5"/>
      <c r="L46" s="5"/>
      <c r="M46" s="5"/>
      <c r="N46" s="5"/>
      <c r="O46" s="5">
        <f t="shared" si="8"/>
        <v>1353378</v>
      </c>
    </row>
    <row r="47" spans="1:15" x14ac:dyDescent="0.3">
      <c r="B47" s="4" t="s">
        <v>24</v>
      </c>
      <c r="C47" s="5"/>
      <c r="D47" s="5"/>
      <c r="E47" s="5"/>
      <c r="F47" s="5">
        <v>9944</v>
      </c>
      <c r="G47" s="5"/>
      <c r="H47" s="5"/>
      <c r="I47" s="5"/>
      <c r="J47" s="5"/>
      <c r="K47" s="5"/>
      <c r="L47" s="5"/>
      <c r="M47" s="5"/>
      <c r="N47" s="5"/>
      <c r="O47" s="5">
        <f t="shared" si="8"/>
        <v>9944</v>
      </c>
    </row>
    <row r="48" spans="1:15" x14ac:dyDescent="0.3">
      <c r="B48" s="4" t="s">
        <v>25</v>
      </c>
      <c r="C48" s="5">
        <v>289004</v>
      </c>
      <c r="D48" s="5">
        <v>112485</v>
      </c>
      <c r="E48" s="5">
        <v>1878881.7</v>
      </c>
      <c r="F48" s="5">
        <v>5400</v>
      </c>
      <c r="G48" s="5">
        <v>369066</v>
      </c>
      <c r="H48" s="5">
        <v>54020</v>
      </c>
      <c r="I48" s="5"/>
      <c r="J48" s="5">
        <v>750000</v>
      </c>
      <c r="K48" s="5">
        <v>750000</v>
      </c>
      <c r="L48" s="5">
        <v>750000</v>
      </c>
      <c r="M48" s="5">
        <v>750000</v>
      </c>
      <c r="N48" s="5">
        <v>750000</v>
      </c>
      <c r="O48" s="5">
        <f t="shared" si="8"/>
        <v>6458856.7000000002</v>
      </c>
    </row>
    <row r="49" spans="1:15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B50" s="3" t="s">
        <v>2</v>
      </c>
      <c r="C50" s="12">
        <f>SUM(C39:C49)</f>
        <v>1326029</v>
      </c>
      <c r="D50" s="12">
        <f t="shared" ref="D50:O50" si="9">SUM(D39:D49)</f>
        <v>549941.5</v>
      </c>
      <c r="E50" s="12">
        <f t="shared" si="9"/>
        <v>1921896.2</v>
      </c>
      <c r="F50" s="12">
        <f t="shared" si="9"/>
        <v>157350</v>
      </c>
      <c r="G50" s="12">
        <f t="shared" si="9"/>
        <v>896654</v>
      </c>
      <c r="H50" s="12">
        <f t="shared" si="9"/>
        <v>474124</v>
      </c>
      <c r="I50" s="12">
        <f t="shared" si="9"/>
        <v>1074309.3999999999</v>
      </c>
      <c r="J50" s="12">
        <f t="shared" si="9"/>
        <v>750000</v>
      </c>
      <c r="K50" s="12">
        <f t="shared" si="9"/>
        <v>750000</v>
      </c>
      <c r="L50" s="12">
        <f t="shared" si="9"/>
        <v>750000</v>
      </c>
      <c r="M50" s="12">
        <f t="shared" si="9"/>
        <v>750000</v>
      </c>
      <c r="N50" s="12">
        <f t="shared" si="9"/>
        <v>750000</v>
      </c>
      <c r="O50" s="12">
        <f t="shared" si="9"/>
        <v>10150304.1</v>
      </c>
    </row>
    <row r="51" spans="1:15" x14ac:dyDescent="0.3">
      <c r="B51" s="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</row>
    <row r="52" spans="1:15" x14ac:dyDescent="0.3">
      <c r="B52" s="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</row>
    <row r="53" spans="1:15" x14ac:dyDescent="0.3">
      <c r="B53" s="2" t="s">
        <v>30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</row>
    <row r="54" spans="1:15" x14ac:dyDescent="0.3">
      <c r="B54" t="s">
        <v>15</v>
      </c>
    </row>
    <row r="55" spans="1:15" s="58" customFormat="1" x14ac:dyDescent="0.3">
      <c r="A55" s="18"/>
      <c r="B55" s="19" t="s">
        <v>1</v>
      </c>
      <c r="C55" s="16">
        <v>45383</v>
      </c>
      <c r="D55" s="16">
        <v>45413</v>
      </c>
      <c r="E55" s="16">
        <v>45444</v>
      </c>
      <c r="F55" s="16">
        <v>45474</v>
      </c>
      <c r="G55" s="16">
        <v>45505</v>
      </c>
      <c r="H55" s="16">
        <v>45536</v>
      </c>
      <c r="I55" s="16">
        <v>45566</v>
      </c>
      <c r="J55" s="16">
        <v>45597</v>
      </c>
      <c r="K55" s="16">
        <v>45627</v>
      </c>
      <c r="L55" s="16">
        <v>45658</v>
      </c>
      <c r="M55" s="16">
        <v>45689</v>
      </c>
      <c r="N55" s="16">
        <v>45717</v>
      </c>
      <c r="O55" s="16" t="s">
        <v>2</v>
      </c>
    </row>
    <row r="56" spans="1:15" x14ac:dyDescent="0.3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B57" s="4" t="s">
        <v>31</v>
      </c>
      <c r="C57" s="5">
        <v>69088</v>
      </c>
      <c r="D57" s="5">
        <v>34544</v>
      </c>
      <c r="E57" s="5">
        <v>11389</v>
      </c>
      <c r="F57" s="5">
        <v>53634</v>
      </c>
      <c r="G57" s="5">
        <v>53636</v>
      </c>
      <c r="H57" s="5">
        <v>53634</v>
      </c>
      <c r="I57" s="5">
        <v>53634</v>
      </c>
      <c r="J57" s="5">
        <v>55000</v>
      </c>
      <c r="K57" s="5">
        <v>55000</v>
      </c>
      <c r="L57" s="5">
        <v>55000</v>
      </c>
      <c r="M57" s="5">
        <v>55000</v>
      </c>
      <c r="N57" s="5">
        <v>55000</v>
      </c>
      <c r="O57" s="5"/>
    </row>
    <row r="58" spans="1:15" x14ac:dyDescent="0.3">
      <c r="B58" s="4" t="s">
        <v>32</v>
      </c>
      <c r="C58" s="5">
        <v>677915</v>
      </c>
      <c r="D58" s="5">
        <v>341917</v>
      </c>
      <c r="E58" s="5">
        <v>390143</v>
      </c>
      <c r="F58" s="5">
        <v>441742</v>
      </c>
      <c r="G58" s="5">
        <v>400250</v>
      </c>
      <c r="H58" s="5">
        <v>336358</v>
      </c>
      <c r="I58" s="5">
        <v>371439</v>
      </c>
      <c r="J58" s="5">
        <v>425000</v>
      </c>
      <c r="K58" s="5">
        <v>425000</v>
      </c>
      <c r="L58" s="5">
        <v>425000</v>
      </c>
      <c r="M58" s="5">
        <v>425000</v>
      </c>
      <c r="N58" s="5">
        <v>425000</v>
      </c>
      <c r="O58" s="5"/>
    </row>
    <row r="59" spans="1:15" x14ac:dyDescent="0.3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B60" s="3" t="s">
        <v>2</v>
      </c>
      <c r="C60" s="12">
        <f t="shared" ref="C60:O60" si="10">SUM(C56:C59)</f>
        <v>747003</v>
      </c>
      <c r="D60" s="12">
        <f t="shared" si="10"/>
        <v>376461</v>
      </c>
      <c r="E60" s="12">
        <f t="shared" si="10"/>
        <v>401532</v>
      </c>
      <c r="F60" s="12">
        <f t="shared" si="10"/>
        <v>495376</v>
      </c>
      <c r="G60" s="12">
        <f t="shared" si="10"/>
        <v>453886</v>
      </c>
      <c r="H60" s="12">
        <f t="shared" si="10"/>
        <v>389992</v>
      </c>
      <c r="I60" s="12">
        <f t="shared" si="10"/>
        <v>425073</v>
      </c>
      <c r="J60" s="12">
        <f t="shared" si="10"/>
        <v>480000</v>
      </c>
      <c r="K60" s="12">
        <f t="shared" si="10"/>
        <v>480000</v>
      </c>
      <c r="L60" s="12">
        <f t="shared" si="10"/>
        <v>480000</v>
      </c>
      <c r="M60" s="12">
        <f t="shared" si="10"/>
        <v>480000</v>
      </c>
      <c r="N60" s="12">
        <f t="shared" si="10"/>
        <v>480000</v>
      </c>
      <c r="O60" s="12">
        <f t="shared" si="10"/>
        <v>0</v>
      </c>
    </row>
    <row r="61" spans="1:15" x14ac:dyDescent="0.3">
      <c r="B61" s="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5" x14ac:dyDescent="0.3">
      <c r="B62" s="2" t="s">
        <v>29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5" x14ac:dyDescent="0.3">
      <c r="B63" t="s">
        <v>15</v>
      </c>
    </row>
    <row r="64" spans="1:15" s="58" customFormat="1" x14ac:dyDescent="0.3">
      <c r="A64" s="18"/>
      <c r="B64" s="19" t="s">
        <v>1</v>
      </c>
      <c r="C64" s="16">
        <v>45383</v>
      </c>
      <c r="D64" s="16">
        <v>45413</v>
      </c>
      <c r="E64" s="16">
        <v>45444</v>
      </c>
      <c r="F64" s="16">
        <v>45474</v>
      </c>
      <c r="G64" s="16">
        <v>45505</v>
      </c>
      <c r="H64" s="16">
        <v>45536</v>
      </c>
      <c r="I64" s="16">
        <v>45566</v>
      </c>
      <c r="J64" s="16">
        <v>45597</v>
      </c>
      <c r="K64" s="16">
        <v>45627</v>
      </c>
      <c r="L64" s="16">
        <v>45658</v>
      </c>
      <c r="M64" s="16">
        <v>45689</v>
      </c>
      <c r="N64" s="16">
        <v>45717</v>
      </c>
      <c r="O64" s="16" t="s">
        <v>2</v>
      </c>
    </row>
    <row r="65" spans="1:15" x14ac:dyDescent="0.3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3">
      <c r="B66" s="4" t="s">
        <v>28</v>
      </c>
      <c r="C66" s="5">
        <v>24972</v>
      </c>
      <c r="D66" s="5">
        <v>42736</v>
      </c>
      <c r="E66" s="5">
        <v>55992.72</v>
      </c>
      <c r="F66" s="5">
        <v>36261</v>
      </c>
      <c r="G66" s="5">
        <v>90499.97</v>
      </c>
      <c r="H66" s="5">
        <v>43589.5</v>
      </c>
      <c r="I66" s="5">
        <v>29976</v>
      </c>
      <c r="J66" s="5">
        <v>45000</v>
      </c>
      <c r="K66" s="5">
        <v>45000</v>
      </c>
      <c r="L66" s="5">
        <v>45000</v>
      </c>
      <c r="M66" s="5">
        <v>45000</v>
      </c>
      <c r="N66" s="5">
        <v>45000</v>
      </c>
      <c r="O66" s="5"/>
    </row>
    <row r="67" spans="1:15" x14ac:dyDescent="0.3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3">
      <c r="B68" s="3" t="s">
        <v>2</v>
      </c>
      <c r="C68" s="12">
        <f t="shared" ref="C68:O68" si="11">SUM(C65:C67)</f>
        <v>24972</v>
      </c>
      <c r="D68" s="12">
        <f t="shared" si="11"/>
        <v>42736</v>
      </c>
      <c r="E68" s="12">
        <f t="shared" si="11"/>
        <v>55992.72</v>
      </c>
      <c r="F68" s="12">
        <f t="shared" si="11"/>
        <v>36261</v>
      </c>
      <c r="G68" s="12">
        <f t="shared" si="11"/>
        <v>90499.97</v>
      </c>
      <c r="H68" s="12">
        <f t="shared" si="11"/>
        <v>43589.5</v>
      </c>
      <c r="I68" s="12">
        <f t="shared" si="11"/>
        <v>29976</v>
      </c>
      <c r="J68" s="12">
        <f t="shared" si="11"/>
        <v>45000</v>
      </c>
      <c r="K68" s="12">
        <f t="shared" si="11"/>
        <v>45000</v>
      </c>
      <c r="L68" s="12">
        <f t="shared" si="11"/>
        <v>45000</v>
      </c>
      <c r="M68" s="12">
        <f t="shared" si="11"/>
        <v>45000</v>
      </c>
      <c r="N68" s="12">
        <f t="shared" si="11"/>
        <v>45000</v>
      </c>
      <c r="O68" s="12">
        <f t="shared" si="11"/>
        <v>0</v>
      </c>
    </row>
    <row r="69" spans="1:15" x14ac:dyDescent="0.3">
      <c r="B69" s="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5" x14ac:dyDescent="0.3">
      <c r="B70" s="2" t="s">
        <v>26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5" x14ac:dyDescent="0.3">
      <c r="B71" t="s">
        <v>15</v>
      </c>
      <c r="D71" s="15" t="s">
        <v>16</v>
      </c>
    </row>
    <row r="72" spans="1:15" s="58" customFormat="1" x14ac:dyDescent="0.3">
      <c r="A72" s="18"/>
      <c r="B72" s="19" t="s">
        <v>1</v>
      </c>
      <c r="C72" s="16">
        <v>45383</v>
      </c>
      <c r="D72" s="16">
        <v>45413</v>
      </c>
      <c r="E72" s="16">
        <v>45444</v>
      </c>
      <c r="F72" s="16">
        <v>45474</v>
      </c>
      <c r="G72" s="16">
        <v>45505</v>
      </c>
      <c r="H72" s="16">
        <v>45536</v>
      </c>
      <c r="I72" s="16">
        <v>45566</v>
      </c>
      <c r="J72" s="16">
        <v>45597</v>
      </c>
      <c r="K72" s="16">
        <v>45627</v>
      </c>
      <c r="L72" s="16">
        <v>45658</v>
      </c>
      <c r="M72" s="16">
        <v>45689</v>
      </c>
      <c r="N72" s="16">
        <v>45717</v>
      </c>
      <c r="O72" s="16" t="s">
        <v>2</v>
      </c>
    </row>
    <row r="73" spans="1:15" x14ac:dyDescent="0.3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3">
      <c r="B74" s="4" t="s">
        <v>26</v>
      </c>
      <c r="C74" s="5">
        <v>66585</v>
      </c>
      <c r="D74" s="5">
        <v>88639</v>
      </c>
      <c r="E74" s="5">
        <v>228898</v>
      </c>
      <c r="F74" s="5">
        <v>169303</v>
      </c>
      <c r="G74" s="5">
        <v>233293</v>
      </c>
      <c r="H74" s="5">
        <v>131717</v>
      </c>
      <c r="I74" s="5">
        <v>54008.75</v>
      </c>
      <c r="J74" s="5">
        <f>J16*0.1%</f>
        <v>56856.404657749998</v>
      </c>
      <c r="K74" s="5">
        <f t="shared" ref="K74:N74" si="12">K16*0.1%</f>
        <v>62386.0135343</v>
      </c>
      <c r="L74" s="5">
        <f t="shared" si="12"/>
        <v>53609.448568000007</v>
      </c>
      <c r="M74" s="5">
        <f t="shared" si="12"/>
        <v>51640.775451050002</v>
      </c>
      <c r="N74" s="5">
        <f t="shared" si="12"/>
        <v>45818.024148737495</v>
      </c>
      <c r="O74" s="5"/>
    </row>
    <row r="75" spans="1:15" x14ac:dyDescent="0.3">
      <c r="B75" s="4" t="s">
        <v>27</v>
      </c>
      <c r="C75" s="5">
        <v>200</v>
      </c>
      <c r="D75" s="5"/>
      <c r="E75" s="5"/>
      <c r="F75" s="5"/>
      <c r="G75" s="5">
        <v>-150</v>
      </c>
      <c r="H75" s="5"/>
      <c r="I75" s="5"/>
      <c r="J75" s="5">
        <v>500</v>
      </c>
      <c r="K75" s="5">
        <v>500</v>
      </c>
      <c r="L75" s="5">
        <v>500</v>
      </c>
      <c r="M75" s="5">
        <v>500</v>
      </c>
      <c r="N75" s="5">
        <v>500</v>
      </c>
      <c r="O75" s="5"/>
    </row>
    <row r="76" spans="1:15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x14ac:dyDescent="0.3">
      <c r="B77" s="3" t="s">
        <v>2</v>
      </c>
      <c r="C77" s="12">
        <f>SUM(C73:C76)</f>
        <v>66785</v>
      </c>
      <c r="D77" s="12">
        <f t="shared" ref="D77:O77" si="13">SUM(D73:D76)</f>
        <v>88639</v>
      </c>
      <c r="E77" s="12">
        <f t="shared" si="13"/>
        <v>228898</v>
      </c>
      <c r="F77" s="12">
        <f t="shared" si="13"/>
        <v>169303</v>
      </c>
      <c r="G77" s="12">
        <f t="shared" si="13"/>
        <v>233143</v>
      </c>
      <c r="H77" s="12">
        <f t="shared" si="13"/>
        <v>131717</v>
      </c>
      <c r="I77" s="12">
        <f t="shared" si="13"/>
        <v>54008.75</v>
      </c>
      <c r="J77" s="12">
        <f t="shared" si="13"/>
        <v>57356.404657749998</v>
      </c>
      <c r="K77" s="12">
        <f t="shared" si="13"/>
        <v>62886.0135343</v>
      </c>
      <c r="L77" s="12">
        <f t="shared" si="13"/>
        <v>54109.448568000007</v>
      </c>
      <c r="M77" s="12">
        <f t="shared" si="13"/>
        <v>52140.775451050002</v>
      </c>
      <c r="N77" s="12">
        <f t="shared" si="13"/>
        <v>46318.024148737495</v>
      </c>
      <c r="O77" s="12">
        <f t="shared" si="13"/>
        <v>0</v>
      </c>
    </row>
    <row r="78" spans="1:15" x14ac:dyDescent="0.3">
      <c r="B78" s="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1:15" x14ac:dyDescent="0.3">
      <c r="B79" s="2" t="s">
        <v>132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1:15" x14ac:dyDescent="0.3">
      <c r="B80" t="s">
        <v>15</v>
      </c>
    </row>
    <row r="81" spans="1:15" s="58" customFormat="1" x14ac:dyDescent="0.3">
      <c r="A81" s="18"/>
      <c r="B81" s="19" t="s">
        <v>1</v>
      </c>
      <c r="C81" s="16">
        <v>45383</v>
      </c>
      <c r="D81" s="16">
        <v>45413</v>
      </c>
      <c r="E81" s="16">
        <v>45444</v>
      </c>
      <c r="F81" s="16">
        <v>45474</v>
      </c>
      <c r="G81" s="16">
        <v>45505</v>
      </c>
      <c r="H81" s="16">
        <v>45536</v>
      </c>
      <c r="I81" s="16">
        <v>45566</v>
      </c>
      <c r="J81" s="16">
        <v>45597</v>
      </c>
      <c r="K81" s="16">
        <v>45627</v>
      </c>
      <c r="L81" s="16">
        <v>45658</v>
      </c>
      <c r="M81" s="16">
        <v>45689</v>
      </c>
      <c r="N81" s="16">
        <v>45717</v>
      </c>
      <c r="O81" s="16" t="s">
        <v>2</v>
      </c>
    </row>
    <row r="82" spans="1:15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3">
      <c r="B83" s="4" t="s">
        <v>133</v>
      </c>
      <c r="C83" s="5">
        <v>3445</v>
      </c>
      <c r="D83" s="5"/>
      <c r="E83" s="5">
        <v>45</v>
      </c>
      <c r="F83" s="5">
        <v>45094</v>
      </c>
      <c r="G83" s="5">
        <v>16000</v>
      </c>
      <c r="H83" s="5">
        <v>16161</v>
      </c>
      <c r="I83" s="5">
        <v>8000</v>
      </c>
      <c r="J83" s="5">
        <v>15000</v>
      </c>
      <c r="K83" s="5">
        <v>15000</v>
      </c>
      <c r="L83" s="5">
        <v>15000</v>
      </c>
      <c r="M83" s="5">
        <v>15000</v>
      </c>
      <c r="N83" s="5">
        <v>15000</v>
      </c>
      <c r="O83" s="5"/>
    </row>
    <row r="84" spans="1:15" x14ac:dyDescent="0.3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3">
      <c r="B85" s="3" t="s">
        <v>2</v>
      </c>
      <c r="C85" s="12">
        <f t="shared" ref="C85" si="14">SUM(C82:C84)</f>
        <v>3445</v>
      </c>
      <c r="D85" s="12">
        <f t="shared" ref="D85" si="15">SUM(D82:D84)</f>
        <v>0</v>
      </c>
      <c r="E85" s="12">
        <f t="shared" ref="E85" si="16">SUM(E82:E84)</f>
        <v>45</v>
      </c>
      <c r="F85" s="12">
        <f t="shared" ref="F85" si="17">SUM(F82:F84)</f>
        <v>45094</v>
      </c>
      <c r="G85" s="12">
        <f t="shared" ref="G85" si="18">SUM(G82:G84)</f>
        <v>16000</v>
      </c>
      <c r="H85" s="12">
        <f t="shared" ref="H85" si="19">SUM(H82:H84)</f>
        <v>16161</v>
      </c>
      <c r="I85" s="12">
        <f t="shared" ref="I85" si="20">SUM(I82:I84)</f>
        <v>8000</v>
      </c>
      <c r="J85" s="12">
        <f t="shared" ref="J85" si="21">SUM(J82:J84)</f>
        <v>15000</v>
      </c>
      <c r="K85" s="12">
        <f t="shared" ref="K85" si="22">SUM(K82:K84)</f>
        <v>15000</v>
      </c>
      <c r="L85" s="12">
        <f t="shared" ref="L85" si="23">SUM(L82:L84)</f>
        <v>15000</v>
      </c>
      <c r="M85" s="12">
        <f t="shared" ref="M85" si="24">SUM(M82:M84)</f>
        <v>15000</v>
      </c>
      <c r="N85" s="12">
        <f t="shared" ref="N85" si="25">SUM(N82:N84)</f>
        <v>15000</v>
      </c>
      <c r="O85" s="12">
        <f t="shared" ref="O85" si="26">SUM(O82:O84)</f>
        <v>0</v>
      </c>
    </row>
    <row r="88" spans="1:15" x14ac:dyDescent="0.3">
      <c r="B88" s="2" t="s">
        <v>33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</row>
    <row r="89" spans="1:15" x14ac:dyDescent="0.3">
      <c r="B89" t="s">
        <v>15</v>
      </c>
    </row>
    <row r="90" spans="1:15" s="58" customFormat="1" x14ac:dyDescent="0.3">
      <c r="A90" s="18"/>
      <c r="B90" s="19" t="s">
        <v>1</v>
      </c>
      <c r="C90" s="16">
        <v>45383</v>
      </c>
      <c r="D90" s="16">
        <v>45413</v>
      </c>
      <c r="E90" s="16">
        <v>45444</v>
      </c>
      <c r="F90" s="16">
        <v>45474</v>
      </c>
      <c r="G90" s="16">
        <v>45505</v>
      </c>
      <c r="H90" s="16">
        <v>45536</v>
      </c>
      <c r="I90" s="16">
        <v>45566</v>
      </c>
      <c r="J90" s="16">
        <v>45597</v>
      </c>
      <c r="K90" s="16">
        <v>45627</v>
      </c>
      <c r="L90" s="16">
        <v>45658</v>
      </c>
      <c r="M90" s="16">
        <v>45689</v>
      </c>
      <c r="N90" s="16">
        <v>45717</v>
      </c>
      <c r="O90" s="16" t="s">
        <v>2</v>
      </c>
    </row>
    <row r="91" spans="1:15" x14ac:dyDescent="0.3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 x14ac:dyDescent="0.3">
      <c r="B92" s="4" t="s">
        <v>34</v>
      </c>
      <c r="C92" s="5">
        <v>902992</v>
      </c>
      <c r="D92" s="5">
        <v>902992</v>
      </c>
      <c r="E92" s="5">
        <v>902992</v>
      </c>
      <c r="F92" s="5">
        <v>902992</v>
      </c>
      <c r="G92" s="5">
        <v>1508044</v>
      </c>
      <c r="H92" s="5">
        <v>944252</v>
      </c>
      <c r="I92" s="5">
        <v>935052</v>
      </c>
      <c r="J92" s="5">
        <v>935000</v>
      </c>
      <c r="K92" s="5">
        <v>935000</v>
      </c>
      <c r="L92" s="5">
        <v>935000</v>
      </c>
      <c r="M92" s="5">
        <v>935000</v>
      </c>
      <c r="N92" s="5">
        <v>935000</v>
      </c>
      <c r="O92" s="5"/>
    </row>
    <row r="93" spans="1:15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x14ac:dyDescent="0.3">
      <c r="B94" s="3" t="s">
        <v>2</v>
      </c>
      <c r="C94" s="12">
        <f t="shared" ref="C94:O94" si="27">SUM(C91:C93)</f>
        <v>902992</v>
      </c>
      <c r="D94" s="12">
        <f t="shared" si="27"/>
        <v>902992</v>
      </c>
      <c r="E94" s="12">
        <f t="shared" si="27"/>
        <v>902992</v>
      </c>
      <c r="F94" s="12">
        <f t="shared" si="27"/>
        <v>902992</v>
      </c>
      <c r="G94" s="12">
        <f t="shared" si="27"/>
        <v>1508044</v>
      </c>
      <c r="H94" s="12">
        <f t="shared" si="27"/>
        <v>944252</v>
      </c>
      <c r="I94" s="12">
        <f t="shared" si="27"/>
        <v>935052</v>
      </c>
      <c r="J94" s="12">
        <f t="shared" si="27"/>
        <v>935000</v>
      </c>
      <c r="K94" s="12">
        <f t="shared" si="27"/>
        <v>935000</v>
      </c>
      <c r="L94" s="12">
        <f t="shared" si="27"/>
        <v>935000</v>
      </c>
      <c r="M94" s="12">
        <f t="shared" si="27"/>
        <v>935000</v>
      </c>
      <c r="N94" s="12">
        <f t="shared" si="27"/>
        <v>935000</v>
      </c>
      <c r="O94" s="12">
        <f t="shared" si="27"/>
        <v>0</v>
      </c>
    </row>
    <row r="97" spans="1:15" x14ac:dyDescent="0.3">
      <c r="A97" s="1"/>
      <c r="B97" s="2" t="s">
        <v>35</v>
      </c>
    </row>
    <row r="98" spans="1:15" x14ac:dyDescent="0.3">
      <c r="A98" s="1"/>
      <c r="B98" t="s">
        <v>15</v>
      </c>
      <c r="D98" s="15" t="s">
        <v>16</v>
      </c>
    </row>
    <row r="99" spans="1:15" s="58" customFormat="1" x14ac:dyDescent="0.3">
      <c r="A99" s="18"/>
      <c r="B99" s="19" t="s">
        <v>1</v>
      </c>
      <c r="C99" s="16">
        <v>45383</v>
      </c>
      <c r="D99" s="16">
        <v>45413</v>
      </c>
      <c r="E99" s="16">
        <v>45444</v>
      </c>
      <c r="F99" s="16">
        <v>45474</v>
      </c>
      <c r="G99" s="16">
        <v>45505</v>
      </c>
      <c r="H99" s="16">
        <v>45536</v>
      </c>
      <c r="I99" s="16">
        <v>45566</v>
      </c>
      <c r="J99" s="16">
        <v>45597</v>
      </c>
      <c r="K99" s="16">
        <v>45627</v>
      </c>
      <c r="L99" s="16">
        <v>45658</v>
      </c>
      <c r="M99" s="16">
        <v>45689</v>
      </c>
      <c r="N99" s="16">
        <v>45717</v>
      </c>
      <c r="O99" s="16" t="s">
        <v>2</v>
      </c>
    </row>
    <row r="100" spans="1:15" x14ac:dyDescent="0.3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3">
      <c r="B101" s="4" t="s">
        <v>36</v>
      </c>
      <c r="C101" s="5">
        <v>61742</v>
      </c>
      <c r="D101" s="5">
        <v>285511</v>
      </c>
      <c r="E101" s="5">
        <v>270197</v>
      </c>
      <c r="F101" s="5">
        <v>52657</v>
      </c>
      <c r="G101" s="5">
        <v>338556</v>
      </c>
      <c r="H101" s="5">
        <v>216956</v>
      </c>
      <c r="I101" s="5">
        <v>121043</v>
      </c>
      <c r="J101" s="5">
        <v>360983</v>
      </c>
      <c r="K101" s="5">
        <v>380000</v>
      </c>
      <c r="L101" s="5">
        <v>400000</v>
      </c>
      <c r="M101" s="5">
        <v>410000</v>
      </c>
      <c r="N101" s="5">
        <v>420000</v>
      </c>
      <c r="O101" s="5">
        <f>SUM(C101:N101)</f>
        <v>3317645</v>
      </c>
    </row>
    <row r="102" spans="1:15" x14ac:dyDescent="0.3">
      <c r="B102" s="4" t="s">
        <v>37</v>
      </c>
      <c r="C102" s="5">
        <v>219473</v>
      </c>
      <c r="D102" s="5">
        <v>226890</v>
      </c>
      <c r="E102" s="5">
        <v>228781</v>
      </c>
      <c r="F102" s="5">
        <v>232739</v>
      </c>
      <c r="G102" s="5">
        <v>237273</v>
      </c>
      <c r="H102" s="5">
        <v>33695.25</v>
      </c>
      <c r="I102" s="5">
        <v>72014</v>
      </c>
      <c r="J102" s="5">
        <v>160589</v>
      </c>
      <c r="K102" s="5">
        <v>165589</v>
      </c>
      <c r="L102" s="5">
        <v>170589</v>
      </c>
      <c r="M102" s="5">
        <v>175589</v>
      </c>
      <c r="N102" s="5">
        <v>190589</v>
      </c>
      <c r="O102" s="5">
        <f t="shared" ref="O102:O109" si="28">SUM(C102:N102)</f>
        <v>2113810.25</v>
      </c>
    </row>
    <row r="103" spans="1:15" x14ac:dyDescent="0.3">
      <c r="B103" s="4" t="s">
        <v>38</v>
      </c>
      <c r="C103" s="5">
        <v>66236</v>
      </c>
      <c r="D103" s="5">
        <v>315183</v>
      </c>
      <c r="E103" s="5">
        <v>163190</v>
      </c>
      <c r="F103" s="5">
        <v>177670</v>
      </c>
      <c r="G103" s="5">
        <v>702412</v>
      </c>
      <c r="H103" s="5">
        <v>247647</v>
      </c>
      <c r="I103" s="5">
        <v>143182</v>
      </c>
      <c r="J103" s="5">
        <v>156704</v>
      </c>
      <c r="K103" s="5">
        <v>160500</v>
      </c>
      <c r="L103" s="5">
        <v>170500</v>
      </c>
      <c r="M103" s="5">
        <v>180500</v>
      </c>
      <c r="N103" s="5">
        <v>181500</v>
      </c>
      <c r="O103" s="5">
        <f t="shared" si="28"/>
        <v>2665224</v>
      </c>
    </row>
    <row r="104" spans="1:15" x14ac:dyDescent="0.3">
      <c r="B104" s="4" t="s">
        <v>39</v>
      </c>
      <c r="C104" s="5">
        <v>37448</v>
      </c>
      <c r="D104" s="5">
        <v>61602</v>
      </c>
      <c r="E104" s="5">
        <v>29815</v>
      </c>
      <c r="F104" s="5">
        <v>35550</v>
      </c>
      <c r="G104" s="5">
        <v>19510</v>
      </c>
      <c r="H104" s="5">
        <v>29728</v>
      </c>
      <c r="I104" s="5">
        <v>4750</v>
      </c>
      <c r="J104" s="5">
        <v>8000</v>
      </c>
      <c r="K104" s="5">
        <v>9000</v>
      </c>
      <c r="L104" s="5">
        <v>9000</v>
      </c>
      <c r="M104" s="5">
        <v>9000</v>
      </c>
      <c r="N104" s="5">
        <v>9000</v>
      </c>
      <c r="O104" s="5">
        <f t="shared" si="28"/>
        <v>262403</v>
      </c>
    </row>
    <row r="105" spans="1:15" x14ac:dyDescent="0.3">
      <c r="B105" s="4" t="s">
        <v>40</v>
      </c>
      <c r="C105" s="5">
        <v>30088</v>
      </c>
      <c r="D105" s="5">
        <v>29676</v>
      </c>
      <c r="E105" s="5">
        <v>29020</v>
      </c>
      <c r="F105" s="5">
        <v>30532</v>
      </c>
      <c r="G105" s="5">
        <v>30954</v>
      </c>
      <c r="H105" s="5">
        <v>31450</v>
      </c>
      <c r="I105" s="5">
        <v>36534</v>
      </c>
      <c r="J105" s="5">
        <v>21668</v>
      </c>
      <c r="K105" s="5">
        <v>24000</v>
      </c>
      <c r="L105" s="5">
        <v>27000</v>
      </c>
      <c r="M105" s="5">
        <v>32000</v>
      </c>
      <c r="N105" s="5">
        <v>36000</v>
      </c>
      <c r="O105" s="5">
        <f t="shared" si="28"/>
        <v>358922</v>
      </c>
    </row>
    <row r="106" spans="1:15" x14ac:dyDescent="0.3">
      <c r="B106" s="4" t="s">
        <v>41</v>
      </c>
      <c r="C106" s="5">
        <v>752247</v>
      </c>
      <c r="D106" s="5">
        <v>741908</v>
      </c>
      <c r="E106" s="5">
        <v>725533</v>
      </c>
      <c r="F106" s="5">
        <v>763297</v>
      </c>
      <c r="G106" s="5">
        <v>773851</v>
      </c>
      <c r="H106" s="5">
        <v>695129</v>
      </c>
      <c r="I106" s="5">
        <v>720014</v>
      </c>
      <c r="J106" s="5">
        <v>541683</v>
      </c>
      <c r="K106" s="5">
        <v>555683</v>
      </c>
      <c r="L106" s="5">
        <v>560683</v>
      </c>
      <c r="M106" s="5">
        <v>580683</v>
      </c>
      <c r="N106" s="5">
        <v>595683</v>
      </c>
      <c r="O106" s="5">
        <f t="shared" si="28"/>
        <v>8006394</v>
      </c>
    </row>
    <row r="107" spans="1:15" x14ac:dyDescent="0.3">
      <c r="B107" s="4" t="s">
        <v>42</v>
      </c>
      <c r="C107" s="5">
        <v>409180</v>
      </c>
      <c r="D107" s="5">
        <v>499088</v>
      </c>
      <c r="E107" s="5">
        <v>851560</v>
      </c>
      <c r="F107" s="5">
        <v>605762</v>
      </c>
      <c r="G107" s="5">
        <v>373570</v>
      </c>
      <c r="H107" s="5">
        <v>362728</v>
      </c>
      <c r="I107" s="5">
        <v>371022</v>
      </c>
      <c r="J107" s="5">
        <v>380000</v>
      </c>
      <c r="K107" s="5">
        <v>361000</v>
      </c>
      <c r="L107" s="5">
        <v>370022</v>
      </c>
      <c r="M107" s="5">
        <v>381000</v>
      </c>
      <c r="N107" s="5">
        <v>398022</v>
      </c>
      <c r="O107" s="5">
        <f t="shared" si="28"/>
        <v>5362954</v>
      </c>
    </row>
    <row r="108" spans="1:15" x14ac:dyDescent="0.3">
      <c r="B108" s="4" t="s">
        <v>43</v>
      </c>
      <c r="C108" s="5">
        <v>98296</v>
      </c>
      <c r="D108" s="5">
        <v>390094</v>
      </c>
      <c r="E108" s="5">
        <v>253007</v>
      </c>
      <c r="F108" s="5">
        <v>229861</v>
      </c>
      <c r="G108" s="5">
        <v>230677</v>
      </c>
      <c r="H108" s="5">
        <v>225546</v>
      </c>
      <c r="I108" s="5">
        <v>216748</v>
      </c>
      <c r="J108" s="5">
        <v>118212</v>
      </c>
      <c r="K108" s="5">
        <v>117000</v>
      </c>
      <c r="L108" s="5">
        <v>118000</v>
      </c>
      <c r="M108" s="5">
        <v>134212</v>
      </c>
      <c r="N108" s="5">
        <v>135000</v>
      </c>
      <c r="O108" s="5">
        <f t="shared" si="28"/>
        <v>2266653</v>
      </c>
    </row>
    <row r="109" spans="1:15" x14ac:dyDescent="0.3">
      <c r="B109" s="4" t="s">
        <v>44</v>
      </c>
      <c r="C109" s="5">
        <v>5715749</v>
      </c>
      <c r="D109" s="5">
        <v>5688862</v>
      </c>
      <c r="E109" s="5">
        <v>5803504</v>
      </c>
      <c r="F109" s="5">
        <v>6262626</v>
      </c>
      <c r="G109" s="5">
        <v>6102950</v>
      </c>
      <c r="H109" s="5">
        <v>6040521</v>
      </c>
      <c r="I109" s="5">
        <v>6127248</v>
      </c>
      <c r="J109" s="5">
        <v>4941215</v>
      </c>
      <c r="K109" s="5">
        <v>4991215</v>
      </c>
      <c r="L109" s="5">
        <v>5001215</v>
      </c>
      <c r="M109" s="5">
        <v>5501215</v>
      </c>
      <c r="N109" s="5">
        <v>5501215</v>
      </c>
      <c r="O109" s="5">
        <f t="shared" si="28"/>
        <v>67677535</v>
      </c>
    </row>
    <row r="110" spans="1:15" x14ac:dyDescent="0.3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3">
      <c r="B111" s="3" t="s">
        <v>2</v>
      </c>
      <c r="C111" s="12">
        <f>SUM(C101:C109)</f>
        <v>7390459</v>
      </c>
      <c r="D111" s="12">
        <f t="shared" ref="D111:O111" si="29">SUM(D101:D109)</f>
        <v>8238814</v>
      </c>
      <c r="E111" s="12">
        <f t="shared" si="29"/>
        <v>8354607</v>
      </c>
      <c r="F111" s="12">
        <f t="shared" si="29"/>
        <v>8390694</v>
      </c>
      <c r="G111" s="12">
        <f t="shared" si="29"/>
        <v>8809753</v>
      </c>
      <c r="H111" s="12">
        <f t="shared" si="29"/>
        <v>7883400.25</v>
      </c>
      <c r="I111" s="12">
        <f t="shared" si="29"/>
        <v>7812555</v>
      </c>
      <c r="J111" s="12">
        <f t="shared" si="29"/>
        <v>6689054</v>
      </c>
      <c r="K111" s="12">
        <f t="shared" si="29"/>
        <v>6763987</v>
      </c>
      <c r="L111" s="12">
        <f t="shared" si="29"/>
        <v>6827009</v>
      </c>
      <c r="M111" s="12">
        <f t="shared" si="29"/>
        <v>7404199</v>
      </c>
      <c r="N111" s="12">
        <f t="shared" si="29"/>
        <v>7467009</v>
      </c>
      <c r="O111" s="12">
        <f t="shared" si="29"/>
        <v>92031540.25</v>
      </c>
    </row>
    <row r="112" spans="1:15" x14ac:dyDescent="0.3">
      <c r="B112" s="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x14ac:dyDescent="0.3">
      <c r="B113" s="2" t="s">
        <v>70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x14ac:dyDescent="0.3">
      <c r="B114" t="s">
        <v>15</v>
      </c>
    </row>
    <row r="115" spans="1:15" s="58" customFormat="1" x14ac:dyDescent="0.3">
      <c r="A115" s="18"/>
      <c r="B115" s="19" t="s">
        <v>1</v>
      </c>
      <c r="C115" s="16">
        <v>45383</v>
      </c>
      <c r="D115" s="16">
        <v>45413</v>
      </c>
      <c r="E115" s="16">
        <v>45444</v>
      </c>
      <c r="F115" s="16">
        <v>45474</v>
      </c>
      <c r="G115" s="16">
        <v>45505</v>
      </c>
      <c r="H115" s="16">
        <v>45536</v>
      </c>
      <c r="I115" s="16">
        <v>45566</v>
      </c>
      <c r="J115" s="16">
        <v>45597</v>
      </c>
      <c r="K115" s="16">
        <v>45627</v>
      </c>
      <c r="L115" s="16">
        <v>45658</v>
      </c>
      <c r="M115" s="16">
        <v>45689</v>
      </c>
      <c r="N115" s="16">
        <v>45717</v>
      </c>
      <c r="O115" s="16" t="s">
        <v>2</v>
      </c>
    </row>
    <row r="116" spans="1:15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3">
      <c r="B117" s="4" t="s">
        <v>71</v>
      </c>
      <c r="C117" s="5">
        <v>102826</v>
      </c>
      <c r="D117" s="5">
        <v>77562</v>
      </c>
      <c r="E117" s="5">
        <v>67377</v>
      </c>
      <c r="F117" s="5">
        <v>91263</v>
      </c>
      <c r="G117" s="5">
        <v>52688</v>
      </c>
      <c r="H117" s="5">
        <v>-33520</v>
      </c>
      <c r="I117" s="5">
        <v>136563</v>
      </c>
      <c r="J117" s="5">
        <v>339890</v>
      </c>
      <c r="K117" s="5">
        <v>349890</v>
      </c>
      <c r="L117" s="5">
        <v>350890</v>
      </c>
      <c r="M117" s="5">
        <v>353890</v>
      </c>
      <c r="N117" s="5">
        <v>358890</v>
      </c>
      <c r="O117" s="5"/>
    </row>
    <row r="118" spans="1:15" x14ac:dyDescent="0.3">
      <c r="B118" s="4" t="s">
        <v>72</v>
      </c>
      <c r="C118" s="5">
        <v>157011</v>
      </c>
      <c r="D118" s="5">
        <v>152205</v>
      </c>
      <c r="E118" s="5">
        <v>135723</v>
      </c>
      <c r="F118" s="5">
        <v>30672</v>
      </c>
      <c r="G118" s="5">
        <v>295131</v>
      </c>
      <c r="H118" s="5">
        <v>96371</v>
      </c>
      <c r="I118" s="5">
        <v>848409</v>
      </c>
      <c r="J118" s="5">
        <v>62620</v>
      </c>
      <c r="K118" s="5">
        <v>70620</v>
      </c>
      <c r="L118" s="5">
        <v>75620</v>
      </c>
      <c r="M118" s="5">
        <v>80620</v>
      </c>
      <c r="N118" s="5">
        <v>90620</v>
      </c>
      <c r="O118" s="5"/>
    </row>
    <row r="119" spans="1:15" x14ac:dyDescent="0.3">
      <c r="B119" s="4" t="s">
        <v>73</v>
      </c>
      <c r="C119" s="5">
        <v>158921</v>
      </c>
      <c r="D119" s="5">
        <v>89827</v>
      </c>
      <c r="E119" s="5">
        <v>129231</v>
      </c>
      <c r="F119" s="5"/>
      <c r="G119" s="5">
        <v>243357</v>
      </c>
      <c r="H119" s="5">
        <v>36322</v>
      </c>
      <c r="I119" s="5">
        <v>710155</v>
      </c>
      <c r="J119" s="5">
        <v>50000</v>
      </c>
      <c r="K119" s="5">
        <v>40000</v>
      </c>
      <c r="L119" s="5">
        <v>55000</v>
      </c>
      <c r="M119" s="5">
        <v>80000</v>
      </c>
      <c r="N119" s="5">
        <v>100000</v>
      </c>
      <c r="O119" s="5"/>
    </row>
    <row r="120" spans="1:15" s="17" customFormat="1" x14ac:dyDescent="0.3">
      <c r="A120" s="7"/>
      <c r="B120" s="8" t="s">
        <v>74</v>
      </c>
      <c r="C120" s="6">
        <v>5597418</v>
      </c>
      <c r="D120" s="6">
        <v>5427274</v>
      </c>
      <c r="E120" s="6">
        <v>5323785</v>
      </c>
      <c r="F120" s="6">
        <v>5201778</v>
      </c>
      <c r="G120" s="6">
        <v>4846308</v>
      </c>
      <c r="H120" s="6">
        <v>4842999</v>
      </c>
      <c r="I120" s="6">
        <v>4650541</v>
      </c>
      <c r="J120" s="6">
        <f>SUM(J121:J124)</f>
        <v>4515000</v>
      </c>
      <c r="K120" s="6">
        <f t="shared" ref="K120:N120" si="30">SUM(K121:K124)</f>
        <v>4495000</v>
      </c>
      <c r="L120" s="6">
        <f t="shared" si="30"/>
        <v>4545000</v>
      </c>
      <c r="M120" s="6">
        <f t="shared" si="30"/>
        <v>4495000</v>
      </c>
      <c r="N120" s="6">
        <f t="shared" si="30"/>
        <v>4495000</v>
      </c>
      <c r="O120" s="6"/>
    </row>
    <row r="121" spans="1:15" x14ac:dyDescent="0.3">
      <c r="B121" s="4" t="s">
        <v>137</v>
      </c>
      <c r="C121" s="5"/>
      <c r="D121" s="5"/>
      <c r="E121" s="5"/>
      <c r="F121" s="5"/>
      <c r="G121" s="5"/>
      <c r="H121" s="5"/>
      <c r="I121" s="5"/>
      <c r="J121" s="5">
        <v>1220000</v>
      </c>
      <c r="K121" s="5">
        <v>1200000</v>
      </c>
      <c r="L121" s="5">
        <v>1250000</v>
      </c>
      <c r="M121" s="5">
        <v>1200000</v>
      </c>
      <c r="N121" s="5">
        <v>1200000</v>
      </c>
      <c r="O121" s="5"/>
    </row>
    <row r="122" spans="1:15" x14ac:dyDescent="0.3">
      <c r="B122" s="4" t="s">
        <v>140</v>
      </c>
      <c r="C122" s="5"/>
      <c r="D122" s="5"/>
      <c r="E122" s="5"/>
      <c r="F122" s="5"/>
      <c r="G122" s="5"/>
      <c r="H122" s="5"/>
      <c r="I122" s="5"/>
      <c r="J122" s="5">
        <v>95000</v>
      </c>
      <c r="K122" s="5">
        <v>95000</v>
      </c>
      <c r="L122" s="5">
        <v>95000</v>
      </c>
      <c r="M122" s="5">
        <v>95000</v>
      </c>
      <c r="N122" s="5">
        <v>95000</v>
      </c>
      <c r="O122" s="5"/>
    </row>
    <row r="123" spans="1:15" x14ac:dyDescent="0.3">
      <c r="B123" s="4" t="s">
        <v>141</v>
      </c>
      <c r="C123" s="5"/>
      <c r="D123" s="5"/>
      <c r="E123" s="5"/>
      <c r="F123" s="5"/>
      <c r="G123" s="5"/>
      <c r="H123" s="5"/>
      <c r="I123" s="5"/>
      <c r="J123" s="5">
        <v>700000</v>
      </c>
      <c r="K123" s="5">
        <v>700000</v>
      </c>
      <c r="L123" s="5">
        <v>700000</v>
      </c>
      <c r="M123" s="5">
        <v>700000</v>
      </c>
      <c r="N123" s="5">
        <v>700000</v>
      </c>
      <c r="O123" s="5"/>
    </row>
    <row r="124" spans="1:15" x14ac:dyDescent="0.3">
      <c r="B124" s="4" t="s">
        <v>297</v>
      </c>
      <c r="C124" s="5"/>
      <c r="D124" s="5"/>
      <c r="E124" s="5"/>
      <c r="F124" s="5"/>
      <c r="G124" s="5"/>
      <c r="H124" s="5"/>
      <c r="I124" s="5"/>
      <c r="J124" s="5">
        <v>2500000</v>
      </c>
      <c r="K124" s="5">
        <v>2500000</v>
      </c>
      <c r="L124" s="5">
        <v>2500000</v>
      </c>
      <c r="M124" s="5">
        <v>2500000</v>
      </c>
      <c r="N124" s="5">
        <v>2500000</v>
      </c>
      <c r="O124" s="5"/>
    </row>
    <row r="125" spans="1:15" x14ac:dyDescent="0.3">
      <c r="B125" s="4" t="s">
        <v>298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3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3">
      <c r="B127" s="3" t="s">
        <v>2</v>
      </c>
      <c r="C127" s="12">
        <f t="shared" ref="C127:O127" si="31">SUM(C116:C126)</f>
        <v>6016176</v>
      </c>
      <c r="D127" s="12">
        <f t="shared" si="31"/>
        <v>5746868</v>
      </c>
      <c r="E127" s="12">
        <f t="shared" si="31"/>
        <v>5656116</v>
      </c>
      <c r="F127" s="12">
        <f t="shared" si="31"/>
        <v>5323713</v>
      </c>
      <c r="G127" s="12">
        <f t="shared" si="31"/>
        <v>5437484</v>
      </c>
      <c r="H127" s="12">
        <f t="shared" si="31"/>
        <v>4942172</v>
      </c>
      <c r="I127" s="12">
        <f t="shared" si="31"/>
        <v>6345668</v>
      </c>
      <c r="J127" s="12">
        <f>SUM(J116:J120)</f>
        <v>4967510</v>
      </c>
      <c r="K127" s="12">
        <f t="shared" ref="K127:N127" si="32">SUM(K116:K120)</f>
        <v>4955510</v>
      </c>
      <c r="L127" s="12">
        <f t="shared" si="32"/>
        <v>5026510</v>
      </c>
      <c r="M127" s="12">
        <f t="shared" si="32"/>
        <v>5009510</v>
      </c>
      <c r="N127" s="12">
        <f t="shared" si="32"/>
        <v>5044510</v>
      </c>
      <c r="O127" s="12">
        <f t="shared" si="31"/>
        <v>0</v>
      </c>
    </row>
    <row r="128" spans="1:15" x14ac:dyDescent="0.3">
      <c r="B128" s="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x14ac:dyDescent="0.3">
      <c r="B129" s="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x14ac:dyDescent="0.3">
      <c r="B130" s="2" t="s">
        <v>75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x14ac:dyDescent="0.3">
      <c r="B131" t="s">
        <v>15</v>
      </c>
    </row>
    <row r="132" spans="1:15" s="58" customFormat="1" x14ac:dyDescent="0.3">
      <c r="A132" s="18"/>
      <c r="B132" s="19" t="s">
        <v>1</v>
      </c>
      <c r="C132" s="16">
        <v>45383</v>
      </c>
      <c r="D132" s="16">
        <v>45413</v>
      </c>
      <c r="E132" s="16">
        <v>45444</v>
      </c>
      <c r="F132" s="16">
        <v>45474</v>
      </c>
      <c r="G132" s="16">
        <v>45505</v>
      </c>
      <c r="H132" s="16">
        <v>45536</v>
      </c>
      <c r="I132" s="16">
        <v>45566</v>
      </c>
      <c r="J132" s="16">
        <v>45597</v>
      </c>
      <c r="K132" s="16">
        <v>45627</v>
      </c>
      <c r="L132" s="16">
        <v>45658</v>
      </c>
      <c r="M132" s="16">
        <v>45689</v>
      </c>
      <c r="N132" s="16">
        <v>45717</v>
      </c>
      <c r="O132" s="16" t="s">
        <v>2</v>
      </c>
    </row>
    <row r="133" spans="1:15" x14ac:dyDescent="0.3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s="17" customFormat="1" x14ac:dyDescent="0.3">
      <c r="A134" s="7"/>
      <c r="B134" s="8" t="s">
        <v>75</v>
      </c>
      <c r="C134" s="6">
        <f>SUM(C135:C136)</f>
        <v>65440.91</v>
      </c>
      <c r="D134" s="6">
        <f t="shared" ref="D134:J134" si="33">SUM(D135:D136)</f>
        <v>69521.31</v>
      </c>
      <c r="E134" s="6">
        <f t="shared" si="33"/>
        <v>120149.07</v>
      </c>
      <c r="F134" s="6">
        <f t="shared" si="33"/>
        <v>137454.6</v>
      </c>
      <c r="G134" s="6">
        <f t="shared" si="33"/>
        <v>152887</v>
      </c>
      <c r="H134" s="6">
        <f t="shared" si="33"/>
        <v>89852</v>
      </c>
      <c r="I134" s="6">
        <f t="shared" si="33"/>
        <v>100218</v>
      </c>
      <c r="J134" s="6">
        <f t="shared" si="33"/>
        <v>80000</v>
      </c>
      <c r="K134" s="6">
        <f t="shared" ref="K134:N134" si="34">SUM(K135:K136)</f>
        <v>100000</v>
      </c>
      <c r="L134" s="6">
        <f t="shared" si="34"/>
        <v>100000</v>
      </c>
      <c r="M134" s="6">
        <f t="shared" si="34"/>
        <v>100000</v>
      </c>
      <c r="N134" s="6">
        <f t="shared" si="34"/>
        <v>100000</v>
      </c>
      <c r="O134" s="6"/>
    </row>
    <row r="135" spans="1:15" x14ac:dyDescent="0.3">
      <c r="B135" s="4" t="s">
        <v>143</v>
      </c>
      <c r="C135" s="5"/>
      <c r="D135" s="5"/>
      <c r="E135" s="5"/>
      <c r="F135" s="5"/>
      <c r="G135" s="5"/>
      <c r="H135" s="5"/>
      <c r="I135" s="5"/>
      <c r="J135" s="5"/>
      <c r="K135" s="5">
        <v>20000</v>
      </c>
      <c r="L135" s="5">
        <v>20000</v>
      </c>
      <c r="M135" s="5">
        <v>20000</v>
      </c>
      <c r="N135" s="5">
        <v>20000</v>
      </c>
      <c r="O135" s="5"/>
    </row>
    <row r="136" spans="1:15" x14ac:dyDescent="0.3">
      <c r="B136" s="4" t="s">
        <v>144</v>
      </c>
      <c r="C136" s="5">
        <v>65440.91</v>
      </c>
      <c r="D136" s="5">
        <v>69521.31</v>
      </c>
      <c r="E136" s="5">
        <v>120149.07</v>
      </c>
      <c r="F136" s="5">
        <v>137454.6</v>
      </c>
      <c r="G136" s="5">
        <v>152887</v>
      </c>
      <c r="H136" s="5">
        <v>89852</v>
      </c>
      <c r="I136" s="5">
        <v>100218</v>
      </c>
      <c r="J136" s="5">
        <v>80000</v>
      </c>
      <c r="K136" s="5">
        <v>80000</v>
      </c>
      <c r="L136" s="5">
        <v>80000</v>
      </c>
      <c r="M136" s="5">
        <v>80000</v>
      </c>
      <c r="N136" s="5">
        <v>80000</v>
      </c>
      <c r="O136" s="5"/>
    </row>
    <row r="137" spans="1:15" x14ac:dyDescent="0.3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3">
      <c r="B138" s="4" t="s">
        <v>134</v>
      </c>
      <c r="C138" s="5">
        <v>11023.6</v>
      </c>
      <c r="D138" s="5">
        <v>13550.74</v>
      </c>
      <c r="E138" s="5">
        <v>17594.34</v>
      </c>
      <c r="F138" s="5">
        <v>13146</v>
      </c>
      <c r="G138" s="5">
        <v>15637.82</v>
      </c>
      <c r="H138" s="5">
        <v>14663.66</v>
      </c>
      <c r="I138" s="5">
        <v>15923.3</v>
      </c>
      <c r="J138" s="5">
        <v>30000</v>
      </c>
      <c r="K138" s="5">
        <v>30000</v>
      </c>
      <c r="L138" s="5">
        <v>30000</v>
      </c>
      <c r="M138" s="5">
        <v>30000</v>
      </c>
      <c r="N138" s="5">
        <v>30000</v>
      </c>
      <c r="O138" s="5"/>
    </row>
    <row r="139" spans="1:15" x14ac:dyDescent="0.3">
      <c r="B139" s="4" t="s">
        <v>63</v>
      </c>
      <c r="C139" s="5">
        <v>252132.1</v>
      </c>
      <c r="D139" s="5">
        <v>148418</v>
      </c>
      <c r="E139" s="5">
        <v>226178</v>
      </c>
      <c r="F139" s="5">
        <v>386008</v>
      </c>
      <c r="G139" s="5">
        <v>467050</v>
      </c>
      <c r="H139" s="5">
        <v>284547</v>
      </c>
      <c r="I139" s="5">
        <v>238200</v>
      </c>
      <c r="J139" s="5">
        <v>153000</v>
      </c>
      <c r="K139" s="5">
        <v>153000</v>
      </c>
      <c r="L139" s="5">
        <v>153000</v>
      </c>
      <c r="M139" s="5">
        <v>153000</v>
      </c>
      <c r="N139" s="5">
        <v>153000</v>
      </c>
      <c r="O139" s="5"/>
    </row>
    <row r="140" spans="1:15" x14ac:dyDescent="0.3">
      <c r="B140" s="4" t="s">
        <v>135</v>
      </c>
      <c r="C140" s="5">
        <v>102052.87</v>
      </c>
      <c r="D140" s="5">
        <v>168702.03</v>
      </c>
      <c r="E140" s="5">
        <v>162521.1</v>
      </c>
      <c r="F140" s="5">
        <v>183917</v>
      </c>
      <c r="G140" s="5">
        <v>134668</v>
      </c>
      <c r="H140" s="5">
        <v>184697</v>
      </c>
      <c r="I140" s="5">
        <v>139211</v>
      </c>
      <c r="J140" s="5">
        <v>150000</v>
      </c>
      <c r="K140" s="5">
        <v>150000</v>
      </c>
      <c r="L140" s="5">
        <v>150000</v>
      </c>
      <c r="M140" s="5">
        <v>150000</v>
      </c>
      <c r="N140" s="5">
        <v>150000</v>
      </c>
      <c r="O140" s="5"/>
    </row>
    <row r="141" spans="1:15" x14ac:dyDescent="0.3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x14ac:dyDescent="0.3">
      <c r="B142" s="3" t="s">
        <v>2</v>
      </c>
      <c r="C142" s="12">
        <f t="shared" ref="C142:O142" si="35">SUM(C133:C141)</f>
        <v>496090.39</v>
      </c>
      <c r="D142" s="12">
        <f t="shared" si="35"/>
        <v>469713.39</v>
      </c>
      <c r="E142" s="12">
        <f t="shared" si="35"/>
        <v>646591.57999999996</v>
      </c>
      <c r="F142" s="12">
        <f t="shared" si="35"/>
        <v>857980.2</v>
      </c>
      <c r="G142" s="12">
        <f t="shared" si="35"/>
        <v>923129.82000000007</v>
      </c>
      <c r="H142" s="12">
        <f t="shared" si="35"/>
        <v>663611.66</v>
      </c>
      <c r="I142" s="12">
        <f t="shared" si="35"/>
        <v>593770.30000000005</v>
      </c>
      <c r="J142" s="12">
        <f t="shared" si="35"/>
        <v>493000</v>
      </c>
      <c r="K142" s="12">
        <f t="shared" si="35"/>
        <v>533000</v>
      </c>
      <c r="L142" s="12">
        <f t="shared" si="35"/>
        <v>533000</v>
      </c>
      <c r="M142" s="12">
        <f t="shared" si="35"/>
        <v>533000</v>
      </c>
      <c r="N142" s="12">
        <f t="shared" si="35"/>
        <v>533000</v>
      </c>
      <c r="O142" s="12">
        <f t="shared" si="35"/>
        <v>0</v>
      </c>
    </row>
    <row r="143" spans="1:15" x14ac:dyDescent="0.3">
      <c r="B143" s="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5" spans="1:15" x14ac:dyDescent="0.3">
      <c r="B145" s="2" t="s">
        <v>45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x14ac:dyDescent="0.3">
      <c r="B146" t="s">
        <v>15</v>
      </c>
    </row>
    <row r="147" spans="1:15" s="58" customFormat="1" x14ac:dyDescent="0.3">
      <c r="A147" s="18"/>
      <c r="B147" s="19" t="s">
        <v>1</v>
      </c>
      <c r="C147" s="16">
        <v>45383</v>
      </c>
      <c r="D147" s="16">
        <v>45413</v>
      </c>
      <c r="E147" s="16">
        <v>45444</v>
      </c>
      <c r="F147" s="16">
        <v>45474</v>
      </c>
      <c r="G147" s="16">
        <v>45505</v>
      </c>
      <c r="H147" s="16">
        <v>45536</v>
      </c>
      <c r="I147" s="16">
        <v>45566</v>
      </c>
      <c r="J147" s="16">
        <v>45597</v>
      </c>
      <c r="K147" s="16">
        <v>45627</v>
      </c>
      <c r="L147" s="16">
        <v>45658</v>
      </c>
      <c r="M147" s="16">
        <v>45689</v>
      </c>
      <c r="N147" s="16">
        <v>45717</v>
      </c>
      <c r="O147" s="16" t="s">
        <v>2</v>
      </c>
    </row>
    <row r="148" spans="1:15" x14ac:dyDescent="0.3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3">
      <c r="B149" s="4" t="s">
        <v>46</v>
      </c>
      <c r="C149" s="5">
        <v>14553.17</v>
      </c>
      <c r="D149" s="5">
        <v>13963.72</v>
      </c>
      <c r="E149" s="5">
        <v>207104.67</v>
      </c>
      <c r="F149" s="5">
        <v>-152588</v>
      </c>
      <c r="G149" s="5">
        <v>167369.63</v>
      </c>
      <c r="H149" s="5">
        <v>155171.56</v>
      </c>
      <c r="I149" s="5"/>
      <c r="J149" s="5">
        <v>14553.17</v>
      </c>
      <c r="K149" s="5">
        <v>14553.17</v>
      </c>
      <c r="L149" s="5">
        <v>14553.17</v>
      </c>
      <c r="M149" s="5">
        <v>14553.17</v>
      </c>
      <c r="N149" s="5">
        <v>14553.17</v>
      </c>
      <c r="O149" s="5"/>
    </row>
    <row r="150" spans="1:15" x14ac:dyDescent="0.3">
      <c r="B150" s="4" t="s">
        <v>47</v>
      </c>
      <c r="C150" s="5">
        <v>180535.6</v>
      </c>
      <c r="D150" s="5"/>
      <c r="E150" s="5">
        <v>66402.600000000006</v>
      </c>
      <c r="F150" s="5">
        <v>394550.08</v>
      </c>
      <c r="G150" s="5">
        <v>246713.15</v>
      </c>
      <c r="H150" s="5">
        <v>37082.980000000003</v>
      </c>
      <c r="I150" s="5">
        <v>67603.199999999997</v>
      </c>
      <c r="J150" s="5">
        <v>180535.6</v>
      </c>
      <c r="K150" s="5">
        <v>180535.6</v>
      </c>
      <c r="L150" s="5">
        <v>180535.6</v>
      </c>
      <c r="M150" s="5">
        <v>180535.6</v>
      </c>
      <c r="N150" s="5">
        <v>180535.6</v>
      </c>
      <c r="O150" s="5"/>
    </row>
    <row r="151" spans="1:15" x14ac:dyDescent="0.3">
      <c r="B151" s="4" t="s">
        <v>48</v>
      </c>
      <c r="C151" s="5">
        <v>208211.45</v>
      </c>
      <c r="D151" s="5">
        <v>24359</v>
      </c>
      <c r="E151" s="5"/>
      <c r="F151" s="5"/>
      <c r="G151" s="5"/>
      <c r="H151" s="5"/>
      <c r="I151" s="5"/>
      <c r="J151" s="5">
        <v>208211.45</v>
      </c>
      <c r="K151" s="5">
        <v>208211.45</v>
      </c>
      <c r="L151" s="5">
        <v>208211.45</v>
      </c>
      <c r="M151" s="5">
        <v>208211.45</v>
      </c>
      <c r="N151" s="5">
        <v>208211.45</v>
      </c>
      <c r="O151" s="5"/>
    </row>
    <row r="152" spans="1:15" x14ac:dyDescent="0.3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3">
      <c r="B153" s="3" t="s">
        <v>2</v>
      </c>
      <c r="C153" s="12">
        <f t="shared" ref="C153:O153" si="36">SUM(C148:C152)</f>
        <v>403300.22000000003</v>
      </c>
      <c r="D153" s="12">
        <f t="shared" si="36"/>
        <v>38322.720000000001</v>
      </c>
      <c r="E153" s="12">
        <f t="shared" si="36"/>
        <v>273507.27</v>
      </c>
      <c r="F153" s="12">
        <f t="shared" si="36"/>
        <v>241962.08000000002</v>
      </c>
      <c r="G153" s="12">
        <f t="shared" si="36"/>
        <v>414082.78</v>
      </c>
      <c r="H153" s="12">
        <f t="shared" si="36"/>
        <v>192254.54</v>
      </c>
      <c r="I153" s="12">
        <f t="shared" si="36"/>
        <v>67603.199999999997</v>
      </c>
      <c r="J153" s="12">
        <f t="shared" si="36"/>
        <v>403300.22000000003</v>
      </c>
      <c r="K153" s="12">
        <f t="shared" si="36"/>
        <v>403300.22000000003</v>
      </c>
      <c r="L153" s="12">
        <f t="shared" si="36"/>
        <v>403300.22000000003</v>
      </c>
      <c r="M153" s="12">
        <f t="shared" si="36"/>
        <v>403300.22000000003</v>
      </c>
      <c r="N153" s="12">
        <f t="shared" si="36"/>
        <v>403300.22000000003</v>
      </c>
      <c r="O153" s="12">
        <f t="shared" si="36"/>
        <v>0</v>
      </c>
    </row>
    <row r="154" spans="1:15" x14ac:dyDescent="0.3">
      <c r="B154" s="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1:15" x14ac:dyDescent="0.3">
      <c r="B155" s="2" t="s">
        <v>58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1:15" x14ac:dyDescent="0.3">
      <c r="B156" t="s">
        <v>15</v>
      </c>
    </row>
    <row r="157" spans="1:15" s="58" customFormat="1" x14ac:dyDescent="0.3">
      <c r="A157" s="18"/>
      <c r="B157" s="19" t="s">
        <v>1</v>
      </c>
      <c r="C157" s="16">
        <v>45383</v>
      </c>
      <c r="D157" s="16">
        <v>45413</v>
      </c>
      <c r="E157" s="16">
        <v>45444</v>
      </c>
      <c r="F157" s="16">
        <v>45474</v>
      </c>
      <c r="G157" s="16">
        <v>45505</v>
      </c>
      <c r="H157" s="16">
        <v>45536</v>
      </c>
      <c r="I157" s="16">
        <v>45566</v>
      </c>
      <c r="J157" s="16">
        <v>45597</v>
      </c>
      <c r="K157" s="16">
        <v>45627</v>
      </c>
      <c r="L157" s="16">
        <v>45658</v>
      </c>
      <c r="M157" s="16">
        <v>45689</v>
      </c>
      <c r="N157" s="16">
        <v>45717</v>
      </c>
      <c r="O157" s="16" t="s">
        <v>2</v>
      </c>
    </row>
    <row r="158" spans="1:15" x14ac:dyDescent="0.3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3">
      <c r="B159" s="4" t="s">
        <v>59</v>
      </c>
      <c r="C159" s="5">
        <v>72329.740000000005</v>
      </c>
      <c r="D159" s="5">
        <v>57959.94</v>
      </c>
      <c r="E159" s="5">
        <v>17050.95</v>
      </c>
      <c r="F159" s="5">
        <v>45157.47</v>
      </c>
      <c r="G159" s="5">
        <v>64164.68</v>
      </c>
      <c r="H159" s="5">
        <v>16123.45</v>
      </c>
      <c r="I159" s="5">
        <v>29337.89</v>
      </c>
      <c r="J159" s="5">
        <v>50000</v>
      </c>
      <c r="K159" s="5">
        <v>50000</v>
      </c>
      <c r="L159" s="5">
        <v>50000</v>
      </c>
      <c r="M159" s="5">
        <v>50000</v>
      </c>
      <c r="N159" s="5">
        <v>50000</v>
      </c>
      <c r="O159" s="5"/>
    </row>
    <row r="160" spans="1:15" x14ac:dyDescent="0.3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x14ac:dyDescent="0.3">
      <c r="B161" s="3" t="s">
        <v>2</v>
      </c>
      <c r="C161" s="12">
        <f t="shared" ref="C161:O161" si="37">SUM(C158:C160)</f>
        <v>72329.740000000005</v>
      </c>
      <c r="D161" s="12">
        <f t="shared" si="37"/>
        <v>57959.94</v>
      </c>
      <c r="E161" s="12">
        <f t="shared" si="37"/>
        <v>17050.95</v>
      </c>
      <c r="F161" s="12">
        <f t="shared" si="37"/>
        <v>45157.47</v>
      </c>
      <c r="G161" s="12">
        <f t="shared" si="37"/>
        <v>64164.68</v>
      </c>
      <c r="H161" s="12">
        <f t="shared" si="37"/>
        <v>16123.45</v>
      </c>
      <c r="I161" s="12">
        <f t="shared" si="37"/>
        <v>29337.89</v>
      </c>
      <c r="J161" s="12">
        <f t="shared" si="37"/>
        <v>50000</v>
      </c>
      <c r="K161" s="12">
        <f t="shared" si="37"/>
        <v>50000</v>
      </c>
      <c r="L161" s="12">
        <f t="shared" si="37"/>
        <v>50000</v>
      </c>
      <c r="M161" s="12">
        <f t="shared" si="37"/>
        <v>50000</v>
      </c>
      <c r="N161" s="12">
        <f t="shared" si="37"/>
        <v>50000</v>
      </c>
      <c r="O161" s="12">
        <f t="shared" si="37"/>
        <v>0</v>
      </c>
    </row>
    <row r="162" spans="1:15" x14ac:dyDescent="0.3">
      <c r="B162" s="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 spans="1:15" x14ac:dyDescent="0.3">
      <c r="B163" s="2" t="s">
        <v>61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x14ac:dyDescent="0.3">
      <c r="B164" t="s">
        <v>15</v>
      </c>
    </row>
    <row r="165" spans="1:15" s="58" customFormat="1" x14ac:dyDescent="0.3">
      <c r="A165" s="18"/>
      <c r="B165" s="19" t="s">
        <v>1</v>
      </c>
      <c r="C165" s="16">
        <v>45383</v>
      </c>
      <c r="D165" s="16">
        <v>45413</v>
      </c>
      <c r="E165" s="16">
        <v>45444</v>
      </c>
      <c r="F165" s="16">
        <v>45474</v>
      </c>
      <c r="G165" s="16">
        <v>45505</v>
      </c>
      <c r="H165" s="16">
        <v>45536</v>
      </c>
      <c r="I165" s="16">
        <v>45566</v>
      </c>
      <c r="J165" s="16">
        <v>45597</v>
      </c>
      <c r="K165" s="16">
        <v>45627</v>
      </c>
      <c r="L165" s="16">
        <v>45658</v>
      </c>
      <c r="M165" s="16">
        <v>45689</v>
      </c>
      <c r="N165" s="16">
        <v>45717</v>
      </c>
      <c r="O165" s="16" t="s">
        <v>2</v>
      </c>
    </row>
    <row r="166" spans="1:15" x14ac:dyDescent="0.3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x14ac:dyDescent="0.3">
      <c r="B167" s="4" t="s">
        <v>62</v>
      </c>
      <c r="C167" s="5">
        <v>947340</v>
      </c>
      <c r="D167" s="5">
        <v>716500</v>
      </c>
      <c r="E167" s="5">
        <v>1967579</v>
      </c>
      <c r="F167" s="5">
        <v>3212674</v>
      </c>
      <c r="G167" s="5">
        <v>2098389.48</v>
      </c>
      <c r="H167" s="5">
        <v>223854</v>
      </c>
      <c r="I167" s="5">
        <v>761433</v>
      </c>
      <c r="J167" s="5">
        <v>770000</v>
      </c>
      <c r="K167" s="5">
        <v>2650000</v>
      </c>
      <c r="L167" s="5">
        <v>3150000</v>
      </c>
      <c r="M167" s="5">
        <v>1830000</v>
      </c>
      <c r="N167" s="5">
        <v>225000</v>
      </c>
      <c r="O167" s="5"/>
    </row>
    <row r="168" spans="1:15" x14ac:dyDescent="0.3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1:15" x14ac:dyDescent="0.3">
      <c r="B169" s="3" t="s">
        <v>2</v>
      </c>
      <c r="C169" s="12">
        <f t="shared" ref="C169:O169" si="38">SUM(C166:C168)</f>
        <v>947340</v>
      </c>
      <c r="D169" s="12">
        <f t="shared" si="38"/>
        <v>716500</v>
      </c>
      <c r="E169" s="12">
        <f t="shared" si="38"/>
        <v>1967579</v>
      </c>
      <c r="F169" s="12">
        <f t="shared" si="38"/>
        <v>3212674</v>
      </c>
      <c r="G169" s="12">
        <f t="shared" si="38"/>
        <v>2098389.48</v>
      </c>
      <c r="H169" s="12">
        <f t="shared" si="38"/>
        <v>223854</v>
      </c>
      <c r="I169" s="12">
        <f t="shared" si="38"/>
        <v>761433</v>
      </c>
      <c r="J169" s="12">
        <f t="shared" si="38"/>
        <v>770000</v>
      </c>
      <c r="K169" s="12">
        <f t="shared" si="38"/>
        <v>2650000</v>
      </c>
      <c r="L169" s="12">
        <f t="shared" si="38"/>
        <v>3150000</v>
      </c>
      <c r="M169" s="12">
        <f t="shared" si="38"/>
        <v>1830000</v>
      </c>
      <c r="N169" s="12">
        <f t="shared" si="38"/>
        <v>225000</v>
      </c>
      <c r="O169" s="12">
        <f t="shared" si="38"/>
        <v>0</v>
      </c>
    </row>
    <row r="170" spans="1:15" x14ac:dyDescent="0.3">
      <c r="B170" s="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 x14ac:dyDescent="0.3">
      <c r="B171" s="2" t="s">
        <v>136</v>
      </c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 x14ac:dyDescent="0.3">
      <c r="B172" t="s">
        <v>15</v>
      </c>
    </row>
    <row r="173" spans="1:15" s="58" customFormat="1" x14ac:dyDescent="0.3">
      <c r="A173" s="18"/>
      <c r="B173" s="19" t="s">
        <v>1</v>
      </c>
      <c r="C173" s="16">
        <v>45383</v>
      </c>
      <c r="D173" s="16">
        <v>45413</v>
      </c>
      <c r="E173" s="16">
        <v>45444</v>
      </c>
      <c r="F173" s="16">
        <v>45474</v>
      </c>
      <c r="G173" s="16">
        <v>45505</v>
      </c>
      <c r="H173" s="16">
        <v>45536</v>
      </c>
      <c r="I173" s="16">
        <v>45566</v>
      </c>
      <c r="J173" s="16">
        <v>45597</v>
      </c>
      <c r="K173" s="16">
        <v>45627</v>
      </c>
      <c r="L173" s="16">
        <v>45658</v>
      </c>
      <c r="M173" s="16">
        <v>45689</v>
      </c>
      <c r="N173" s="16">
        <v>45717</v>
      </c>
      <c r="O173" s="16" t="s">
        <v>2</v>
      </c>
    </row>
    <row r="174" spans="1:15" x14ac:dyDescent="0.3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x14ac:dyDescent="0.3">
      <c r="B175" s="4" t="s">
        <v>145</v>
      </c>
      <c r="C175" s="5">
        <v>38226</v>
      </c>
      <c r="D175" s="5"/>
      <c r="E175" s="5"/>
      <c r="F175" s="5">
        <v>26952</v>
      </c>
      <c r="G175" s="5">
        <v>26753</v>
      </c>
      <c r="H175" s="5">
        <v>3908</v>
      </c>
      <c r="I175" s="5"/>
      <c r="J175" s="5"/>
      <c r="K175" s="5"/>
      <c r="L175" s="5"/>
      <c r="M175" s="5"/>
      <c r="N175" s="5"/>
      <c r="O175" s="5"/>
    </row>
    <row r="176" spans="1:15" x14ac:dyDescent="0.3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x14ac:dyDescent="0.3">
      <c r="B177" s="3" t="s">
        <v>2</v>
      </c>
      <c r="C177" s="12">
        <f t="shared" ref="C177:O177" si="39">SUM(C174:C176)</f>
        <v>38226</v>
      </c>
      <c r="D177" s="12">
        <f t="shared" si="39"/>
        <v>0</v>
      </c>
      <c r="E177" s="12">
        <f t="shared" si="39"/>
        <v>0</v>
      </c>
      <c r="F177" s="12">
        <f t="shared" si="39"/>
        <v>26952</v>
      </c>
      <c r="G177" s="12">
        <f t="shared" si="39"/>
        <v>26753</v>
      </c>
      <c r="H177" s="12">
        <f t="shared" si="39"/>
        <v>3908</v>
      </c>
      <c r="I177" s="12">
        <f t="shared" si="39"/>
        <v>0</v>
      </c>
      <c r="J177" s="12">
        <f t="shared" si="39"/>
        <v>0</v>
      </c>
      <c r="K177" s="12">
        <f t="shared" si="39"/>
        <v>0</v>
      </c>
      <c r="L177" s="12">
        <f t="shared" si="39"/>
        <v>0</v>
      </c>
      <c r="M177" s="12">
        <f t="shared" si="39"/>
        <v>0</v>
      </c>
      <c r="N177" s="12">
        <f t="shared" si="39"/>
        <v>0</v>
      </c>
      <c r="O177" s="12">
        <f t="shared" si="39"/>
        <v>0</v>
      </c>
    </row>
    <row r="178" spans="1:15" x14ac:dyDescent="0.3">
      <c r="B178" s="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1:15" x14ac:dyDescent="0.3">
      <c r="B179" s="2" t="s">
        <v>60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1:15" x14ac:dyDescent="0.3">
      <c r="B180" t="s">
        <v>15</v>
      </c>
    </row>
    <row r="181" spans="1:15" s="58" customFormat="1" x14ac:dyDescent="0.3">
      <c r="A181" s="18"/>
      <c r="B181" s="19" t="s">
        <v>1</v>
      </c>
      <c r="C181" s="16">
        <v>45383</v>
      </c>
      <c r="D181" s="16">
        <v>45413</v>
      </c>
      <c r="E181" s="16">
        <v>45444</v>
      </c>
      <c r="F181" s="16">
        <v>45474</v>
      </c>
      <c r="G181" s="16">
        <v>45505</v>
      </c>
      <c r="H181" s="16">
        <v>45536</v>
      </c>
      <c r="I181" s="16">
        <v>45566</v>
      </c>
      <c r="J181" s="16">
        <v>45597</v>
      </c>
      <c r="K181" s="16">
        <v>45627</v>
      </c>
      <c r="L181" s="16">
        <v>45658</v>
      </c>
      <c r="M181" s="16">
        <v>45689</v>
      </c>
      <c r="N181" s="16">
        <v>45717</v>
      </c>
      <c r="O181" s="16" t="s">
        <v>2</v>
      </c>
    </row>
    <row r="182" spans="1:15" x14ac:dyDescent="0.3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1:15" x14ac:dyDescent="0.3">
      <c r="B183" s="4" t="s">
        <v>60</v>
      </c>
      <c r="C183" s="5">
        <v>531667</v>
      </c>
      <c r="D183" s="5">
        <v>215513</v>
      </c>
      <c r="E183" s="5">
        <v>189107</v>
      </c>
      <c r="F183" s="5">
        <v>40000</v>
      </c>
      <c r="G183" s="5">
        <v>353200</v>
      </c>
      <c r="H183" s="5">
        <v>240000</v>
      </c>
      <c r="I183" s="5">
        <v>223000</v>
      </c>
      <c r="J183" s="5">
        <v>250000</v>
      </c>
      <c r="K183" s="5">
        <v>250000</v>
      </c>
      <c r="L183" s="5">
        <v>250000</v>
      </c>
      <c r="M183" s="5">
        <v>250000</v>
      </c>
      <c r="N183" s="5">
        <v>250000</v>
      </c>
      <c r="O183" s="5"/>
    </row>
    <row r="184" spans="1:15" x14ac:dyDescent="0.3">
      <c r="B184" s="4" t="s">
        <v>146</v>
      </c>
      <c r="C184" s="5">
        <v>19700</v>
      </c>
      <c r="D184" s="5"/>
      <c r="E184" s="5"/>
      <c r="F184" s="5">
        <v>21670</v>
      </c>
      <c r="G184" s="5">
        <v>189533</v>
      </c>
      <c r="H184" s="5">
        <v>5000</v>
      </c>
      <c r="I184" s="5"/>
      <c r="J184" s="5">
        <v>50000</v>
      </c>
      <c r="K184" s="5">
        <v>50000</v>
      </c>
      <c r="L184" s="5">
        <v>50000</v>
      </c>
      <c r="M184" s="5">
        <v>50000</v>
      </c>
      <c r="N184" s="5">
        <v>50000</v>
      </c>
      <c r="O184" s="5"/>
    </row>
    <row r="185" spans="1:15" x14ac:dyDescent="0.3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1:15" x14ac:dyDescent="0.3">
      <c r="B186" s="3" t="s">
        <v>2</v>
      </c>
      <c r="C186" s="12">
        <f t="shared" ref="C186:O186" si="40">SUM(C182:C185)</f>
        <v>551367</v>
      </c>
      <c r="D186" s="12">
        <f t="shared" si="40"/>
        <v>215513</v>
      </c>
      <c r="E186" s="12">
        <f t="shared" si="40"/>
        <v>189107</v>
      </c>
      <c r="F186" s="12">
        <f t="shared" si="40"/>
        <v>61670</v>
      </c>
      <c r="G186" s="12">
        <f t="shared" si="40"/>
        <v>542733</v>
      </c>
      <c r="H186" s="12">
        <f t="shared" si="40"/>
        <v>245000</v>
      </c>
      <c r="I186" s="12">
        <f t="shared" si="40"/>
        <v>223000</v>
      </c>
      <c r="J186" s="12">
        <f t="shared" si="40"/>
        <v>300000</v>
      </c>
      <c r="K186" s="12">
        <f t="shared" si="40"/>
        <v>300000</v>
      </c>
      <c r="L186" s="12">
        <f t="shared" si="40"/>
        <v>300000</v>
      </c>
      <c r="M186" s="12">
        <f t="shared" si="40"/>
        <v>300000</v>
      </c>
      <c r="N186" s="12">
        <f t="shared" si="40"/>
        <v>300000</v>
      </c>
      <c r="O186" s="12">
        <f t="shared" si="40"/>
        <v>0</v>
      </c>
    </row>
    <row r="187" spans="1:15" x14ac:dyDescent="0.3">
      <c r="B187" s="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1:15" x14ac:dyDescent="0.3">
      <c r="B188" s="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1:15" x14ac:dyDescent="0.3">
      <c r="B189" s="2" t="s">
        <v>49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1:15" x14ac:dyDescent="0.3">
      <c r="B190" t="s">
        <v>15</v>
      </c>
    </row>
    <row r="191" spans="1:15" s="58" customFormat="1" x14ac:dyDescent="0.3">
      <c r="A191" s="18"/>
      <c r="B191" s="19" t="s">
        <v>1</v>
      </c>
      <c r="C191" s="16">
        <v>45383</v>
      </c>
      <c r="D191" s="16">
        <v>45413</v>
      </c>
      <c r="E191" s="16">
        <v>45444</v>
      </c>
      <c r="F191" s="16">
        <v>45474</v>
      </c>
      <c r="G191" s="16">
        <v>45505</v>
      </c>
      <c r="H191" s="16">
        <v>45536</v>
      </c>
      <c r="I191" s="16">
        <v>45566</v>
      </c>
      <c r="J191" s="16">
        <v>45597</v>
      </c>
      <c r="K191" s="16">
        <v>45627</v>
      </c>
      <c r="L191" s="16">
        <v>45658</v>
      </c>
      <c r="M191" s="16">
        <v>45689</v>
      </c>
      <c r="N191" s="16">
        <v>45717</v>
      </c>
      <c r="O191" s="16" t="s">
        <v>2</v>
      </c>
    </row>
    <row r="192" spans="1:15" x14ac:dyDescent="0.3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x14ac:dyDescent="0.3">
      <c r="B193" s="4" t="s">
        <v>49</v>
      </c>
      <c r="C193" s="5">
        <v>739592</v>
      </c>
      <c r="D193" s="5">
        <v>360321</v>
      </c>
      <c r="E193" s="5">
        <v>218946</v>
      </c>
      <c r="F193" s="5">
        <v>253692</v>
      </c>
      <c r="G193" s="5">
        <v>406861</v>
      </c>
      <c r="H193" s="5">
        <v>672488</v>
      </c>
      <c r="I193" s="5">
        <v>844251</v>
      </c>
      <c r="J193" s="5">
        <v>350000</v>
      </c>
      <c r="K193" s="5">
        <v>350000</v>
      </c>
      <c r="L193" s="5">
        <v>350000</v>
      </c>
      <c r="M193" s="5">
        <v>350000</v>
      </c>
      <c r="N193" s="5">
        <v>350000</v>
      </c>
      <c r="O193" s="5"/>
    </row>
    <row r="194" spans="1:15" x14ac:dyDescent="0.3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3">
      <c r="B195" s="3" t="s">
        <v>2</v>
      </c>
      <c r="C195" s="12">
        <f t="shared" ref="C195:O195" si="41">SUM(C192:C194)</f>
        <v>739592</v>
      </c>
      <c r="D195" s="12">
        <f t="shared" si="41"/>
        <v>360321</v>
      </c>
      <c r="E195" s="12">
        <f t="shared" si="41"/>
        <v>218946</v>
      </c>
      <c r="F195" s="12">
        <f t="shared" si="41"/>
        <v>253692</v>
      </c>
      <c r="G195" s="12">
        <f t="shared" si="41"/>
        <v>406861</v>
      </c>
      <c r="H195" s="12">
        <f t="shared" si="41"/>
        <v>672488</v>
      </c>
      <c r="I195" s="12">
        <f t="shared" si="41"/>
        <v>844251</v>
      </c>
      <c r="J195" s="12">
        <f t="shared" si="41"/>
        <v>350000</v>
      </c>
      <c r="K195" s="12">
        <f t="shared" si="41"/>
        <v>350000</v>
      </c>
      <c r="L195" s="12">
        <f t="shared" si="41"/>
        <v>350000</v>
      </c>
      <c r="M195" s="12">
        <f t="shared" si="41"/>
        <v>350000</v>
      </c>
      <c r="N195" s="12">
        <f t="shared" si="41"/>
        <v>350000</v>
      </c>
      <c r="O195" s="12">
        <f t="shared" si="41"/>
        <v>0</v>
      </c>
    </row>
    <row r="197" spans="1:15" x14ac:dyDescent="0.3">
      <c r="B197" s="2" t="s">
        <v>65</v>
      </c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1:15" x14ac:dyDescent="0.3">
      <c r="B198" t="s">
        <v>15</v>
      </c>
    </row>
    <row r="199" spans="1:15" s="58" customFormat="1" x14ac:dyDescent="0.3">
      <c r="A199" s="18"/>
      <c r="B199" s="19" t="s">
        <v>1</v>
      </c>
      <c r="C199" s="16">
        <v>45383</v>
      </c>
      <c r="D199" s="16">
        <v>45413</v>
      </c>
      <c r="E199" s="16">
        <v>45444</v>
      </c>
      <c r="F199" s="16">
        <v>45474</v>
      </c>
      <c r="G199" s="16">
        <v>45505</v>
      </c>
      <c r="H199" s="16">
        <v>45536</v>
      </c>
      <c r="I199" s="16">
        <v>45566</v>
      </c>
      <c r="J199" s="16">
        <v>45597</v>
      </c>
      <c r="K199" s="16">
        <v>45627</v>
      </c>
      <c r="L199" s="16">
        <v>45658</v>
      </c>
      <c r="M199" s="16">
        <v>45689</v>
      </c>
      <c r="N199" s="16">
        <v>45717</v>
      </c>
      <c r="O199" s="16" t="s">
        <v>2</v>
      </c>
    </row>
    <row r="200" spans="1:15" x14ac:dyDescent="0.3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3">
      <c r="B201" s="4" t="s">
        <v>66</v>
      </c>
      <c r="C201" s="5"/>
      <c r="D201" s="5"/>
      <c r="E201" s="5">
        <v>1800</v>
      </c>
      <c r="F201" s="5"/>
      <c r="G201" s="5"/>
      <c r="H201" s="5"/>
      <c r="I201" s="5">
        <v>1600</v>
      </c>
      <c r="J201" s="5"/>
      <c r="K201" s="5"/>
      <c r="L201" s="5"/>
      <c r="M201" s="5"/>
      <c r="N201" s="5"/>
      <c r="O201" s="5"/>
    </row>
    <row r="202" spans="1:15" x14ac:dyDescent="0.3">
      <c r="B202" s="4" t="s">
        <v>67</v>
      </c>
      <c r="C202" s="5">
        <v>14524.08</v>
      </c>
      <c r="D202" s="5">
        <v>5700</v>
      </c>
      <c r="E202" s="5">
        <v>289</v>
      </c>
      <c r="F202" s="5">
        <v>8926</v>
      </c>
      <c r="G202" s="5">
        <v>1840</v>
      </c>
      <c r="H202" s="5"/>
      <c r="I202" s="5"/>
      <c r="J202" s="5">
        <v>6000</v>
      </c>
      <c r="K202" s="5">
        <v>6000</v>
      </c>
      <c r="L202" s="5">
        <v>6000</v>
      </c>
      <c r="M202" s="5">
        <v>6000</v>
      </c>
      <c r="N202" s="5">
        <v>6000</v>
      </c>
      <c r="O202" s="5"/>
    </row>
    <row r="203" spans="1:15" x14ac:dyDescent="0.3">
      <c r="B203" s="4" t="s">
        <v>65</v>
      </c>
      <c r="C203" s="5">
        <v>5282</v>
      </c>
      <c r="D203" s="5">
        <v>52487</v>
      </c>
      <c r="E203" s="5">
        <v>26387</v>
      </c>
      <c r="F203" s="5">
        <v>8582</v>
      </c>
      <c r="G203" s="5">
        <v>75241</v>
      </c>
      <c r="H203" s="5">
        <v>650</v>
      </c>
      <c r="I203" s="5">
        <v>1552</v>
      </c>
      <c r="J203" s="5">
        <v>45000</v>
      </c>
      <c r="K203" s="5">
        <v>45000</v>
      </c>
      <c r="L203" s="5">
        <v>45000</v>
      </c>
      <c r="M203" s="5">
        <v>45000</v>
      </c>
      <c r="N203" s="5">
        <v>45000</v>
      </c>
      <c r="O203" s="5"/>
    </row>
    <row r="204" spans="1:15" x14ac:dyDescent="0.3">
      <c r="B204" s="4" t="s">
        <v>69</v>
      </c>
      <c r="C204" s="5"/>
      <c r="D204" s="5">
        <v>17645</v>
      </c>
      <c r="E204" s="5"/>
      <c r="F204" s="5">
        <v>2000</v>
      </c>
      <c r="G204" s="5"/>
      <c r="H204" s="5">
        <v>116666</v>
      </c>
      <c r="I204" s="5"/>
      <c r="J204" s="5">
        <v>5000</v>
      </c>
      <c r="K204" s="5">
        <v>5000</v>
      </c>
      <c r="L204" s="5">
        <v>5000</v>
      </c>
      <c r="M204" s="5">
        <v>5000</v>
      </c>
      <c r="N204" s="5">
        <v>5000</v>
      </c>
      <c r="O204" s="5"/>
    </row>
    <row r="205" spans="1:15" x14ac:dyDescent="0.3">
      <c r="B205" s="4" t="s">
        <v>68</v>
      </c>
      <c r="C205" s="5">
        <v>1350</v>
      </c>
      <c r="D205" s="5">
        <v>49475.9</v>
      </c>
      <c r="E205" s="5">
        <v>39743.910000000003</v>
      </c>
      <c r="F205" s="5">
        <v>1586</v>
      </c>
      <c r="G205" s="5"/>
      <c r="H205" s="5">
        <v>20050</v>
      </c>
      <c r="I205" s="5">
        <v>13104</v>
      </c>
      <c r="J205" s="5">
        <v>15000</v>
      </c>
      <c r="K205" s="5">
        <v>15000</v>
      </c>
      <c r="L205" s="5">
        <v>15000</v>
      </c>
      <c r="M205" s="5">
        <v>15000</v>
      </c>
      <c r="N205" s="5">
        <v>15000</v>
      </c>
      <c r="O205" s="5"/>
    </row>
    <row r="206" spans="1:15" x14ac:dyDescent="0.3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3">
      <c r="B207" s="3" t="s">
        <v>2</v>
      </c>
      <c r="C207" s="12">
        <f t="shared" ref="C207:O207" si="42">SUM(C200:C206)</f>
        <v>21156.080000000002</v>
      </c>
      <c r="D207" s="12">
        <f t="shared" si="42"/>
        <v>125307.9</v>
      </c>
      <c r="E207" s="12">
        <f t="shared" si="42"/>
        <v>68219.91</v>
      </c>
      <c r="F207" s="12">
        <f t="shared" si="42"/>
        <v>21094</v>
      </c>
      <c r="G207" s="12">
        <f t="shared" si="42"/>
        <v>77081</v>
      </c>
      <c r="H207" s="12">
        <f t="shared" si="42"/>
        <v>137366</v>
      </c>
      <c r="I207" s="12">
        <f t="shared" si="42"/>
        <v>16256</v>
      </c>
      <c r="J207" s="12">
        <f t="shared" si="42"/>
        <v>71000</v>
      </c>
      <c r="K207" s="12">
        <f t="shared" si="42"/>
        <v>71000</v>
      </c>
      <c r="L207" s="12">
        <f t="shared" si="42"/>
        <v>71000</v>
      </c>
      <c r="M207" s="12">
        <f t="shared" si="42"/>
        <v>71000</v>
      </c>
      <c r="N207" s="12">
        <f t="shared" si="42"/>
        <v>71000</v>
      </c>
      <c r="O207" s="12">
        <f t="shared" si="42"/>
        <v>0</v>
      </c>
    </row>
    <row r="209" spans="1:15" x14ac:dyDescent="0.3">
      <c r="B209" s="2" t="s">
        <v>64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x14ac:dyDescent="0.3">
      <c r="B210" t="s">
        <v>15</v>
      </c>
    </row>
    <row r="211" spans="1:15" s="58" customFormat="1" x14ac:dyDescent="0.3">
      <c r="A211" s="18"/>
      <c r="B211" s="19" t="s">
        <v>1</v>
      </c>
      <c r="C211" s="16">
        <v>45383</v>
      </c>
      <c r="D211" s="16">
        <v>45413</v>
      </c>
      <c r="E211" s="16">
        <v>45444</v>
      </c>
      <c r="F211" s="16">
        <v>45474</v>
      </c>
      <c r="G211" s="16">
        <v>45505</v>
      </c>
      <c r="H211" s="16">
        <v>45536</v>
      </c>
      <c r="I211" s="16">
        <v>45566</v>
      </c>
      <c r="J211" s="16">
        <v>45597</v>
      </c>
      <c r="K211" s="16">
        <v>45627</v>
      </c>
      <c r="L211" s="16">
        <v>45658</v>
      </c>
      <c r="M211" s="16">
        <v>45689</v>
      </c>
      <c r="N211" s="16">
        <v>45717</v>
      </c>
      <c r="O211" s="16" t="s">
        <v>2</v>
      </c>
    </row>
    <row r="212" spans="1:15" x14ac:dyDescent="0.3">
      <c r="B212" s="8"/>
      <c r="C212" s="30"/>
      <c r="D212" s="30"/>
      <c r="E212" s="30"/>
      <c r="F212" s="30"/>
      <c r="G212" s="30"/>
      <c r="H212" s="30"/>
      <c r="I212" s="30"/>
      <c r="J212" s="31"/>
      <c r="K212" s="31"/>
      <c r="L212" s="31"/>
      <c r="M212" s="31"/>
      <c r="N212" s="31"/>
      <c r="O212" s="30"/>
    </row>
    <row r="213" spans="1:15" x14ac:dyDescent="0.3">
      <c r="B213" s="4" t="s">
        <v>201</v>
      </c>
      <c r="C213" s="32">
        <v>12862.35</v>
      </c>
      <c r="D213" s="34">
        <v>8431.85</v>
      </c>
      <c r="E213" s="34">
        <v>255638.67</v>
      </c>
      <c r="F213" s="32">
        <v>1318.49</v>
      </c>
      <c r="G213" s="32">
        <v>743.16</v>
      </c>
      <c r="H213" s="32">
        <v>313.89</v>
      </c>
      <c r="I213" s="32">
        <v>21784.79</v>
      </c>
      <c r="J213" s="33">
        <v>5000</v>
      </c>
      <c r="K213" s="33">
        <v>5000</v>
      </c>
      <c r="L213" s="33">
        <v>5000</v>
      </c>
      <c r="M213" s="33">
        <v>5000</v>
      </c>
      <c r="N213" s="33">
        <v>5000</v>
      </c>
      <c r="O213" s="32"/>
    </row>
    <row r="214" spans="1:15" s="35" customFormat="1" x14ac:dyDescent="0.3">
      <c r="A214"/>
      <c r="B214" s="4" t="s">
        <v>202</v>
      </c>
      <c r="C214" s="34">
        <v>1650</v>
      </c>
      <c r="D214" s="34">
        <v>1650</v>
      </c>
      <c r="E214" s="34">
        <v>52188</v>
      </c>
      <c r="F214" s="34">
        <v>1650</v>
      </c>
      <c r="G214" s="34">
        <v>3300</v>
      </c>
      <c r="H214" s="34">
        <v>1650</v>
      </c>
      <c r="I214" s="34">
        <v>1650</v>
      </c>
      <c r="J214" s="33">
        <v>3000</v>
      </c>
      <c r="K214" s="33">
        <v>3000</v>
      </c>
      <c r="L214" s="33">
        <v>3000</v>
      </c>
      <c r="M214" s="33">
        <v>3000</v>
      </c>
      <c r="N214" s="33">
        <v>3000</v>
      </c>
      <c r="O214" s="34"/>
    </row>
    <row r="215" spans="1:15" s="35" customFormat="1" x14ac:dyDescent="0.3">
      <c r="A215"/>
      <c r="B215" s="4" t="s">
        <v>203</v>
      </c>
      <c r="C215" s="34">
        <v>12499</v>
      </c>
      <c r="D215" s="34">
        <v>13571</v>
      </c>
      <c r="E215" s="34">
        <v>9550</v>
      </c>
      <c r="F215" s="34">
        <v>8460</v>
      </c>
      <c r="G215" s="34">
        <v>17970</v>
      </c>
      <c r="H215" s="34">
        <v>103466</v>
      </c>
      <c r="I215" s="34">
        <v>79550</v>
      </c>
      <c r="J215" s="33">
        <v>35000</v>
      </c>
      <c r="K215" s="33">
        <v>35000</v>
      </c>
      <c r="L215" s="33">
        <v>35000</v>
      </c>
      <c r="M215" s="33">
        <v>35000</v>
      </c>
      <c r="N215" s="33">
        <v>35000</v>
      </c>
      <c r="O215" s="34"/>
    </row>
    <row r="216" spans="1:15" s="35" customFormat="1" x14ac:dyDescent="0.3">
      <c r="A216"/>
      <c r="B216" s="4" t="s">
        <v>204</v>
      </c>
      <c r="C216" s="34">
        <v>11411.14</v>
      </c>
      <c r="D216" s="34">
        <v>12099.08</v>
      </c>
      <c r="E216" s="34">
        <v>10148.1</v>
      </c>
      <c r="F216" s="34"/>
      <c r="G216" s="34">
        <v>12755</v>
      </c>
      <c r="H216" s="34">
        <v>11032</v>
      </c>
      <c r="I216" s="34">
        <v>10970</v>
      </c>
      <c r="J216" s="33">
        <v>10000</v>
      </c>
      <c r="K216" s="33">
        <v>10000</v>
      </c>
      <c r="L216" s="33">
        <v>10000</v>
      </c>
      <c r="M216" s="33">
        <v>10000</v>
      </c>
      <c r="N216" s="33">
        <v>10000</v>
      </c>
      <c r="O216" s="34"/>
    </row>
    <row r="217" spans="1:15" x14ac:dyDescent="0.3">
      <c r="B217" s="8" t="s">
        <v>52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1:15" x14ac:dyDescent="0.3">
      <c r="B218" s="4" t="s">
        <v>139</v>
      </c>
      <c r="C218" s="5"/>
      <c r="D218" s="5"/>
      <c r="E218" s="5"/>
      <c r="F218" s="5"/>
      <c r="G218" s="5"/>
      <c r="H218" s="5"/>
      <c r="I218" s="5"/>
      <c r="J218" s="5">
        <v>25000</v>
      </c>
      <c r="K218" s="5">
        <v>25000</v>
      </c>
      <c r="L218" s="5">
        <v>25000</v>
      </c>
      <c r="M218" s="5">
        <v>25000</v>
      </c>
      <c r="N218" s="5">
        <v>25000</v>
      </c>
      <c r="O218" s="5"/>
    </row>
    <row r="219" spans="1:15" x14ac:dyDescent="0.3">
      <c r="B219" s="4" t="s">
        <v>205</v>
      </c>
      <c r="C219" s="5">
        <v>5900</v>
      </c>
      <c r="D219" s="5">
        <v>88652</v>
      </c>
      <c r="E219" s="5">
        <v>40000</v>
      </c>
      <c r="F219" s="5">
        <v>49900</v>
      </c>
      <c r="G219" s="5">
        <v>30000</v>
      </c>
      <c r="H219" s="5">
        <v>35278</v>
      </c>
      <c r="I219" s="5">
        <v>31500</v>
      </c>
      <c r="J219" s="5">
        <v>5000</v>
      </c>
      <c r="K219" s="5">
        <v>5000</v>
      </c>
      <c r="L219" s="5">
        <v>5000</v>
      </c>
      <c r="M219" s="5">
        <v>5000</v>
      </c>
      <c r="N219" s="5">
        <v>5000</v>
      </c>
      <c r="O219" s="5"/>
    </row>
    <row r="220" spans="1:15" x14ac:dyDescent="0.3">
      <c r="B220" s="8" t="s">
        <v>50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3">
      <c r="B221" s="4" t="s">
        <v>139</v>
      </c>
      <c r="C221" s="5"/>
      <c r="D221" s="5"/>
      <c r="E221" s="5"/>
      <c r="F221" s="5"/>
      <c r="G221" s="5"/>
      <c r="H221" s="5"/>
      <c r="I221" s="5"/>
      <c r="J221" s="5">
        <v>5000</v>
      </c>
      <c r="K221" s="5">
        <v>5000</v>
      </c>
      <c r="L221" s="5">
        <v>5000</v>
      </c>
      <c r="M221" s="5">
        <v>5000</v>
      </c>
      <c r="N221" s="5">
        <v>5000</v>
      </c>
      <c r="O221" s="5"/>
    </row>
    <row r="222" spans="1:15" x14ac:dyDescent="0.3">
      <c r="B222" s="4" t="s">
        <v>205</v>
      </c>
      <c r="C222" s="5">
        <v>48182.42</v>
      </c>
      <c r="D222" s="5">
        <v>58795.42</v>
      </c>
      <c r="E222" s="5">
        <v>60453.5</v>
      </c>
      <c r="F222" s="5">
        <v>60721.42</v>
      </c>
      <c r="G222" s="5">
        <v>69499.649999999994</v>
      </c>
      <c r="H222" s="5">
        <v>55919.05</v>
      </c>
      <c r="I222" s="5">
        <v>106031.08</v>
      </c>
      <c r="J222" s="5">
        <v>50000</v>
      </c>
      <c r="K222" s="5">
        <v>50000</v>
      </c>
      <c r="L222" s="5">
        <v>50000</v>
      </c>
      <c r="M222" s="5">
        <v>50000</v>
      </c>
      <c r="N222" s="5">
        <v>50000</v>
      </c>
      <c r="O222" s="5"/>
    </row>
    <row r="223" spans="1:15" x14ac:dyDescent="0.3">
      <c r="B223" s="4" t="s">
        <v>187</v>
      </c>
      <c r="C223" s="5">
        <v>2398.61</v>
      </c>
      <c r="D223" s="5">
        <v>4356.0600000000004</v>
      </c>
      <c r="E223" s="5">
        <v>137.38</v>
      </c>
      <c r="F223" s="5">
        <v>2222.48</v>
      </c>
      <c r="G223" s="5">
        <v>3903.12</v>
      </c>
      <c r="H223" s="5">
        <v>-8865.61</v>
      </c>
      <c r="I223" s="5">
        <v>68306.61</v>
      </c>
      <c r="J223" s="5">
        <v>20000</v>
      </c>
      <c r="K223" s="5">
        <v>20000</v>
      </c>
      <c r="L223" s="5">
        <v>20000</v>
      </c>
      <c r="M223" s="5">
        <v>20000</v>
      </c>
      <c r="N223" s="5">
        <v>20000</v>
      </c>
      <c r="O223" s="5"/>
    </row>
    <row r="224" spans="1:15" x14ac:dyDescent="0.3">
      <c r="B224" s="4" t="s">
        <v>206</v>
      </c>
      <c r="C224" s="5"/>
      <c r="D224" s="5"/>
      <c r="E224" s="5"/>
      <c r="F224" s="5"/>
      <c r="G224" s="5">
        <v>65970</v>
      </c>
      <c r="H224" s="5">
        <v>50000</v>
      </c>
      <c r="I224" s="5">
        <v>40000</v>
      </c>
      <c r="J224" s="5">
        <v>40000</v>
      </c>
      <c r="K224" s="5">
        <v>40000</v>
      </c>
      <c r="L224" s="5">
        <v>40000</v>
      </c>
      <c r="M224" s="5">
        <v>40000</v>
      </c>
      <c r="N224" s="5">
        <v>40000</v>
      </c>
      <c r="O224" s="5"/>
    </row>
    <row r="225" spans="1:15" x14ac:dyDescent="0.3">
      <c r="B225" s="4" t="s">
        <v>207</v>
      </c>
      <c r="C225" s="5"/>
      <c r="D225" s="5"/>
      <c r="E225" s="5"/>
      <c r="F225" s="5"/>
      <c r="G225" s="5">
        <v>20000</v>
      </c>
      <c r="H225" s="5"/>
      <c r="I225" s="5"/>
      <c r="J225" s="5"/>
      <c r="K225" s="5"/>
      <c r="L225" s="5"/>
      <c r="M225" s="5"/>
      <c r="N225" s="5"/>
      <c r="O225" s="5"/>
    </row>
    <row r="226" spans="1:15" x14ac:dyDescent="0.3">
      <c r="B226" s="4" t="s">
        <v>208</v>
      </c>
      <c r="C226" s="5"/>
      <c r="D226" s="5"/>
      <c r="E226" s="5"/>
      <c r="F226" s="5"/>
      <c r="G226" s="5">
        <v>-3721</v>
      </c>
      <c r="H226" s="5"/>
      <c r="I226" s="5"/>
      <c r="J226" s="5"/>
      <c r="K226" s="5"/>
      <c r="L226" s="5"/>
      <c r="M226" s="5"/>
      <c r="N226" s="5"/>
      <c r="O226" s="5"/>
    </row>
    <row r="227" spans="1:15" x14ac:dyDescent="0.3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3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3">
      <c r="B229" s="3" t="s">
        <v>2</v>
      </c>
      <c r="C229" s="12">
        <f>SUM(C212:C228)</f>
        <v>94903.52</v>
      </c>
      <c r="D229" s="12">
        <f t="shared" ref="D229:I229" si="43">SUM(D212:D228)</f>
        <v>187555.40999999997</v>
      </c>
      <c r="E229" s="12">
        <f t="shared" si="43"/>
        <v>428115.65</v>
      </c>
      <c r="F229" s="12">
        <f t="shared" si="43"/>
        <v>124272.39</v>
      </c>
      <c r="G229" s="12">
        <f t="shared" si="43"/>
        <v>220419.93</v>
      </c>
      <c r="H229" s="12">
        <f t="shared" si="43"/>
        <v>248793.33000000002</v>
      </c>
      <c r="I229" s="12">
        <f t="shared" si="43"/>
        <v>359792.48</v>
      </c>
      <c r="J229" s="12">
        <f t="shared" ref="J229" si="44">SUM(J212:J228)</f>
        <v>198000</v>
      </c>
      <c r="K229" s="12">
        <f t="shared" ref="K229" si="45">SUM(K212:K228)</f>
        <v>198000</v>
      </c>
      <c r="L229" s="12">
        <f t="shared" ref="L229" si="46">SUM(L212:L228)</f>
        <v>198000</v>
      </c>
      <c r="M229" s="12">
        <f t="shared" ref="M229" si="47">SUM(M212:M228)</f>
        <v>198000</v>
      </c>
      <c r="N229" s="12">
        <f t="shared" ref="N229" si="48">SUM(N212:N228)</f>
        <v>198000</v>
      </c>
      <c r="O229" s="12">
        <f t="shared" ref="O229" si="49">SUM(O212:O228)</f>
        <v>0</v>
      </c>
    </row>
    <row r="231" spans="1:15" x14ac:dyDescent="0.3">
      <c r="B231" s="2" t="s">
        <v>51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x14ac:dyDescent="0.3">
      <c r="B232" t="s">
        <v>15</v>
      </c>
    </row>
    <row r="233" spans="1:15" s="58" customFormat="1" x14ac:dyDescent="0.3">
      <c r="A233" s="18"/>
      <c r="B233" s="19" t="s">
        <v>1</v>
      </c>
      <c r="C233" s="16">
        <v>45383</v>
      </c>
      <c r="D233" s="16">
        <v>45413</v>
      </c>
      <c r="E233" s="16">
        <v>45444</v>
      </c>
      <c r="F233" s="16">
        <v>45474</v>
      </c>
      <c r="G233" s="16">
        <v>45505</v>
      </c>
      <c r="H233" s="16">
        <v>45536</v>
      </c>
      <c r="I233" s="16">
        <v>45566</v>
      </c>
      <c r="J233" s="16">
        <v>45597</v>
      </c>
      <c r="K233" s="16">
        <v>45627</v>
      </c>
      <c r="L233" s="16">
        <v>45658</v>
      </c>
      <c r="M233" s="16">
        <v>45689</v>
      </c>
      <c r="N233" s="16">
        <v>45717</v>
      </c>
      <c r="O233" s="16" t="s">
        <v>2</v>
      </c>
    </row>
    <row r="234" spans="1:15" x14ac:dyDescent="0.3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3">
      <c r="B235" s="4" t="s">
        <v>51</v>
      </c>
      <c r="C235" s="5">
        <v>400000</v>
      </c>
      <c r="D235" s="5">
        <v>400000</v>
      </c>
      <c r="E235" s="5">
        <v>400000</v>
      </c>
      <c r="F235" s="5">
        <v>400000</v>
      </c>
      <c r="G235" s="5">
        <v>400000</v>
      </c>
      <c r="H235" s="5">
        <v>400000</v>
      </c>
      <c r="I235" s="5">
        <v>400000</v>
      </c>
      <c r="J235" s="5">
        <v>400000</v>
      </c>
      <c r="K235" s="5">
        <v>400000</v>
      </c>
      <c r="L235" s="5">
        <v>400000</v>
      </c>
      <c r="M235" s="5">
        <v>400000</v>
      </c>
      <c r="N235" s="5">
        <v>400000</v>
      </c>
      <c r="O235" s="5"/>
    </row>
    <row r="236" spans="1:15" x14ac:dyDescent="0.3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3">
      <c r="B237" s="3" t="s">
        <v>2</v>
      </c>
      <c r="C237" s="12">
        <f t="shared" ref="C237:O237" si="50">SUM(C234:C236)</f>
        <v>400000</v>
      </c>
      <c r="D237" s="12">
        <f t="shared" si="50"/>
        <v>400000</v>
      </c>
      <c r="E237" s="12">
        <f t="shared" si="50"/>
        <v>400000</v>
      </c>
      <c r="F237" s="12">
        <f t="shared" si="50"/>
        <v>400000</v>
      </c>
      <c r="G237" s="12">
        <f t="shared" si="50"/>
        <v>400000</v>
      </c>
      <c r="H237" s="12">
        <f t="shared" si="50"/>
        <v>400000</v>
      </c>
      <c r="I237" s="12">
        <f t="shared" si="50"/>
        <v>400000</v>
      </c>
      <c r="J237" s="12">
        <f t="shared" si="50"/>
        <v>400000</v>
      </c>
      <c r="K237" s="12">
        <f t="shared" si="50"/>
        <v>400000</v>
      </c>
      <c r="L237" s="12">
        <f t="shared" si="50"/>
        <v>400000</v>
      </c>
      <c r="M237" s="12">
        <f t="shared" si="50"/>
        <v>400000</v>
      </c>
      <c r="N237" s="12">
        <f t="shared" si="50"/>
        <v>400000</v>
      </c>
      <c r="O237" s="12">
        <f t="shared" si="50"/>
        <v>0</v>
      </c>
    </row>
    <row r="239" spans="1:15" x14ac:dyDescent="0.3">
      <c r="B239" s="2" t="s">
        <v>53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x14ac:dyDescent="0.3">
      <c r="B240" t="s">
        <v>15</v>
      </c>
    </row>
    <row r="241" spans="1:15" s="58" customFormat="1" x14ac:dyDescent="0.3">
      <c r="A241" s="18"/>
      <c r="B241" s="19" t="s">
        <v>1</v>
      </c>
      <c r="C241" s="16">
        <v>45383</v>
      </c>
      <c r="D241" s="16">
        <v>45413</v>
      </c>
      <c r="E241" s="16">
        <v>45444</v>
      </c>
      <c r="F241" s="16">
        <v>45474</v>
      </c>
      <c r="G241" s="16">
        <v>45505</v>
      </c>
      <c r="H241" s="16">
        <v>45536</v>
      </c>
      <c r="I241" s="16">
        <v>45566</v>
      </c>
      <c r="J241" s="16">
        <v>45597</v>
      </c>
      <c r="K241" s="16">
        <v>45627</v>
      </c>
      <c r="L241" s="16">
        <v>45658</v>
      </c>
      <c r="M241" s="16">
        <v>45689</v>
      </c>
      <c r="N241" s="16">
        <v>45717</v>
      </c>
      <c r="O241" s="16" t="s">
        <v>2</v>
      </c>
    </row>
    <row r="242" spans="1:15" x14ac:dyDescent="0.3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3">
      <c r="B243" s="4" t="s">
        <v>54</v>
      </c>
      <c r="C243" s="5">
        <v>10373.799999999999</v>
      </c>
      <c r="D243" s="5">
        <v>10062.81</v>
      </c>
      <c r="E243" s="5">
        <v>9749.58</v>
      </c>
      <c r="F243" s="5">
        <v>9434.09</v>
      </c>
      <c r="G243" s="5">
        <v>9116.32</v>
      </c>
      <c r="H243" s="5">
        <v>8796.27</v>
      </c>
      <c r="I243" s="5">
        <v>8473.91</v>
      </c>
      <c r="J243" s="5">
        <v>10000</v>
      </c>
      <c r="K243" s="5">
        <v>10000</v>
      </c>
      <c r="L243" s="5">
        <v>10000</v>
      </c>
      <c r="M243" s="5">
        <v>10000</v>
      </c>
      <c r="N243" s="5">
        <v>10000</v>
      </c>
      <c r="O243" s="5"/>
    </row>
    <row r="244" spans="1:15" x14ac:dyDescent="0.3">
      <c r="B244" s="4" t="s">
        <v>55</v>
      </c>
      <c r="C244" s="5">
        <v>778897</v>
      </c>
      <c r="D244" s="5">
        <v>807963</v>
      </c>
      <c r="E244" s="5">
        <v>774989.74</v>
      </c>
      <c r="F244" s="5">
        <v>801843.22</v>
      </c>
      <c r="G244" s="5">
        <v>819289.57</v>
      </c>
      <c r="H244" s="5">
        <v>774330</v>
      </c>
      <c r="I244" s="5">
        <v>802239</v>
      </c>
      <c r="J244" s="5">
        <v>800000</v>
      </c>
      <c r="K244" s="5">
        <v>800000</v>
      </c>
      <c r="L244" s="5">
        <v>800000</v>
      </c>
      <c r="M244" s="5">
        <v>800000</v>
      </c>
      <c r="N244" s="5">
        <v>800000</v>
      </c>
      <c r="O244" s="5"/>
    </row>
    <row r="245" spans="1:15" x14ac:dyDescent="0.3">
      <c r="B245" s="4" t="s">
        <v>56</v>
      </c>
      <c r="C245" s="5">
        <v>42487.61</v>
      </c>
      <c r="D245" s="5">
        <v>44857.35</v>
      </c>
      <c r="E245" s="5">
        <v>40014.79</v>
      </c>
      <c r="F245" s="5">
        <v>34839.199999999997</v>
      </c>
      <c r="G245" s="5">
        <v>32576.39</v>
      </c>
      <c r="H245" s="5">
        <v>31695.95</v>
      </c>
      <c r="I245" s="5">
        <v>29821.45</v>
      </c>
      <c r="J245" s="5">
        <v>35000</v>
      </c>
      <c r="K245" s="5">
        <v>35000</v>
      </c>
      <c r="L245" s="5">
        <v>35000</v>
      </c>
      <c r="M245" s="5">
        <v>35000</v>
      </c>
      <c r="N245" s="5">
        <v>35000</v>
      </c>
      <c r="O245" s="5"/>
    </row>
    <row r="246" spans="1:15" x14ac:dyDescent="0.3">
      <c r="B246" s="4" t="s">
        <v>57</v>
      </c>
      <c r="C246" s="5">
        <v>200000</v>
      </c>
      <c r="D246" s="5">
        <v>200000</v>
      </c>
      <c r="E246" s="5">
        <v>200000</v>
      </c>
      <c r="F246" s="5">
        <v>200000</v>
      </c>
      <c r="G246" s="5">
        <v>200000</v>
      </c>
      <c r="H246" s="5">
        <v>200000</v>
      </c>
      <c r="I246" s="5">
        <v>200000</v>
      </c>
      <c r="J246" s="5">
        <v>200000</v>
      </c>
      <c r="K246" s="5">
        <v>200000</v>
      </c>
      <c r="L246" s="5">
        <v>200000</v>
      </c>
      <c r="M246" s="5">
        <v>200000</v>
      </c>
      <c r="N246" s="5">
        <v>200000</v>
      </c>
      <c r="O246" s="5"/>
    </row>
    <row r="247" spans="1:15" x14ac:dyDescent="0.3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3">
      <c r="B248" s="3" t="s">
        <v>2</v>
      </c>
      <c r="C248" s="12">
        <f t="shared" ref="C248:O248" si="51">SUM(C242:C247)</f>
        <v>1031758.41</v>
      </c>
      <c r="D248" s="12">
        <f t="shared" si="51"/>
        <v>1062883.1600000001</v>
      </c>
      <c r="E248" s="12">
        <f t="shared" si="51"/>
        <v>1024754.11</v>
      </c>
      <c r="F248" s="12">
        <f t="shared" si="51"/>
        <v>1046116.5099999999</v>
      </c>
      <c r="G248" s="12">
        <f t="shared" si="51"/>
        <v>1060982.2799999998</v>
      </c>
      <c r="H248" s="12">
        <f t="shared" si="51"/>
        <v>1014822.22</v>
      </c>
      <c r="I248" s="12">
        <f t="shared" si="51"/>
        <v>1040534.36</v>
      </c>
      <c r="J248" s="12">
        <f t="shared" si="51"/>
        <v>1045000</v>
      </c>
      <c r="K248" s="12">
        <f t="shared" si="51"/>
        <v>1045000</v>
      </c>
      <c r="L248" s="12">
        <f t="shared" si="51"/>
        <v>1045000</v>
      </c>
      <c r="M248" s="12">
        <f t="shared" si="51"/>
        <v>1045000</v>
      </c>
      <c r="N248" s="12">
        <f t="shared" si="51"/>
        <v>1045000</v>
      </c>
      <c r="O248" s="12">
        <f t="shared" si="5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1F6F-BCE0-4191-853E-1033D5C49B89}">
  <dimension ref="B3:O53"/>
  <sheetViews>
    <sheetView showGridLines="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F9" sqref="D9:F9"/>
    </sheetView>
  </sheetViews>
  <sheetFormatPr defaultRowHeight="14.4" x14ac:dyDescent="0.3"/>
  <cols>
    <col min="2" max="2" width="72.21875" bestFit="1" customWidth="1"/>
    <col min="3" max="4" width="12.5546875" style="15" bestFit="1" customWidth="1"/>
    <col min="5" max="9" width="10" style="15" bestFit="1" customWidth="1"/>
    <col min="10" max="14" width="11.5546875" style="15" bestFit="1" customWidth="1"/>
    <col min="15" max="15" width="5.21875" style="15" bestFit="1" customWidth="1"/>
  </cols>
  <sheetData>
    <row r="3" spans="2:15" s="18" customFormat="1" x14ac:dyDescent="0.3">
      <c r="B3" s="19" t="s">
        <v>1</v>
      </c>
      <c r="C3" s="16">
        <v>45383</v>
      </c>
      <c r="D3" s="16">
        <v>45413</v>
      </c>
      <c r="E3" s="16">
        <v>45444</v>
      </c>
      <c r="F3" s="16">
        <v>45474</v>
      </c>
      <c r="G3" s="16">
        <v>45505</v>
      </c>
      <c r="H3" s="16">
        <v>45536</v>
      </c>
      <c r="I3" s="16">
        <v>45566</v>
      </c>
      <c r="J3" s="16">
        <v>45597</v>
      </c>
      <c r="K3" s="16">
        <v>45627</v>
      </c>
      <c r="L3" s="16">
        <v>45658</v>
      </c>
      <c r="M3" s="16">
        <v>45689</v>
      </c>
      <c r="N3" s="16">
        <v>45717</v>
      </c>
      <c r="O3" s="16" t="s">
        <v>2</v>
      </c>
    </row>
    <row r="4" spans="2:15" s="7" customFormat="1" x14ac:dyDescent="0.3">
      <c r="B4" s="3" t="s">
        <v>76</v>
      </c>
      <c r="C4" s="12">
        <f>SUM(C5:C13)</f>
        <v>324561.90999999997</v>
      </c>
      <c r="D4" s="12">
        <f t="shared" ref="D4:N4" si="0">SUM(D5:D13)</f>
        <v>1363400.76</v>
      </c>
      <c r="E4" s="12">
        <f t="shared" si="0"/>
        <v>1233327</v>
      </c>
      <c r="F4" s="12">
        <f t="shared" si="0"/>
        <v>1132137.7</v>
      </c>
      <c r="G4" s="12">
        <f t="shared" si="0"/>
        <v>592187.28</v>
      </c>
      <c r="H4" s="12">
        <f t="shared" si="0"/>
        <v>654104</v>
      </c>
      <c r="I4" s="12">
        <f t="shared" si="0"/>
        <v>543440.44999999995</v>
      </c>
      <c r="J4" s="12">
        <f t="shared" si="0"/>
        <v>450000</v>
      </c>
      <c r="K4" s="12">
        <f t="shared" si="0"/>
        <v>350000</v>
      </c>
      <c r="L4" s="12">
        <f t="shared" si="0"/>
        <v>350000</v>
      </c>
      <c r="M4" s="12">
        <f t="shared" si="0"/>
        <v>325000</v>
      </c>
      <c r="N4" s="12">
        <f t="shared" si="0"/>
        <v>350000</v>
      </c>
      <c r="O4" s="12"/>
    </row>
    <row r="5" spans="2:15" x14ac:dyDescent="0.3">
      <c r="B5" s="9" t="s">
        <v>77</v>
      </c>
      <c r="C5" s="13">
        <v>167247.67999999999</v>
      </c>
      <c r="D5" s="13">
        <v>5703</v>
      </c>
      <c r="E5" s="13"/>
      <c r="F5" s="13">
        <v>6616</v>
      </c>
      <c r="G5" s="13">
        <v>23265</v>
      </c>
      <c r="H5" s="13"/>
      <c r="I5" s="13"/>
      <c r="J5" s="13"/>
      <c r="K5" s="13"/>
      <c r="L5" s="13"/>
      <c r="M5" s="13"/>
      <c r="N5" s="13"/>
      <c r="O5" s="13"/>
    </row>
    <row r="6" spans="2:15" x14ac:dyDescent="0.3">
      <c r="B6" s="9" t="s">
        <v>78</v>
      </c>
      <c r="C6" s="13">
        <v>126171.23</v>
      </c>
      <c r="D6" s="13">
        <v>193381.91</v>
      </c>
      <c r="E6" s="13">
        <v>39400</v>
      </c>
      <c r="F6" s="13">
        <v>76218.03</v>
      </c>
      <c r="G6" s="13">
        <v>139577.28</v>
      </c>
      <c r="H6" s="13">
        <v>440935</v>
      </c>
      <c r="I6" s="13">
        <v>344426.45</v>
      </c>
      <c r="J6" s="13">
        <v>350000</v>
      </c>
      <c r="K6" s="13">
        <v>250000</v>
      </c>
      <c r="L6" s="13">
        <v>50000</v>
      </c>
      <c r="M6" s="13">
        <v>100000</v>
      </c>
      <c r="N6" s="13">
        <v>250000</v>
      </c>
      <c r="O6" s="13"/>
    </row>
    <row r="7" spans="2:15" x14ac:dyDescent="0.3">
      <c r="B7" s="9" t="s">
        <v>79</v>
      </c>
      <c r="C7" s="13"/>
      <c r="D7" s="13">
        <v>282658</v>
      </c>
      <c r="E7" s="13"/>
      <c r="F7" s="13"/>
      <c r="G7" s="13"/>
      <c r="H7" s="13"/>
      <c r="I7" s="13">
        <v>8298</v>
      </c>
      <c r="J7" s="13"/>
      <c r="K7" s="13"/>
      <c r="L7" s="13"/>
      <c r="M7" s="13"/>
      <c r="N7" s="13"/>
      <c r="O7" s="13"/>
    </row>
    <row r="8" spans="2:15" x14ac:dyDescent="0.3">
      <c r="B8" s="9" t="s">
        <v>80</v>
      </c>
      <c r="C8" s="13">
        <v>31143</v>
      </c>
      <c r="D8" s="13">
        <v>40014</v>
      </c>
      <c r="E8" s="13">
        <v>48686</v>
      </c>
      <c r="F8" s="13">
        <v>290764.43</v>
      </c>
      <c r="G8" s="13">
        <v>31524</v>
      </c>
      <c r="H8" s="13">
        <v>16800</v>
      </c>
      <c r="I8" s="13">
        <v>27926</v>
      </c>
      <c r="J8" s="13"/>
      <c r="K8" s="13"/>
      <c r="L8" s="13"/>
      <c r="M8" s="13"/>
      <c r="N8" s="13"/>
      <c r="O8" s="13"/>
    </row>
    <row r="9" spans="2:15" x14ac:dyDescent="0.3">
      <c r="B9" s="9" t="s">
        <v>81</v>
      </c>
      <c r="C9" s="13"/>
      <c r="D9" s="13">
        <v>835590.85</v>
      </c>
      <c r="E9" s="13">
        <v>1144786</v>
      </c>
      <c r="F9" s="13">
        <v>755156</v>
      </c>
      <c r="G9" s="13">
        <v>226975</v>
      </c>
      <c r="H9" s="13">
        <v>196369</v>
      </c>
      <c r="I9" s="13">
        <v>78700</v>
      </c>
      <c r="J9" s="13">
        <v>100000</v>
      </c>
      <c r="K9" s="13">
        <v>100000</v>
      </c>
      <c r="L9" s="13">
        <v>100000</v>
      </c>
      <c r="M9" s="13">
        <v>100000</v>
      </c>
      <c r="N9" s="13">
        <v>100000</v>
      </c>
      <c r="O9" s="13"/>
    </row>
    <row r="10" spans="2:15" x14ac:dyDescent="0.3">
      <c r="B10" s="9" t="s">
        <v>82</v>
      </c>
      <c r="C10" s="13"/>
      <c r="D10" s="13">
        <v>6053</v>
      </c>
      <c r="E10" s="13">
        <v>455</v>
      </c>
      <c r="F10" s="13">
        <v>3383.24</v>
      </c>
      <c r="G10" s="13"/>
      <c r="H10" s="13"/>
      <c r="I10" s="13">
        <v>5297</v>
      </c>
      <c r="J10" s="13"/>
      <c r="K10" s="13"/>
      <c r="L10" s="13"/>
      <c r="M10" s="13"/>
      <c r="N10" s="13"/>
      <c r="O10" s="13"/>
    </row>
    <row r="11" spans="2:15" x14ac:dyDescent="0.3">
      <c r="B11" s="9" t="s">
        <v>83</v>
      </c>
      <c r="C11" s="13"/>
      <c r="D11" s="13"/>
      <c r="E11" s="13"/>
      <c r="F11" s="13"/>
      <c r="G11" s="13">
        <v>170846</v>
      </c>
      <c r="H11" s="13"/>
      <c r="I11" s="13">
        <v>78793</v>
      </c>
      <c r="J11" s="13"/>
      <c r="K11" s="13"/>
      <c r="L11" s="13"/>
      <c r="M11" s="13"/>
      <c r="N11" s="13"/>
      <c r="O11" s="13"/>
    </row>
    <row r="12" spans="2:15" x14ac:dyDescent="0.3">
      <c r="B12" s="9" t="s">
        <v>84</v>
      </c>
      <c r="C12" s="13"/>
      <c r="D12" s="13"/>
      <c r="E12" s="13"/>
      <c r="F12" s="13"/>
      <c r="G12" s="13"/>
      <c r="H12" s="13"/>
      <c r="I12" s="13"/>
      <c r="J12" s="13"/>
      <c r="K12" s="13"/>
      <c r="L12" s="13">
        <v>200000</v>
      </c>
      <c r="M12" s="13">
        <v>125000</v>
      </c>
      <c r="N12" s="13"/>
      <c r="O12" s="13"/>
    </row>
    <row r="13" spans="2:15" x14ac:dyDescent="0.3">
      <c r="B13" s="9" t="s">
        <v>85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2:15" s="7" customFormat="1" x14ac:dyDescent="0.3">
      <c r="B14" s="3" t="s">
        <v>120</v>
      </c>
      <c r="C14" s="12">
        <f>SUM(C15:C21)</f>
        <v>90938.17</v>
      </c>
      <c r="D14" s="12">
        <f t="shared" ref="D14:N14" si="1">SUM(D15:D21)</f>
        <v>67409</v>
      </c>
      <c r="E14" s="12">
        <f t="shared" si="1"/>
        <v>117583</v>
      </c>
      <c r="F14" s="12">
        <f t="shared" si="1"/>
        <v>69763</v>
      </c>
      <c r="G14" s="12">
        <f t="shared" si="1"/>
        <v>71023.77</v>
      </c>
      <c r="H14" s="12">
        <f t="shared" si="1"/>
        <v>89956</v>
      </c>
      <c r="I14" s="12">
        <f t="shared" si="1"/>
        <v>69647</v>
      </c>
      <c r="J14" s="12">
        <f t="shared" si="1"/>
        <v>69647</v>
      </c>
      <c r="K14" s="12">
        <f t="shared" si="1"/>
        <v>69647</v>
      </c>
      <c r="L14" s="12">
        <f t="shared" si="1"/>
        <v>69647</v>
      </c>
      <c r="M14" s="12">
        <f t="shared" si="1"/>
        <v>69647</v>
      </c>
      <c r="N14" s="12">
        <f t="shared" si="1"/>
        <v>69647</v>
      </c>
      <c r="O14" s="12"/>
    </row>
    <row r="15" spans="2:15" x14ac:dyDescent="0.3">
      <c r="B15" s="9" t="s">
        <v>86</v>
      </c>
      <c r="C15" s="13">
        <v>2274</v>
      </c>
      <c r="D15" s="13">
        <v>3016</v>
      </c>
      <c r="E15" s="13">
        <v>3030</v>
      </c>
      <c r="F15" s="13">
        <v>3167</v>
      </c>
      <c r="G15" s="13">
        <v>3304</v>
      </c>
      <c r="H15" s="13">
        <v>3413</v>
      </c>
      <c r="I15" s="13">
        <v>3328</v>
      </c>
      <c r="J15" s="13">
        <v>3328</v>
      </c>
      <c r="K15" s="13">
        <v>3328</v>
      </c>
      <c r="L15" s="13">
        <v>3328</v>
      </c>
      <c r="M15" s="13">
        <v>3328</v>
      </c>
      <c r="N15" s="13">
        <v>3328</v>
      </c>
      <c r="O15" s="13"/>
    </row>
    <row r="16" spans="2:15" x14ac:dyDescent="0.3">
      <c r="B16" s="9" t="s">
        <v>87</v>
      </c>
      <c r="C16" s="13">
        <v>3103</v>
      </c>
      <c r="D16" s="13">
        <v>3403</v>
      </c>
      <c r="E16" s="13">
        <v>3403</v>
      </c>
      <c r="F16" s="13">
        <v>3326</v>
      </c>
      <c r="G16" s="13">
        <v>3506</v>
      </c>
      <c r="H16" s="13">
        <v>3355</v>
      </c>
      <c r="I16" s="13">
        <v>3049</v>
      </c>
      <c r="J16" s="13">
        <v>3049</v>
      </c>
      <c r="K16" s="13">
        <v>3049</v>
      </c>
      <c r="L16" s="13">
        <v>3049</v>
      </c>
      <c r="M16" s="13">
        <v>3049</v>
      </c>
      <c r="N16" s="13">
        <v>3049</v>
      </c>
      <c r="O16" s="13"/>
    </row>
    <row r="17" spans="2:15" x14ac:dyDescent="0.3">
      <c r="B17" s="9" t="s">
        <v>88</v>
      </c>
      <c r="C17" s="13">
        <v>13110</v>
      </c>
      <c r="D17" s="13">
        <v>15390</v>
      </c>
      <c r="E17" s="13">
        <v>15390</v>
      </c>
      <c r="F17" s="13">
        <v>15390</v>
      </c>
      <c r="G17" s="13">
        <v>15390</v>
      </c>
      <c r="H17" s="13">
        <v>15390</v>
      </c>
      <c r="I17" s="13">
        <v>15390</v>
      </c>
      <c r="J17" s="13">
        <v>15390</v>
      </c>
      <c r="K17" s="13">
        <v>15390</v>
      </c>
      <c r="L17" s="13">
        <v>15390</v>
      </c>
      <c r="M17" s="13">
        <v>15390</v>
      </c>
      <c r="N17" s="13">
        <v>15390</v>
      </c>
      <c r="O17" s="13"/>
    </row>
    <row r="18" spans="2:15" x14ac:dyDescent="0.3">
      <c r="B18" s="9" t="s">
        <v>89</v>
      </c>
      <c r="C18" s="13">
        <v>45600</v>
      </c>
      <c r="D18" s="13">
        <v>45600</v>
      </c>
      <c r="E18" s="13">
        <v>95760</v>
      </c>
      <c r="F18" s="13">
        <v>47880</v>
      </c>
      <c r="G18" s="13">
        <v>47880</v>
      </c>
      <c r="H18" s="13">
        <v>47880</v>
      </c>
      <c r="I18" s="13">
        <v>47880</v>
      </c>
      <c r="J18" s="13">
        <v>47880</v>
      </c>
      <c r="K18" s="13">
        <v>47880</v>
      </c>
      <c r="L18" s="13">
        <v>47880</v>
      </c>
      <c r="M18" s="13">
        <v>47880</v>
      </c>
      <c r="N18" s="13">
        <v>47880</v>
      </c>
      <c r="O18" s="13"/>
    </row>
    <row r="19" spans="2:15" x14ac:dyDescent="0.3">
      <c r="B19" s="9" t="s">
        <v>90</v>
      </c>
      <c r="C19" s="13">
        <v>26405.16</v>
      </c>
      <c r="D19" s="13"/>
      <c r="E19" s="13"/>
      <c r="F19" s="13"/>
      <c r="G19" s="13"/>
      <c r="H19" s="13">
        <v>19918</v>
      </c>
      <c r="I19" s="13"/>
      <c r="J19" s="13"/>
      <c r="K19" s="13"/>
      <c r="L19" s="13"/>
      <c r="M19" s="13"/>
      <c r="N19" s="13"/>
      <c r="O19" s="13"/>
    </row>
    <row r="20" spans="2:15" x14ac:dyDescent="0.3">
      <c r="B20" s="9" t="s">
        <v>91</v>
      </c>
      <c r="C20" s="13">
        <v>446.01</v>
      </c>
      <c r="D20" s="13"/>
      <c r="E20" s="13"/>
      <c r="F20" s="13"/>
      <c r="G20" s="13">
        <v>943.77</v>
      </c>
      <c r="H20" s="13"/>
      <c r="I20" s="13"/>
      <c r="J20" s="13"/>
      <c r="K20" s="13"/>
      <c r="L20" s="13"/>
      <c r="M20" s="13"/>
      <c r="N20" s="13"/>
      <c r="O20" s="13"/>
    </row>
    <row r="21" spans="2:15" x14ac:dyDescent="0.3">
      <c r="B21" s="9" t="s">
        <v>92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s="7" customFormat="1" x14ac:dyDescent="0.3">
      <c r="B22" s="3" t="s">
        <v>119</v>
      </c>
      <c r="C22" s="12">
        <f>C23</f>
        <v>110403</v>
      </c>
      <c r="D22" s="12">
        <f t="shared" ref="D22:N22" si="2">D23</f>
        <v>50000</v>
      </c>
      <c r="E22" s="12">
        <f t="shared" si="2"/>
        <v>0</v>
      </c>
      <c r="F22" s="12">
        <f t="shared" si="2"/>
        <v>111430</v>
      </c>
      <c r="G22" s="12">
        <f t="shared" si="2"/>
        <v>0</v>
      </c>
      <c r="H22" s="12">
        <f t="shared" si="2"/>
        <v>0</v>
      </c>
      <c r="I22" s="12">
        <f t="shared" si="2"/>
        <v>0</v>
      </c>
      <c r="J22" s="12">
        <f t="shared" si="2"/>
        <v>0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0</v>
      </c>
      <c r="O22" s="12"/>
    </row>
    <row r="23" spans="2:15" x14ac:dyDescent="0.3">
      <c r="B23" s="9" t="s">
        <v>200</v>
      </c>
      <c r="C23" s="13">
        <v>110403</v>
      </c>
      <c r="D23" s="13">
        <v>50000</v>
      </c>
      <c r="E23" s="13"/>
      <c r="F23" s="13">
        <v>111430</v>
      </c>
      <c r="G23" s="13"/>
      <c r="H23" s="13"/>
      <c r="I23" s="13"/>
      <c r="J23" s="13"/>
      <c r="K23" s="13"/>
      <c r="L23" s="13"/>
      <c r="M23" s="13"/>
      <c r="N23" s="13"/>
      <c r="O23" s="13"/>
    </row>
    <row r="24" spans="2:15" s="7" customFormat="1" x14ac:dyDescent="0.3">
      <c r="B24" s="3" t="s">
        <v>118</v>
      </c>
      <c r="C24" s="12">
        <f>SUM(C25:C28)</f>
        <v>1132806</v>
      </c>
      <c r="D24" s="12">
        <f t="shared" ref="D24:N24" si="3">SUM(D25:D28)</f>
        <v>0</v>
      </c>
      <c r="E24" s="12">
        <f t="shared" si="3"/>
        <v>0</v>
      </c>
      <c r="F24" s="12">
        <f t="shared" si="3"/>
        <v>500629</v>
      </c>
      <c r="G24" s="12">
        <f t="shared" si="3"/>
        <v>0</v>
      </c>
      <c r="H24" s="12">
        <f t="shared" si="3"/>
        <v>0</v>
      </c>
      <c r="I24" s="12">
        <f t="shared" si="3"/>
        <v>0</v>
      </c>
      <c r="J24" s="12">
        <f t="shared" si="3"/>
        <v>602000</v>
      </c>
      <c r="K24" s="12">
        <f t="shared" si="3"/>
        <v>2000</v>
      </c>
      <c r="L24" s="12">
        <f t="shared" si="3"/>
        <v>322000</v>
      </c>
      <c r="M24" s="12">
        <f t="shared" si="3"/>
        <v>2000</v>
      </c>
      <c r="N24" s="12">
        <f t="shared" si="3"/>
        <v>2000</v>
      </c>
      <c r="O24" s="12"/>
    </row>
    <row r="25" spans="2:15" x14ac:dyDescent="0.3">
      <c r="B25" s="9" t="s">
        <v>93</v>
      </c>
      <c r="C25" s="13">
        <v>90888</v>
      </c>
      <c r="D25" s="13"/>
      <c r="E25" s="13"/>
      <c r="F25" s="13"/>
      <c r="G25" s="13"/>
      <c r="H25" s="13"/>
      <c r="I25" s="13"/>
      <c r="J25" s="13">
        <v>2000</v>
      </c>
      <c r="K25" s="13">
        <v>2000</v>
      </c>
      <c r="L25" s="13">
        <v>2000</v>
      </c>
      <c r="M25" s="13">
        <v>2000</v>
      </c>
      <c r="N25" s="13">
        <v>2000</v>
      </c>
      <c r="O25" s="13"/>
    </row>
    <row r="26" spans="2:15" x14ac:dyDescent="0.3">
      <c r="B26" s="9" t="s">
        <v>94</v>
      </c>
      <c r="C26" s="13">
        <v>460880</v>
      </c>
      <c r="D26" s="13"/>
      <c r="E26" s="13"/>
      <c r="F26" s="13"/>
      <c r="G26" s="13"/>
      <c r="H26" s="13"/>
      <c r="I26" s="13"/>
      <c r="J26" s="13"/>
      <c r="K26" s="13">
        <v>0</v>
      </c>
      <c r="L26" s="13">
        <v>0</v>
      </c>
      <c r="M26" s="13">
        <v>0</v>
      </c>
      <c r="N26" s="13">
        <v>0</v>
      </c>
      <c r="O26" s="13"/>
    </row>
    <row r="27" spans="2:15" x14ac:dyDescent="0.3">
      <c r="B27" s="9" t="s">
        <v>95</v>
      </c>
      <c r="C27" s="13">
        <v>581038</v>
      </c>
      <c r="D27" s="13"/>
      <c r="E27" s="13"/>
      <c r="F27" s="13"/>
      <c r="G27" s="13"/>
      <c r="H27" s="13"/>
      <c r="I27" s="13"/>
      <c r="J27" s="13">
        <v>600000</v>
      </c>
      <c r="K27" s="13"/>
      <c r="L27" s="13"/>
      <c r="M27" s="13"/>
      <c r="N27" s="13"/>
      <c r="O27" s="13"/>
    </row>
    <row r="28" spans="2:15" x14ac:dyDescent="0.3">
      <c r="B28" s="9" t="s">
        <v>96</v>
      </c>
      <c r="C28" s="13"/>
      <c r="D28" s="13"/>
      <c r="E28" s="13"/>
      <c r="F28" s="13">
        <v>500629</v>
      </c>
      <c r="G28" s="13"/>
      <c r="H28" s="13"/>
      <c r="I28" s="13"/>
      <c r="J28" s="13"/>
      <c r="K28" s="13"/>
      <c r="L28" s="13">
        <v>320000</v>
      </c>
      <c r="M28" s="13"/>
      <c r="N28" s="13"/>
      <c r="O28" s="13"/>
    </row>
    <row r="29" spans="2:15" s="7" customFormat="1" x14ac:dyDescent="0.3">
      <c r="B29" s="3" t="s">
        <v>117</v>
      </c>
      <c r="C29" s="12">
        <f>SUM(C30:C38)</f>
        <v>159681</v>
      </c>
      <c r="D29" s="12">
        <f t="shared" ref="D29:N29" si="4">SUM(D30:D38)</f>
        <v>519815.82</v>
      </c>
      <c r="E29" s="12">
        <f t="shared" si="4"/>
        <v>736014.11</v>
      </c>
      <c r="F29" s="12">
        <f t="shared" si="4"/>
        <v>495036.24</v>
      </c>
      <c r="G29" s="12">
        <f t="shared" si="4"/>
        <v>898385.28999999992</v>
      </c>
      <c r="H29" s="12">
        <f t="shared" si="4"/>
        <v>858034.79999999993</v>
      </c>
      <c r="I29" s="12">
        <f t="shared" si="4"/>
        <v>640443.98</v>
      </c>
      <c r="J29" s="12">
        <f t="shared" si="4"/>
        <v>712000</v>
      </c>
      <c r="K29" s="12">
        <f t="shared" si="4"/>
        <v>662000</v>
      </c>
      <c r="L29" s="12">
        <f t="shared" si="4"/>
        <v>687000</v>
      </c>
      <c r="M29" s="12">
        <f t="shared" si="4"/>
        <v>662000</v>
      </c>
      <c r="N29" s="12">
        <f t="shared" si="4"/>
        <v>632000</v>
      </c>
      <c r="O29" s="12"/>
    </row>
    <row r="30" spans="2:15" x14ac:dyDescent="0.3">
      <c r="B30" s="9" t="s">
        <v>138</v>
      </c>
      <c r="C30" s="13"/>
      <c r="D30" s="13"/>
      <c r="E30" s="13"/>
      <c r="F30" s="13"/>
      <c r="G30" s="13"/>
      <c r="H30" s="13">
        <v>58000</v>
      </c>
      <c r="I30" s="13"/>
      <c r="J30" s="13">
        <v>0</v>
      </c>
      <c r="K30" s="13">
        <v>0</v>
      </c>
      <c r="L30" s="13">
        <v>25000</v>
      </c>
      <c r="M30" s="13">
        <v>0</v>
      </c>
      <c r="N30" s="13">
        <v>0</v>
      </c>
      <c r="O30" s="13"/>
    </row>
    <row r="31" spans="2:15" x14ac:dyDescent="0.3">
      <c r="B31" s="9" t="s">
        <v>97</v>
      </c>
      <c r="C31" s="13"/>
      <c r="D31" s="13"/>
      <c r="E31" s="13"/>
      <c r="F31" s="13"/>
      <c r="G31" s="13">
        <v>32580</v>
      </c>
      <c r="H31" s="13">
        <v>33585</v>
      </c>
      <c r="I31" s="13">
        <v>44971</v>
      </c>
      <c r="J31" s="13">
        <v>50000</v>
      </c>
      <c r="K31" s="13">
        <v>50000</v>
      </c>
      <c r="L31" s="13">
        <v>50000</v>
      </c>
      <c r="M31" s="13">
        <v>50000</v>
      </c>
      <c r="N31" s="13">
        <v>50000</v>
      </c>
      <c r="O31" s="13"/>
    </row>
    <row r="32" spans="2:15" x14ac:dyDescent="0.3">
      <c r="B32" s="9" t="s">
        <v>98</v>
      </c>
      <c r="C32" s="13">
        <v>3372.06</v>
      </c>
      <c r="D32" s="13">
        <v>30137.919999999998</v>
      </c>
      <c r="E32" s="13">
        <v>54393.62</v>
      </c>
      <c r="F32" s="13">
        <v>34518.07</v>
      </c>
      <c r="G32" s="13">
        <v>51648.38</v>
      </c>
      <c r="H32" s="13">
        <v>50676.39</v>
      </c>
      <c r="I32" s="13">
        <v>40573.94</v>
      </c>
      <c r="J32" s="13">
        <v>52000</v>
      </c>
      <c r="K32" s="13">
        <v>52000</v>
      </c>
      <c r="L32" s="13">
        <v>52000</v>
      </c>
      <c r="M32" s="13">
        <v>52000</v>
      </c>
      <c r="N32" s="13">
        <v>52000</v>
      </c>
      <c r="O32" s="13"/>
    </row>
    <row r="33" spans="2:15" x14ac:dyDescent="0.3">
      <c r="B33" s="9" t="s">
        <v>99</v>
      </c>
      <c r="C33" s="13">
        <v>31327.22</v>
      </c>
      <c r="D33" s="13">
        <v>170337.14</v>
      </c>
      <c r="E33" s="13">
        <v>316008.49</v>
      </c>
      <c r="F33" s="13">
        <v>192245.23</v>
      </c>
      <c r="G33" s="13">
        <v>305226.34999999998</v>
      </c>
      <c r="H33" s="13">
        <v>271615.40999999997</v>
      </c>
      <c r="I33" s="13">
        <v>235140.25</v>
      </c>
      <c r="J33" s="13">
        <v>300000</v>
      </c>
      <c r="K33" s="13">
        <v>300000</v>
      </c>
      <c r="L33" s="13">
        <v>300000</v>
      </c>
      <c r="M33" s="13">
        <v>300000</v>
      </c>
      <c r="N33" s="13">
        <v>300000</v>
      </c>
      <c r="O33" s="13"/>
    </row>
    <row r="34" spans="2:15" x14ac:dyDescent="0.3">
      <c r="B34" s="9" t="s">
        <v>100</v>
      </c>
      <c r="C34" s="13">
        <v>3430.86</v>
      </c>
      <c r="D34" s="13">
        <v>44327</v>
      </c>
      <c r="E34" s="13">
        <v>81722</v>
      </c>
      <c r="F34" s="13">
        <v>51173.54</v>
      </c>
      <c r="G34" s="13">
        <v>73069.460000000006</v>
      </c>
      <c r="H34" s="13">
        <v>66935.039999999994</v>
      </c>
      <c r="I34" s="13">
        <v>59799.24</v>
      </c>
      <c r="J34" s="13">
        <v>80000</v>
      </c>
      <c r="K34" s="13">
        <v>80000</v>
      </c>
      <c r="L34" s="13">
        <v>80000</v>
      </c>
      <c r="M34" s="13">
        <v>80000</v>
      </c>
      <c r="N34" s="13">
        <v>80000</v>
      </c>
      <c r="O34" s="13"/>
    </row>
    <row r="35" spans="2:15" x14ac:dyDescent="0.3">
      <c r="B35" s="9" t="s">
        <v>101</v>
      </c>
      <c r="C35" s="13">
        <v>109225</v>
      </c>
      <c r="D35" s="13">
        <v>169895</v>
      </c>
      <c r="E35" s="13">
        <v>96080</v>
      </c>
      <c r="F35" s="13">
        <v>101775</v>
      </c>
      <c r="G35" s="13">
        <v>67200</v>
      </c>
      <c r="H35" s="13">
        <v>27225</v>
      </c>
      <c r="I35" s="13">
        <v>22800</v>
      </c>
      <c r="J35" s="13"/>
      <c r="K35" s="13"/>
      <c r="L35" s="13"/>
      <c r="M35" s="13"/>
      <c r="N35" s="13"/>
      <c r="O35" s="13"/>
    </row>
    <row r="36" spans="2:15" x14ac:dyDescent="0.3">
      <c r="B36" s="9" t="s">
        <v>102</v>
      </c>
      <c r="C36" s="13">
        <v>11377.86</v>
      </c>
      <c r="D36" s="13">
        <v>89839.76</v>
      </c>
      <c r="E36" s="13">
        <v>175810</v>
      </c>
      <c r="F36" s="13">
        <v>105324.4</v>
      </c>
      <c r="G36" s="13">
        <v>148736.1</v>
      </c>
      <c r="H36" s="13">
        <v>165457.96</v>
      </c>
      <c r="I36" s="13">
        <v>161064.54999999999</v>
      </c>
      <c r="J36" s="13">
        <v>180000</v>
      </c>
      <c r="K36" s="13">
        <v>180000</v>
      </c>
      <c r="L36" s="13">
        <v>180000</v>
      </c>
      <c r="M36" s="13">
        <v>180000</v>
      </c>
      <c r="N36" s="13">
        <v>150000</v>
      </c>
      <c r="O36" s="13"/>
    </row>
    <row r="37" spans="2:15" x14ac:dyDescent="0.3">
      <c r="B37" s="9" t="s">
        <v>103</v>
      </c>
      <c r="C37" s="13"/>
      <c r="D37" s="13"/>
      <c r="E37" s="13"/>
      <c r="F37" s="13"/>
      <c r="G37" s="13">
        <v>219925</v>
      </c>
      <c r="H37" s="13">
        <v>159790</v>
      </c>
      <c r="I37" s="13">
        <v>71345</v>
      </c>
      <c r="J37" s="13"/>
      <c r="K37" s="13"/>
      <c r="L37" s="13"/>
      <c r="M37" s="13"/>
      <c r="N37" s="13"/>
      <c r="O37" s="13"/>
    </row>
    <row r="38" spans="2:15" x14ac:dyDescent="0.3">
      <c r="B38" s="9" t="s">
        <v>104</v>
      </c>
      <c r="C38" s="13">
        <v>948</v>
      </c>
      <c r="D38" s="13">
        <v>15279</v>
      </c>
      <c r="E38" s="13">
        <v>12000</v>
      </c>
      <c r="F38" s="13">
        <v>10000</v>
      </c>
      <c r="G38" s="13"/>
      <c r="H38" s="13">
        <v>24750</v>
      </c>
      <c r="I38" s="13">
        <v>4750</v>
      </c>
      <c r="J38" s="13">
        <v>50000</v>
      </c>
      <c r="K38" s="13"/>
      <c r="L38" s="13"/>
      <c r="M38" s="13"/>
      <c r="N38" s="13"/>
      <c r="O38" s="13"/>
    </row>
    <row r="39" spans="2:15" s="7" customFormat="1" x14ac:dyDescent="0.3">
      <c r="B39" s="3" t="s">
        <v>116</v>
      </c>
      <c r="C39" s="12">
        <f t="shared" ref="C39:N39" si="5">SUM(C40:C51)</f>
        <v>82331</v>
      </c>
      <c r="D39" s="12">
        <f t="shared" si="5"/>
        <v>579303</v>
      </c>
      <c r="E39" s="12">
        <f t="shared" si="5"/>
        <v>227792</v>
      </c>
      <c r="F39" s="12">
        <f t="shared" si="5"/>
        <v>296370</v>
      </c>
      <c r="G39" s="12">
        <f t="shared" si="5"/>
        <v>172447</v>
      </c>
      <c r="H39" s="12">
        <f t="shared" si="5"/>
        <v>152985</v>
      </c>
      <c r="I39" s="12">
        <f t="shared" si="5"/>
        <v>146096</v>
      </c>
      <c r="J39" s="12">
        <f t="shared" si="5"/>
        <v>175000</v>
      </c>
      <c r="K39" s="12">
        <f t="shared" si="5"/>
        <v>295000</v>
      </c>
      <c r="L39" s="12">
        <f t="shared" si="5"/>
        <v>225000</v>
      </c>
      <c r="M39" s="12">
        <f t="shared" si="5"/>
        <v>225000</v>
      </c>
      <c r="N39" s="12">
        <f t="shared" si="5"/>
        <v>175000</v>
      </c>
      <c r="O39" s="12"/>
    </row>
    <row r="40" spans="2:15" x14ac:dyDescent="0.3">
      <c r="B40" s="9" t="s">
        <v>105</v>
      </c>
      <c r="C40" s="13"/>
      <c r="D40" s="13">
        <v>255590</v>
      </c>
      <c r="E40" s="13"/>
      <c r="F40" s="13">
        <v>5795</v>
      </c>
      <c r="G40" s="13">
        <v>56451</v>
      </c>
      <c r="H40" s="13"/>
      <c r="I40" s="13">
        <v>45200</v>
      </c>
      <c r="J40" s="13"/>
      <c r="K40" s="13"/>
      <c r="L40" s="13"/>
      <c r="M40" s="13"/>
      <c r="N40" s="13"/>
      <c r="O40" s="13"/>
    </row>
    <row r="41" spans="2:15" x14ac:dyDescent="0.3">
      <c r="B41" s="14" t="s">
        <v>139</v>
      </c>
      <c r="C41" s="13"/>
      <c r="D41" s="13"/>
      <c r="E41" s="13"/>
      <c r="F41" s="13"/>
      <c r="G41" s="13"/>
      <c r="H41" s="13"/>
      <c r="I41" s="13"/>
      <c r="J41" s="13">
        <v>25000</v>
      </c>
      <c r="K41" s="13">
        <v>25000</v>
      </c>
      <c r="L41" s="13">
        <v>25000</v>
      </c>
      <c r="M41" s="13">
        <v>25000</v>
      </c>
      <c r="N41" s="13">
        <v>25000</v>
      </c>
      <c r="O41" s="13"/>
    </row>
    <row r="42" spans="2:15" x14ac:dyDescent="0.3">
      <c r="B42" s="14" t="s">
        <v>142</v>
      </c>
      <c r="C42" s="13"/>
      <c r="D42" s="13"/>
      <c r="E42" s="13"/>
      <c r="F42" s="13"/>
      <c r="G42" s="13"/>
      <c r="H42" s="13"/>
      <c r="I42" s="13"/>
      <c r="J42" s="13"/>
      <c r="K42" s="13">
        <v>70000</v>
      </c>
      <c r="L42" s="13"/>
      <c r="M42" s="13"/>
      <c r="N42" s="13"/>
      <c r="O42" s="13"/>
    </row>
    <row r="43" spans="2:15" x14ac:dyDescent="0.3">
      <c r="B43" s="9" t="s">
        <v>106</v>
      </c>
      <c r="C43" s="13"/>
      <c r="D43" s="13">
        <v>15273</v>
      </c>
      <c r="E43" s="13"/>
      <c r="F43" s="13">
        <v>14097</v>
      </c>
      <c r="G43" s="13">
        <v>46560</v>
      </c>
      <c r="H43" s="13">
        <v>8000</v>
      </c>
      <c r="I43" s="13"/>
      <c r="J43" s="13"/>
      <c r="K43" s="13"/>
      <c r="L43" s="13"/>
      <c r="M43" s="13"/>
      <c r="N43" s="13"/>
      <c r="O43" s="13"/>
    </row>
    <row r="44" spans="2:15" x14ac:dyDescent="0.3">
      <c r="B44" s="9" t="s">
        <v>107</v>
      </c>
      <c r="C44" s="13">
        <v>17995</v>
      </c>
      <c r="D44" s="13">
        <v>21175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2:15" x14ac:dyDescent="0.3">
      <c r="B45" s="9" t="s">
        <v>108</v>
      </c>
      <c r="C45" s="13">
        <v>35556</v>
      </c>
      <c r="D45" s="13">
        <v>10787</v>
      </c>
      <c r="E45" s="13">
        <v>10509</v>
      </c>
      <c r="F45" s="13">
        <v>32277</v>
      </c>
      <c r="G45" s="13">
        <v>11775</v>
      </c>
      <c r="H45" s="13">
        <v>17000</v>
      </c>
      <c r="I45" s="13"/>
      <c r="J45" s="13"/>
      <c r="K45" s="13"/>
      <c r="L45" s="13"/>
      <c r="M45" s="13"/>
      <c r="N45" s="13"/>
      <c r="O45" s="13"/>
    </row>
    <row r="46" spans="2:15" x14ac:dyDescent="0.3">
      <c r="B46" s="9" t="s">
        <v>109</v>
      </c>
      <c r="C46" s="13"/>
      <c r="D46" s="13">
        <v>44994</v>
      </c>
      <c r="E46" s="13">
        <v>89949</v>
      </c>
      <c r="F46" s="13">
        <v>37966</v>
      </c>
      <c r="G46" s="13">
        <v>680</v>
      </c>
      <c r="H46" s="13">
        <v>71657</v>
      </c>
      <c r="I46" s="13">
        <v>29665</v>
      </c>
      <c r="J46" s="13"/>
      <c r="K46" s="13"/>
      <c r="L46" s="13"/>
      <c r="M46" s="13"/>
      <c r="N46" s="13"/>
      <c r="O46" s="13"/>
    </row>
    <row r="47" spans="2:15" x14ac:dyDescent="0.3">
      <c r="B47" s="9" t="s">
        <v>110</v>
      </c>
      <c r="C47" s="13"/>
      <c r="D47" s="13">
        <v>30953</v>
      </c>
      <c r="E47" s="13">
        <v>43257</v>
      </c>
      <c r="F47" s="13">
        <v>1239</v>
      </c>
      <c r="G47" s="13">
        <v>20691</v>
      </c>
      <c r="H47" s="13">
        <v>9151</v>
      </c>
      <c r="I47" s="13">
        <v>26490</v>
      </c>
      <c r="J47" s="13"/>
      <c r="K47" s="13"/>
      <c r="L47" s="13"/>
      <c r="M47" s="13"/>
      <c r="N47" s="13"/>
      <c r="O47" s="13"/>
    </row>
    <row r="48" spans="2:15" x14ac:dyDescent="0.3">
      <c r="B48" s="9" t="s">
        <v>111</v>
      </c>
      <c r="C48" s="13"/>
      <c r="D48" s="13">
        <v>55441</v>
      </c>
      <c r="E48" s="13"/>
      <c r="F48" s="13">
        <v>39559</v>
      </c>
      <c r="G48" s="13"/>
      <c r="H48" s="13"/>
      <c r="I48" s="13">
        <v>4018</v>
      </c>
      <c r="J48" s="13"/>
      <c r="K48" s="13"/>
      <c r="L48" s="13"/>
      <c r="M48" s="13"/>
      <c r="N48" s="13"/>
      <c r="O48" s="13"/>
    </row>
    <row r="49" spans="2:15" x14ac:dyDescent="0.3">
      <c r="B49" s="9" t="s">
        <v>112</v>
      </c>
      <c r="C49" s="13">
        <v>19486</v>
      </c>
      <c r="D49" s="13">
        <v>91978</v>
      </c>
      <c r="E49" s="13">
        <v>5343</v>
      </c>
      <c r="F49" s="13">
        <v>44053</v>
      </c>
      <c r="G49" s="13">
        <v>25450</v>
      </c>
      <c r="H49" s="13">
        <v>25099</v>
      </c>
      <c r="I49" s="13">
        <v>4018</v>
      </c>
      <c r="J49" s="13"/>
      <c r="K49" s="13"/>
      <c r="L49" s="13"/>
      <c r="M49" s="13"/>
      <c r="N49" s="13"/>
      <c r="O49" s="13"/>
    </row>
    <row r="50" spans="2:15" x14ac:dyDescent="0.3">
      <c r="B50" s="9" t="s">
        <v>113</v>
      </c>
      <c r="C50" s="13"/>
      <c r="D50" s="13">
        <v>10323</v>
      </c>
      <c r="E50" s="13"/>
      <c r="F50" s="13">
        <v>48117</v>
      </c>
      <c r="G50" s="13"/>
      <c r="H50" s="13"/>
      <c r="I50" s="13"/>
      <c r="J50" s="13"/>
      <c r="K50" s="13"/>
      <c r="L50" s="13"/>
      <c r="M50" s="13"/>
      <c r="N50" s="13"/>
      <c r="O50" s="13"/>
    </row>
    <row r="51" spans="2:15" x14ac:dyDescent="0.3">
      <c r="B51" s="9" t="s">
        <v>114</v>
      </c>
      <c r="C51" s="13">
        <v>9294</v>
      </c>
      <c r="D51" s="13">
        <v>42789</v>
      </c>
      <c r="E51" s="13">
        <v>78734</v>
      </c>
      <c r="F51" s="13">
        <v>73267</v>
      </c>
      <c r="G51" s="13">
        <v>10840</v>
      </c>
      <c r="H51" s="13">
        <v>22078</v>
      </c>
      <c r="I51" s="13">
        <v>36705</v>
      </c>
      <c r="J51" s="13">
        <v>150000</v>
      </c>
      <c r="K51" s="13">
        <v>200000</v>
      </c>
      <c r="L51" s="13">
        <v>200000</v>
      </c>
      <c r="M51" s="13">
        <v>200000</v>
      </c>
      <c r="N51" s="13">
        <v>150000</v>
      </c>
      <c r="O51" s="13"/>
    </row>
    <row r="52" spans="2:15" x14ac:dyDescent="0.3">
      <c r="B52" s="3" t="s">
        <v>121</v>
      </c>
      <c r="C52" s="12">
        <f>C53</f>
        <v>67097</v>
      </c>
      <c r="D52" s="12">
        <f t="shared" ref="D52:N52" si="6">D53</f>
        <v>79069</v>
      </c>
      <c r="E52" s="12">
        <f t="shared" si="6"/>
        <v>227242</v>
      </c>
      <c r="F52" s="12">
        <f t="shared" si="6"/>
        <v>528382</v>
      </c>
      <c r="G52" s="12">
        <f t="shared" si="6"/>
        <v>770554</v>
      </c>
      <c r="H52" s="12">
        <f t="shared" si="6"/>
        <v>272793</v>
      </c>
      <c r="I52" s="12">
        <f t="shared" si="6"/>
        <v>174762</v>
      </c>
      <c r="J52" s="12">
        <f t="shared" si="6"/>
        <v>0</v>
      </c>
      <c r="K52" s="12">
        <f t="shared" si="6"/>
        <v>0</v>
      </c>
      <c r="L52" s="12">
        <f t="shared" si="6"/>
        <v>0</v>
      </c>
      <c r="M52" s="12">
        <f t="shared" si="6"/>
        <v>0</v>
      </c>
      <c r="N52" s="12">
        <f t="shared" si="6"/>
        <v>0</v>
      </c>
      <c r="O52" s="13"/>
    </row>
    <row r="53" spans="2:15" x14ac:dyDescent="0.3">
      <c r="B53" s="9" t="s">
        <v>115</v>
      </c>
      <c r="C53" s="13">
        <v>67097</v>
      </c>
      <c r="D53" s="13">
        <v>79069</v>
      </c>
      <c r="E53" s="13">
        <v>227242</v>
      </c>
      <c r="F53" s="13">
        <v>528382</v>
      </c>
      <c r="G53" s="13">
        <v>770554</v>
      </c>
      <c r="H53" s="13">
        <v>272793</v>
      </c>
      <c r="I53" s="13">
        <v>174762</v>
      </c>
      <c r="J53" s="13"/>
      <c r="K53" s="13"/>
      <c r="L53" s="13"/>
      <c r="M53" s="13"/>
      <c r="N53" s="13"/>
      <c r="O5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B6EC-D100-478E-80D4-9D23B3D931BB}">
  <dimension ref="B4:H24"/>
  <sheetViews>
    <sheetView showGridLines="0" workbookViewId="0">
      <selection activeCell="B19" sqref="B19"/>
    </sheetView>
  </sheetViews>
  <sheetFormatPr defaultRowHeight="14.4" x14ac:dyDescent="0.3"/>
  <cols>
    <col min="2" max="2" width="7.88671875" bestFit="1" customWidth="1"/>
    <col min="3" max="7" width="13.88671875" style="15" bestFit="1" customWidth="1"/>
    <col min="8" max="8" width="11.5546875" bestFit="1" customWidth="1"/>
  </cols>
  <sheetData>
    <row r="4" spans="2:8" x14ac:dyDescent="0.3">
      <c r="B4" s="16" t="s">
        <v>299</v>
      </c>
      <c r="C4" s="16">
        <v>45597</v>
      </c>
      <c r="D4" s="16">
        <v>45627</v>
      </c>
      <c r="E4" s="16">
        <v>45658</v>
      </c>
      <c r="F4" s="16">
        <v>45689</v>
      </c>
      <c r="G4" s="16">
        <v>45717</v>
      </c>
      <c r="H4" s="16" t="s">
        <v>2</v>
      </c>
    </row>
    <row r="5" spans="2:8" x14ac:dyDescent="0.3">
      <c r="B5" s="129" t="s">
        <v>4</v>
      </c>
      <c r="C5" s="13">
        <v>21856404.657749999</v>
      </c>
      <c r="D5" s="13">
        <v>30886013.534299999</v>
      </c>
      <c r="E5" s="13">
        <v>20054868.568</v>
      </c>
      <c r="F5" s="13">
        <v>9531615.4510500003</v>
      </c>
      <c r="G5" s="13">
        <v>14402089.148737499</v>
      </c>
      <c r="H5" s="12">
        <f>SUM(C5:G5)</f>
        <v>96730991.359837502</v>
      </c>
    </row>
    <row r="6" spans="2:8" x14ac:dyDescent="0.3">
      <c r="B6" s="9" t="s">
        <v>149</v>
      </c>
      <c r="C6" s="13">
        <f>C5/3.4</f>
        <v>6428354.3111029407</v>
      </c>
      <c r="D6" s="13">
        <f>D5/3.4</f>
        <v>9084121.6277352944</v>
      </c>
      <c r="E6" s="13">
        <f>E5/3.4</f>
        <v>5898490.7552941181</v>
      </c>
      <c r="F6" s="13">
        <f>F5/3.4</f>
        <v>2803416.3091323529</v>
      </c>
      <c r="G6" s="13">
        <f>G5/3.4</f>
        <v>4235908.5731580881</v>
      </c>
      <c r="H6" s="12">
        <f t="shared" ref="H6:H8" si="0">SUM(C6:G6)</f>
        <v>28450291.576422796</v>
      </c>
    </row>
    <row r="7" spans="2:8" x14ac:dyDescent="0.3">
      <c r="B7" s="9" t="s">
        <v>300</v>
      </c>
      <c r="C7" s="13">
        <v>1992000</v>
      </c>
      <c r="D7" s="13">
        <v>3852000</v>
      </c>
      <c r="E7" s="13">
        <v>4722000</v>
      </c>
      <c r="F7" s="13">
        <v>3032000</v>
      </c>
      <c r="G7" s="13">
        <v>1427000</v>
      </c>
      <c r="H7" s="12">
        <f t="shared" si="0"/>
        <v>15025000</v>
      </c>
    </row>
    <row r="8" spans="2:8" x14ac:dyDescent="0.3">
      <c r="B8" s="9" t="s">
        <v>302</v>
      </c>
      <c r="C8" s="13">
        <f>C5*CC!D19</f>
        <v>4913850.7325039459</v>
      </c>
      <c r="D8" s="13">
        <f>D5*CC!E19</f>
        <v>6355644.7192188557</v>
      </c>
      <c r="E8" s="13">
        <f>E5*CC!F19</f>
        <v>4826032.8623378836</v>
      </c>
      <c r="F8" s="13">
        <f>F5*CC!G19</f>
        <v>2487678.468388692</v>
      </c>
      <c r="G8" s="13">
        <f>G5*CC!H19</f>
        <v>4256266.7960390626</v>
      </c>
      <c r="H8" s="12">
        <f t="shared" si="0"/>
        <v>22839473.578488439</v>
      </c>
    </row>
    <row r="9" spans="2:8" s="7" customFormat="1" x14ac:dyDescent="0.3">
      <c r="B9" s="3" t="s">
        <v>301</v>
      </c>
      <c r="C9" s="12">
        <f>C5-C7-C8-C6</f>
        <v>8522199.6141431108</v>
      </c>
      <c r="D9" s="12">
        <f>D5-D7-D8-D6</f>
        <v>11594247.187345847</v>
      </c>
      <c r="E9" s="12">
        <f>E5-E7-E8-E6</f>
        <v>4608344.9503679983</v>
      </c>
      <c r="F9" s="12">
        <f>F5-F7-F8-F6</f>
        <v>1208520.6735289553</v>
      </c>
      <c r="G9" s="12">
        <f>G5-G7-G8-G6</f>
        <v>4482913.7795403497</v>
      </c>
      <c r="H9" s="12">
        <f>SUM(C9:G9)</f>
        <v>30416226.20492626</v>
      </c>
    </row>
    <row r="10" spans="2:8" s="7" customFormat="1" x14ac:dyDescent="0.3">
      <c r="B10" s="3" t="s">
        <v>305</v>
      </c>
      <c r="C10" s="126">
        <f t="shared" ref="C10:H10" si="1">C9/C5</f>
        <v>0.38991772652421353</v>
      </c>
      <c r="D10" s="126">
        <f t="shared" si="1"/>
        <v>0.37538826998408292</v>
      </c>
      <c r="E10" s="126">
        <f t="shared" si="1"/>
        <v>0.22978684376526792</v>
      </c>
      <c r="F10" s="126">
        <f t="shared" si="1"/>
        <v>0.12679075018661448</v>
      </c>
      <c r="G10" s="126">
        <f t="shared" si="1"/>
        <v>0.31126829817834628</v>
      </c>
      <c r="H10" s="126">
        <f t="shared" si="1"/>
        <v>0.31444137785974363</v>
      </c>
    </row>
    <row r="11" spans="2:8" x14ac:dyDescent="0.3">
      <c r="B11" s="9"/>
      <c r="C11" s="13"/>
      <c r="D11" s="13"/>
      <c r="E11" s="13"/>
      <c r="F11" s="13"/>
      <c r="G11" s="13"/>
      <c r="H11" s="13"/>
    </row>
    <row r="12" spans="2:8" x14ac:dyDescent="0.3">
      <c r="B12" s="129" t="s">
        <v>5</v>
      </c>
      <c r="C12" s="13">
        <v>10000000</v>
      </c>
      <c r="D12" s="13">
        <v>6500000</v>
      </c>
      <c r="E12" s="13">
        <v>8554580</v>
      </c>
      <c r="F12" s="13">
        <v>17109160</v>
      </c>
      <c r="G12" s="13">
        <v>6415935</v>
      </c>
      <c r="H12" s="12">
        <f>SUM(C12:G12)</f>
        <v>48579675</v>
      </c>
    </row>
    <row r="13" spans="2:8" x14ac:dyDescent="0.3">
      <c r="B13" s="9" t="s">
        <v>149</v>
      </c>
      <c r="C13" s="13">
        <f>C12/3</f>
        <v>3333333.3333333335</v>
      </c>
      <c r="D13" s="13">
        <f>D12/3</f>
        <v>2166666.6666666665</v>
      </c>
      <c r="E13" s="13">
        <f>E12/3</f>
        <v>2851526.6666666665</v>
      </c>
      <c r="F13" s="13">
        <f>F12/3</f>
        <v>5703053.333333333</v>
      </c>
      <c r="G13" s="13">
        <f>G12/3</f>
        <v>2138645</v>
      </c>
      <c r="H13" s="12">
        <f t="shared" ref="H13:H16" si="2">SUM(C13:G13)</f>
        <v>16193225</v>
      </c>
    </row>
    <row r="14" spans="2:8" x14ac:dyDescent="0.3">
      <c r="B14" s="9" t="s">
        <v>300</v>
      </c>
      <c r="C14" s="13">
        <f>1300000</f>
        <v>1300000</v>
      </c>
      <c r="D14" s="13">
        <v>1340000</v>
      </c>
      <c r="E14" s="13">
        <v>1270000</v>
      </c>
      <c r="F14" s="13">
        <v>1245000</v>
      </c>
      <c r="G14" s="13">
        <v>1220000</v>
      </c>
      <c r="H14" s="12">
        <f t="shared" si="2"/>
        <v>6375000</v>
      </c>
    </row>
    <row r="15" spans="2:8" x14ac:dyDescent="0.3">
      <c r="B15" s="9" t="s">
        <v>303</v>
      </c>
      <c r="C15" s="13">
        <f>C12*CC!D19</f>
        <v>2248242.9335703012</v>
      </c>
      <c r="D15" s="13">
        <f>D12*CC!E19</f>
        <v>1337553.3436532521</v>
      </c>
      <c r="E15" s="13">
        <f>E12*CC!F19</f>
        <v>2058586.6251635866</v>
      </c>
      <c r="F15" s="13">
        <f>F12*CC!G19</f>
        <v>4465359.4307068326</v>
      </c>
      <c r="G15" s="13">
        <f>G12*CC!H19</f>
        <v>1896109.0175197755</v>
      </c>
      <c r="H15" s="12">
        <f t="shared" si="2"/>
        <v>12005851.350613749</v>
      </c>
    </row>
    <row r="16" spans="2:8" s="7" customFormat="1" x14ac:dyDescent="0.3">
      <c r="B16" s="3" t="s">
        <v>301</v>
      </c>
      <c r="C16" s="12">
        <f>C12-C14-C15-C13</f>
        <v>3118423.7330963654</v>
      </c>
      <c r="D16" s="12">
        <f>D12-D14-D15-D13</f>
        <v>1655779.9896800811</v>
      </c>
      <c r="E16" s="12">
        <f>E12-E14-E15-E13</f>
        <v>2374466.7081697467</v>
      </c>
      <c r="F16" s="12">
        <f>F12-F14-F15-F13</f>
        <v>5695747.2359598344</v>
      </c>
      <c r="G16" s="12">
        <f>G12-G14-G15-G13</f>
        <v>1161180.9824802242</v>
      </c>
      <c r="H16" s="12">
        <f t="shared" si="2"/>
        <v>14005598.649386253</v>
      </c>
    </row>
    <row r="17" spans="2:8" s="7" customFormat="1" x14ac:dyDescent="0.3">
      <c r="B17" s="3" t="s">
        <v>305</v>
      </c>
      <c r="C17" s="126">
        <f t="shared" ref="C17:H17" si="3">C16/C12</f>
        <v>0.31184237330963654</v>
      </c>
      <c r="D17" s="126">
        <f t="shared" si="3"/>
        <v>0.25473538302770476</v>
      </c>
      <c r="E17" s="126">
        <f t="shared" si="3"/>
        <v>0.27756671960163404</v>
      </c>
      <c r="F17" s="126">
        <f t="shared" si="3"/>
        <v>0.33290630492437001</v>
      </c>
      <c r="G17" s="126">
        <f t="shared" si="3"/>
        <v>0.18098390686318117</v>
      </c>
      <c r="H17" s="126">
        <f t="shared" si="3"/>
        <v>0.28830161275031696</v>
      </c>
    </row>
    <row r="18" spans="2:8" x14ac:dyDescent="0.3">
      <c r="B18" s="9"/>
      <c r="C18" s="13"/>
      <c r="D18" s="13"/>
      <c r="E18" s="13"/>
      <c r="F18" s="13"/>
      <c r="G18" s="13"/>
      <c r="H18" s="13"/>
    </row>
    <row r="19" spans="2:8" x14ac:dyDescent="0.3">
      <c r="B19" s="129" t="s">
        <v>6</v>
      </c>
      <c r="C19" s="13">
        <v>5000000</v>
      </c>
      <c r="D19" s="13">
        <v>5000000</v>
      </c>
      <c r="E19" s="13">
        <v>5000000</v>
      </c>
      <c r="F19" s="13">
        <v>5000000</v>
      </c>
      <c r="G19" s="13">
        <v>5000000</v>
      </c>
      <c r="H19" s="12">
        <f t="shared" ref="H19:H23" si="4">SUM(C19:G19)</f>
        <v>25000000</v>
      </c>
    </row>
    <row r="20" spans="2:8" x14ac:dyDescent="0.3">
      <c r="B20" s="9" t="s">
        <v>149</v>
      </c>
      <c r="C20" s="13">
        <f>C19/3.3</f>
        <v>1515151.5151515151</v>
      </c>
      <c r="D20" s="13">
        <f>D19/3.3</f>
        <v>1515151.5151515151</v>
      </c>
      <c r="E20" s="13">
        <f>E19/3.3</f>
        <v>1515151.5151515151</v>
      </c>
      <c r="F20" s="13">
        <f>F19/3.3</f>
        <v>1515151.5151515151</v>
      </c>
      <c r="G20" s="13">
        <f>G19/3.3</f>
        <v>1515151.5151515151</v>
      </c>
      <c r="H20" s="12">
        <f t="shared" si="4"/>
        <v>7575757.5757575762</v>
      </c>
    </row>
    <row r="21" spans="2:8" x14ac:dyDescent="0.3">
      <c r="B21" s="9" t="s">
        <v>300</v>
      </c>
      <c r="C21" s="13">
        <v>862000</v>
      </c>
      <c r="D21" s="13">
        <v>812000</v>
      </c>
      <c r="E21" s="13">
        <v>837000</v>
      </c>
      <c r="F21" s="13">
        <v>812000</v>
      </c>
      <c r="G21" s="13">
        <v>782000</v>
      </c>
      <c r="H21" s="12">
        <f t="shared" si="4"/>
        <v>4105000</v>
      </c>
    </row>
    <row r="22" spans="2:8" x14ac:dyDescent="0.3">
      <c r="B22" s="9" t="s">
        <v>303</v>
      </c>
      <c r="C22" s="13">
        <f>C19*CC!D19</f>
        <v>1124121.4667851506</v>
      </c>
      <c r="D22" s="13">
        <f>D19*CC!E19</f>
        <v>1028887.1874255785</v>
      </c>
      <c r="E22" s="13">
        <f>E19*CC!F19</f>
        <v>1203207.3024997057</v>
      </c>
      <c r="F22" s="13">
        <f>F19*CC!G19</f>
        <v>1304961.6201808951</v>
      </c>
      <c r="G22" s="13">
        <f>G19*CC!H19</f>
        <v>1477656.0372882327</v>
      </c>
      <c r="H22" s="12">
        <f t="shared" si="4"/>
        <v>6138833.6141795618</v>
      </c>
    </row>
    <row r="23" spans="2:8" s="7" customFormat="1" x14ac:dyDescent="0.3">
      <c r="B23" s="3" t="s">
        <v>301</v>
      </c>
      <c r="C23" s="12">
        <f>C19-C21-C22-C20</f>
        <v>1498727.0180633343</v>
      </c>
      <c r="D23" s="12">
        <f>D19-D21-D22-D20</f>
        <v>1643961.2974229064</v>
      </c>
      <c r="E23" s="12">
        <f>E19-E21-E22-E20</f>
        <v>1444641.1823487789</v>
      </c>
      <c r="F23" s="12">
        <f>F19-F21-F22-F20</f>
        <v>1367886.8646675898</v>
      </c>
      <c r="G23" s="12">
        <f>G19-G21-G22-G20</f>
        <v>1225192.4475602522</v>
      </c>
      <c r="H23" s="12">
        <f t="shared" si="4"/>
        <v>7180408.8100628611</v>
      </c>
    </row>
    <row r="24" spans="2:8" x14ac:dyDescent="0.3">
      <c r="B24" s="3" t="s">
        <v>305</v>
      </c>
      <c r="C24" s="126">
        <f t="shared" ref="C24:H24" si="5">C23/C19</f>
        <v>0.29974540361266688</v>
      </c>
      <c r="D24" s="126">
        <f t="shared" si="5"/>
        <v>0.3287922594845813</v>
      </c>
      <c r="E24" s="126">
        <f t="shared" si="5"/>
        <v>0.28892823646975579</v>
      </c>
      <c r="F24" s="126">
        <f t="shared" si="5"/>
        <v>0.27357737293351797</v>
      </c>
      <c r="G24" s="126">
        <f t="shared" si="5"/>
        <v>0.24503848951205043</v>
      </c>
      <c r="H24" s="126">
        <f t="shared" si="5"/>
        <v>0.28721635240251442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5945-228F-4856-9C79-83664D3930C8}">
  <dimension ref="B1:I26"/>
  <sheetViews>
    <sheetView showGridLines="0" workbookViewId="0"/>
  </sheetViews>
  <sheetFormatPr defaultRowHeight="14.4" x14ac:dyDescent="0.3"/>
  <cols>
    <col min="2" max="2" width="24.6640625" bestFit="1" customWidth="1"/>
    <col min="3" max="3" width="13.109375" bestFit="1" customWidth="1"/>
    <col min="4" max="8" width="11.21875" bestFit="1" customWidth="1"/>
    <col min="9" max="9" width="12.5546875" style="17" bestFit="1" customWidth="1"/>
  </cols>
  <sheetData>
    <row r="1" spans="2:9" x14ac:dyDescent="0.3">
      <c r="H1" t="s">
        <v>313</v>
      </c>
      <c r="I1" s="17">
        <v>105868397.26635984</v>
      </c>
    </row>
    <row r="2" spans="2:9" x14ac:dyDescent="0.3">
      <c r="H2" t="s">
        <v>314</v>
      </c>
      <c r="I2" s="17">
        <v>25505000</v>
      </c>
    </row>
    <row r="3" spans="2:9" x14ac:dyDescent="0.3">
      <c r="B3" t="s">
        <v>306</v>
      </c>
      <c r="D3" s="15"/>
      <c r="E3" s="15"/>
      <c r="F3" s="15"/>
      <c r="G3" s="15"/>
      <c r="H3" s="15" t="s">
        <v>315</v>
      </c>
      <c r="I3" s="17">
        <v>80363397.266359836</v>
      </c>
    </row>
    <row r="4" spans="2:9" x14ac:dyDescent="0.3">
      <c r="D4" s="15"/>
      <c r="E4" s="15"/>
      <c r="F4" s="15"/>
      <c r="G4" s="15"/>
      <c r="H4" s="15"/>
    </row>
    <row r="5" spans="2:9" x14ac:dyDescent="0.3">
      <c r="B5" s="3" t="s">
        <v>1</v>
      </c>
      <c r="C5" s="3"/>
      <c r="D5" s="12" t="s">
        <v>307</v>
      </c>
      <c r="E5" s="12" t="s">
        <v>308</v>
      </c>
      <c r="F5" s="12" t="s">
        <v>309</v>
      </c>
      <c r="G5" s="12" t="s">
        <v>310</v>
      </c>
      <c r="H5" s="12" t="s">
        <v>311</v>
      </c>
      <c r="I5" s="12" t="s">
        <v>2</v>
      </c>
    </row>
    <row r="6" spans="2:9" x14ac:dyDescent="0.3">
      <c r="B6" s="129" t="s">
        <v>153</v>
      </c>
      <c r="C6" s="9" t="s">
        <v>568</v>
      </c>
      <c r="D6" s="13">
        <v>480000</v>
      </c>
      <c r="E6" s="13">
        <v>480000</v>
      </c>
      <c r="F6" s="13">
        <v>480000</v>
      </c>
      <c r="G6" s="13">
        <v>480000</v>
      </c>
      <c r="H6" s="13">
        <v>480000</v>
      </c>
      <c r="I6" s="12">
        <f t="shared" ref="I6:I17" si="0">SUM(D6:H6)</f>
        <v>2400000</v>
      </c>
    </row>
    <row r="7" spans="2:9" x14ac:dyDescent="0.3">
      <c r="B7" s="9" t="s">
        <v>132</v>
      </c>
      <c r="C7" s="9" t="s">
        <v>568</v>
      </c>
      <c r="D7" s="13">
        <v>15000</v>
      </c>
      <c r="E7" s="13">
        <v>15000</v>
      </c>
      <c r="F7" s="13">
        <v>15000</v>
      </c>
      <c r="G7" s="13">
        <v>15000</v>
      </c>
      <c r="H7" s="13">
        <v>15000</v>
      </c>
      <c r="I7" s="12">
        <f t="shared" si="0"/>
        <v>75000</v>
      </c>
    </row>
    <row r="8" spans="2:9" x14ac:dyDescent="0.3">
      <c r="B8" s="9" t="s">
        <v>158</v>
      </c>
      <c r="C8" s="9" t="s">
        <v>568</v>
      </c>
      <c r="D8" s="13">
        <v>6689054</v>
      </c>
      <c r="E8" s="13">
        <v>6763987</v>
      </c>
      <c r="F8" s="13">
        <v>6827009</v>
      </c>
      <c r="G8" s="13">
        <v>7404199</v>
      </c>
      <c r="H8" s="13">
        <v>7467009</v>
      </c>
      <c r="I8" s="12">
        <f t="shared" si="0"/>
        <v>35151258</v>
      </c>
    </row>
    <row r="9" spans="2:9" x14ac:dyDescent="0.3">
      <c r="B9" s="129" t="s">
        <v>161</v>
      </c>
      <c r="C9" s="9" t="s">
        <v>568</v>
      </c>
      <c r="D9" s="13">
        <v>935000</v>
      </c>
      <c r="E9" s="13">
        <v>935000</v>
      </c>
      <c r="F9" s="13">
        <v>935000</v>
      </c>
      <c r="G9" s="13">
        <v>935000</v>
      </c>
      <c r="H9" s="13">
        <v>935000</v>
      </c>
      <c r="I9" s="12">
        <f t="shared" si="0"/>
        <v>4675000</v>
      </c>
    </row>
    <row r="10" spans="2:9" x14ac:dyDescent="0.3">
      <c r="B10" s="129" t="s">
        <v>164</v>
      </c>
      <c r="C10" s="9" t="s">
        <v>569</v>
      </c>
      <c r="D10" s="128">
        <f>'P&amp;L Schedule'!J124</f>
        <v>2500000</v>
      </c>
      <c r="E10" s="128">
        <f>'P&amp;L Schedule'!K124</f>
        <v>2500000</v>
      </c>
      <c r="F10" s="128">
        <f>'P&amp;L Schedule'!L124</f>
        <v>2500000</v>
      </c>
      <c r="G10" s="128">
        <f>'P&amp;L Schedule'!M124</f>
        <v>2500000</v>
      </c>
      <c r="H10" s="128">
        <f>'P&amp;L Schedule'!N124</f>
        <v>2500000</v>
      </c>
      <c r="I10" s="130">
        <f t="shared" si="0"/>
        <v>12500000</v>
      </c>
    </row>
    <row r="11" spans="2:9" x14ac:dyDescent="0.3">
      <c r="B11" s="9" t="s">
        <v>169</v>
      </c>
      <c r="C11" s="9" t="s">
        <v>570</v>
      </c>
      <c r="D11" s="128">
        <v>69647</v>
      </c>
      <c r="E11" s="128">
        <v>49647</v>
      </c>
      <c r="F11" s="128">
        <v>49647</v>
      </c>
      <c r="G11" s="128">
        <v>49647</v>
      </c>
      <c r="H11" s="128">
        <v>49647</v>
      </c>
      <c r="I11" s="130">
        <f t="shared" si="0"/>
        <v>268235</v>
      </c>
    </row>
    <row r="12" spans="2:9" x14ac:dyDescent="0.3">
      <c r="B12" s="9" t="s">
        <v>178</v>
      </c>
      <c r="C12" s="9" t="s">
        <v>570</v>
      </c>
      <c r="D12" s="128">
        <v>80000</v>
      </c>
      <c r="E12" s="128">
        <v>80000</v>
      </c>
      <c r="F12" s="128">
        <v>80000</v>
      </c>
      <c r="G12" s="128">
        <v>80000</v>
      </c>
      <c r="H12" s="128">
        <v>80000</v>
      </c>
      <c r="I12" s="130">
        <f t="shared" si="0"/>
        <v>400000</v>
      </c>
    </row>
    <row r="13" spans="2:9" x14ac:dyDescent="0.3">
      <c r="B13" s="9" t="s">
        <v>185</v>
      </c>
      <c r="C13" s="9"/>
      <c r="D13" s="13">
        <v>300000</v>
      </c>
      <c r="E13" s="13">
        <v>300000</v>
      </c>
      <c r="F13" s="13">
        <v>300000</v>
      </c>
      <c r="G13" s="13">
        <v>300000</v>
      </c>
      <c r="H13" s="13">
        <v>300000</v>
      </c>
      <c r="I13" s="12">
        <f t="shared" si="0"/>
        <v>1500000</v>
      </c>
    </row>
    <row r="14" spans="2:9" x14ac:dyDescent="0.3">
      <c r="B14" s="9" t="s">
        <v>186</v>
      </c>
      <c r="C14" s="9"/>
      <c r="D14" s="13">
        <v>71000</v>
      </c>
      <c r="E14" s="13">
        <v>71000</v>
      </c>
      <c r="F14" s="13">
        <v>71000</v>
      </c>
      <c r="G14" s="13">
        <v>71000</v>
      </c>
      <c r="H14" s="13">
        <v>71000</v>
      </c>
      <c r="I14" s="12">
        <f t="shared" si="0"/>
        <v>355000</v>
      </c>
    </row>
    <row r="15" spans="2:9" x14ac:dyDescent="0.3">
      <c r="B15" s="9" t="s">
        <v>187</v>
      </c>
      <c r="C15" s="9"/>
      <c r="D15" s="13">
        <v>198000</v>
      </c>
      <c r="E15" s="13">
        <v>198000</v>
      </c>
      <c r="F15" s="13">
        <v>198000</v>
      </c>
      <c r="G15" s="13">
        <v>198000</v>
      </c>
      <c r="H15" s="13">
        <v>198000</v>
      </c>
      <c r="I15" s="12">
        <f t="shared" si="0"/>
        <v>990000</v>
      </c>
    </row>
    <row r="16" spans="2:9" x14ac:dyDescent="0.3">
      <c r="B16" s="127" t="s">
        <v>190</v>
      </c>
      <c r="C16" s="9" t="s">
        <v>312</v>
      </c>
      <c r="D16" s="128">
        <v>400000</v>
      </c>
      <c r="E16" s="128">
        <v>400000</v>
      </c>
      <c r="F16" s="128">
        <v>400000</v>
      </c>
      <c r="G16" s="128">
        <v>400000</v>
      </c>
      <c r="H16" s="128">
        <v>400000</v>
      </c>
      <c r="I16" s="12">
        <f t="shared" si="0"/>
        <v>2000000</v>
      </c>
    </row>
    <row r="17" spans="2:9" x14ac:dyDescent="0.3">
      <c r="B17" s="147" t="s">
        <v>191</v>
      </c>
      <c r="C17" s="9" t="s">
        <v>312</v>
      </c>
      <c r="D17" s="128">
        <v>1045000</v>
      </c>
      <c r="E17" s="128">
        <v>1045000</v>
      </c>
      <c r="F17" s="128">
        <v>1045000</v>
      </c>
      <c r="G17" s="128">
        <v>1045000</v>
      </c>
      <c r="H17" s="128">
        <v>1045000</v>
      </c>
      <c r="I17" s="12">
        <f t="shared" si="0"/>
        <v>5225000</v>
      </c>
    </row>
    <row r="18" spans="2:9" x14ac:dyDescent="0.3">
      <c r="B18" s="131"/>
      <c r="D18" s="27">
        <f t="shared" ref="D18:I18" si="1">SUM(D6:D17)</f>
        <v>12782701</v>
      </c>
      <c r="E18" s="27">
        <f t="shared" si="1"/>
        <v>12837634</v>
      </c>
      <c r="F18" s="27">
        <f t="shared" si="1"/>
        <v>12900656</v>
      </c>
      <c r="G18" s="27">
        <f t="shared" si="1"/>
        <v>13477846</v>
      </c>
      <c r="H18" s="27">
        <f t="shared" si="1"/>
        <v>13540656</v>
      </c>
      <c r="I18" s="27">
        <f t="shared" si="1"/>
        <v>65539493</v>
      </c>
    </row>
    <row r="19" spans="2:9" x14ac:dyDescent="0.3">
      <c r="B19" s="131"/>
      <c r="D19" s="132">
        <f>D18/'P&amp;L'!J5</f>
        <v>0.22482429335703014</v>
      </c>
      <c r="E19" s="132">
        <f>E18/'P&amp;L'!K5</f>
        <v>0.20577743748511571</v>
      </c>
      <c r="F19" s="132">
        <f>F18/'P&amp;L'!L5</f>
        <v>0.24064146049994115</v>
      </c>
      <c r="G19" s="132">
        <f>G18/'P&amp;L'!M5</f>
        <v>0.260992324036179</v>
      </c>
      <c r="H19" s="132">
        <f>H18/'P&amp;L'!N5</f>
        <v>0.29553120745764655</v>
      </c>
      <c r="I19" s="132">
        <f>I18/SUM('P&amp;L'!J5:N5)</f>
        <v>0.24245988470448979</v>
      </c>
    </row>
    <row r="21" spans="2:9" x14ac:dyDescent="0.3">
      <c r="B21" s="9" t="s">
        <v>169</v>
      </c>
      <c r="C21" s="9"/>
      <c r="D21" s="9"/>
      <c r="E21" s="9"/>
      <c r="F21" s="9"/>
      <c r="G21" s="9"/>
      <c r="H21" s="9"/>
    </row>
    <row r="22" spans="2:9" x14ac:dyDescent="0.3">
      <c r="B22" s="9" t="s">
        <v>5</v>
      </c>
      <c r="C22" s="9"/>
      <c r="D22" s="9">
        <v>600000</v>
      </c>
      <c r="E22" s="9">
        <v>640000</v>
      </c>
      <c r="F22" s="9">
        <v>570000</v>
      </c>
      <c r="G22" s="9">
        <v>545000</v>
      </c>
      <c r="H22" s="9">
        <v>520000</v>
      </c>
    </row>
    <row r="23" spans="2:9" x14ac:dyDescent="0.3">
      <c r="B23" s="9" t="s">
        <v>4</v>
      </c>
      <c r="C23" s="9"/>
      <c r="D23" s="9">
        <v>602000</v>
      </c>
      <c r="E23" s="9">
        <v>2000</v>
      </c>
      <c r="F23" s="9">
        <v>322000</v>
      </c>
      <c r="G23" s="9">
        <v>2000</v>
      </c>
      <c r="H23" s="9">
        <v>2000</v>
      </c>
    </row>
    <row r="24" spans="2:9" x14ac:dyDescent="0.3">
      <c r="B24" s="9" t="s">
        <v>6</v>
      </c>
      <c r="C24" s="9"/>
      <c r="D24" s="9">
        <v>737000</v>
      </c>
      <c r="E24" s="9">
        <v>687000</v>
      </c>
      <c r="F24" s="9">
        <v>712000</v>
      </c>
      <c r="G24" s="9">
        <v>687000</v>
      </c>
      <c r="H24" s="9">
        <v>657000</v>
      </c>
    </row>
    <row r="25" spans="2:9" x14ac:dyDescent="0.3">
      <c r="B25" s="9" t="s">
        <v>313</v>
      </c>
      <c r="C25" s="9"/>
      <c r="D25" s="9">
        <f>SUM(D22:D24)</f>
        <v>1939000</v>
      </c>
      <c r="E25" s="9">
        <f t="shared" ref="E25:H25" si="2">SUM(E22:E24)</f>
        <v>1329000</v>
      </c>
      <c r="F25" s="9">
        <f t="shared" si="2"/>
        <v>1604000</v>
      </c>
      <c r="G25" s="9">
        <f t="shared" si="2"/>
        <v>1234000</v>
      </c>
      <c r="H25" s="9">
        <f t="shared" si="2"/>
        <v>1179000</v>
      </c>
    </row>
    <row r="26" spans="2:9" x14ac:dyDescent="0.3">
      <c r="D26" s="105"/>
      <c r="E26" s="105"/>
      <c r="F26" s="105"/>
      <c r="G26" s="105"/>
      <c r="H26" s="1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A459-A218-41F0-8600-99686E72D12F}">
  <dimension ref="B2:C21"/>
  <sheetViews>
    <sheetView showGridLines="0" workbookViewId="0">
      <selection activeCell="C2" sqref="C2"/>
    </sheetView>
  </sheetViews>
  <sheetFormatPr defaultRowHeight="14.4" x14ac:dyDescent="0.3"/>
  <cols>
    <col min="2" max="2" width="15.44140625" bestFit="1" customWidth="1"/>
    <col min="3" max="3" width="20.6640625" style="15" bestFit="1" customWidth="1"/>
  </cols>
  <sheetData>
    <row r="2" spans="2:3" x14ac:dyDescent="0.3">
      <c r="B2" s="145" t="s">
        <v>316</v>
      </c>
      <c r="C2" s="105" t="s">
        <v>317</v>
      </c>
    </row>
    <row r="4" spans="2:3" x14ac:dyDescent="0.3">
      <c r="B4" s="145" t="s">
        <v>318</v>
      </c>
      <c r="C4" s="105" t="s">
        <v>319</v>
      </c>
    </row>
    <row r="5" spans="2:3" x14ac:dyDescent="0.3">
      <c r="B5" s="133" t="s">
        <v>320</v>
      </c>
      <c r="C5" s="105">
        <v>141540</v>
      </c>
    </row>
    <row r="6" spans="2:3" x14ac:dyDescent="0.3">
      <c r="B6" s="133" t="s">
        <v>321</v>
      </c>
      <c r="C6" s="105">
        <v>35000</v>
      </c>
    </row>
    <row r="7" spans="2:3" x14ac:dyDescent="0.3">
      <c r="B7" s="133" t="s">
        <v>322</v>
      </c>
      <c r="C7" s="105">
        <v>167910</v>
      </c>
    </row>
    <row r="8" spans="2:3" x14ac:dyDescent="0.3">
      <c r="B8" s="133" t="s">
        <v>323</v>
      </c>
      <c r="C8" s="105">
        <v>102368</v>
      </c>
    </row>
    <row r="9" spans="2:3" x14ac:dyDescent="0.3">
      <c r="B9" s="133" t="s">
        <v>324</v>
      </c>
      <c r="C9" s="105">
        <v>69670</v>
      </c>
    </row>
    <row r="10" spans="2:3" x14ac:dyDescent="0.3">
      <c r="B10" s="133" t="s">
        <v>325</v>
      </c>
      <c r="C10" s="105">
        <v>93000</v>
      </c>
    </row>
    <row r="11" spans="2:3" x14ac:dyDescent="0.3">
      <c r="B11" s="133" t="s">
        <v>326</v>
      </c>
      <c r="C11" s="105">
        <v>92000</v>
      </c>
    </row>
    <row r="12" spans="2:3" x14ac:dyDescent="0.3">
      <c r="B12" s="133" t="s">
        <v>327</v>
      </c>
      <c r="C12" s="105">
        <v>72400</v>
      </c>
    </row>
    <row r="13" spans="2:3" x14ac:dyDescent="0.3">
      <c r="B13" s="134" t="s">
        <v>328</v>
      </c>
      <c r="C13" s="146">
        <v>230000</v>
      </c>
    </row>
    <row r="14" spans="2:3" x14ac:dyDescent="0.3">
      <c r="B14" s="134" t="s">
        <v>329</v>
      </c>
      <c r="C14" s="146">
        <v>130200</v>
      </c>
    </row>
    <row r="15" spans="2:3" x14ac:dyDescent="0.3">
      <c r="B15" s="133" t="s">
        <v>330</v>
      </c>
      <c r="C15" s="105">
        <v>167159</v>
      </c>
    </row>
    <row r="16" spans="2:3" x14ac:dyDescent="0.3">
      <c r="B16" s="133" t="s">
        <v>331</v>
      </c>
      <c r="C16" s="105">
        <v>75920</v>
      </c>
    </row>
    <row r="17" spans="2:3" x14ac:dyDescent="0.3">
      <c r="B17" s="134" t="s">
        <v>332</v>
      </c>
      <c r="C17" s="146">
        <v>297520</v>
      </c>
    </row>
    <row r="18" spans="2:3" x14ac:dyDescent="0.3">
      <c r="B18" s="134" t="s">
        <v>333</v>
      </c>
      <c r="C18" s="146">
        <v>233550</v>
      </c>
    </row>
    <row r="19" spans="2:3" x14ac:dyDescent="0.3">
      <c r="B19" s="133" t="s">
        <v>334</v>
      </c>
      <c r="C19" s="105">
        <v>30492</v>
      </c>
    </row>
    <row r="20" spans="2:3" x14ac:dyDescent="0.3">
      <c r="B20" s="133" t="s">
        <v>335</v>
      </c>
      <c r="C20" s="105">
        <v>40964</v>
      </c>
    </row>
    <row r="21" spans="2:3" x14ac:dyDescent="0.3">
      <c r="B21" s="133" t="s">
        <v>336</v>
      </c>
      <c r="C21" s="105">
        <v>1979693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A493-A1F4-4573-B5DE-7A6A905D33B7}">
  <sheetPr filterMode="1"/>
  <dimension ref="A1:AF68"/>
  <sheetViews>
    <sheetView showGridLines="0" workbookViewId="0">
      <selection activeCell="G2" sqref="G2"/>
    </sheetView>
  </sheetViews>
  <sheetFormatPr defaultRowHeight="14.4" x14ac:dyDescent="0.3"/>
  <cols>
    <col min="1" max="1" width="5.21875" bestFit="1" customWidth="1"/>
    <col min="2" max="3" width="6" bestFit="1" customWidth="1"/>
    <col min="4" max="4" width="44.5546875" bestFit="1" customWidth="1"/>
    <col min="5" max="5" width="16.77734375" bestFit="1" customWidth="1"/>
    <col min="6" max="6" width="34.88671875" bestFit="1" customWidth="1"/>
    <col min="7" max="7" width="15.44140625" bestFit="1" customWidth="1"/>
    <col min="8" max="8" width="7" bestFit="1" customWidth="1"/>
    <col min="9" max="9" width="8" bestFit="1" customWidth="1"/>
    <col min="10" max="10" width="6" bestFit="1" customWidth="1"/>
    <col min="11" max="11" width="7" bestFit="1" customWidth="1"/>
    <col min="12" max="12" width="6" bestFit="1" customWidth="1"/>
    <col min="13" max="14" width="7" bestFit="1" customWidth="1"/>
    <col min="15" max="15" width="8.77734375" bestFit="1" customWidth="1"/>
    <col min="16" max="16" width="8" bestFit="1" customWidth="1"/>
    <col min="17" max="17" width="6" bestFit="1" customWidth="1"/>
    <col min="18" max="18" width="7" bestFit="1" customWidth="1"/>
    <col min="19" max="19" width="6" bestFit="1" customWidth="1"/>
    <col min="20" max="21" width="7" bestFit="1" customWidth="1"/>
    <col min="22" max="22" width="5.6640625" bestFit="1" customWidth="1"/>
    <col min="23" max="23" width="9.77734375" bestFit="1" customWidth="1"/>
    <col min="24" max="24" width="5" bestFit="1" customWidth="1"/>
    <col min="25" max="25" width="5.44140625" bestFit="1" customWidth="1"/>
    <col min="26" max="26" width="7.44140625" bestFit="1" customWidth="1"/>
    <col min="27" max="28" width="6" bestFit="1" customWidth="1"/>
    <col min="29" max="29" width="7" bestFit="1" customWidth="1"/>
    <col min="30" max="30" width="8" bestFit="1" customWidth="1"/>
    <col min="31" max="31" width="17.6640625" bestFit="1" customWidth="1"/>
    <col min="32" max="32" width="13.33203125" bestFit="1" customWidth="1"/>
    <col min="258" max="258" width="5.44140625" bestFit="1" customWidth="1"/>
    <col min="259" max="259" width="6" bestFit="1" customWidth="1"/>
    <col min="260" max="260" width="0" hidden="1" customWidth="1"/>
    <col min="261" max="261" width="29.88671875" bestFit="1" customWidth="1"/>
    <col min="262" max="262" width="0" hidden="1" customWidth="1"/>
    <col min="263" max="263" width="16.33203125" bestFit="1" customWidth="1"/>
    <col min="264" max="264" width="5.6640625" bestFit="1" customWidth="1"/>
    <col min="265" max="265" width="8" bestFit="1" customWidth="1"/>
    <col min="266" max="266" width="6.33203125" bestFit="1" customWidth="1"/>
    <col min="267" max="267" width="7" bestFit="1" customWidth="1"/>
    <col min="268" max="268" width="6" bestFit="1" customWidth="1"/>
    <col min="269" max="270" width="7" bestFit="1" customWidth="1"/>
    <col min="271" max="272" width="8" bestFit="1" customWidth="1"/>
    <col min="273" max="273" width="6.33203125" bestFit="1" customWidth="1"/>
    <col min="274" max="274" width="7" bestFit="1" customWidth="1"/>
    <col min="275" max="275" width="5.88671875" bestFit="1" customWidth="1"/>
    <col min="276" max="277" width="7" bestFit="1" customWidth="1"/>
    <col min="278" max="278" width="5.88671875" bestFit="1" customWidth="1"/>
    <col min="279" max="279" width="10.33203125" bestFit="1" customWidth="1"/>
    <col min="280" max="280" width="5.109375" bestFit="1" customWidth="1"/>
    <col min="281" max="281" width="5.6640625" bestFit="1" customWidth="1"/>
    <col min="282" max="282" width="7.6640625" bestFit="1" customWidth="1"/>
    <col min="283" max="284" width="6" bestFit="1" customWidth="1"/>
    <col min="285" max="285" width="7" bestFit="1" customWidth="1"/>
    <col min="286" max="286" width="7.6640625" bestFit="1" customWidth="1"/>
    <col min="287" max="287" width="17.44140625" customWidth="1"/>
    <col min="288" max="288" width="15" customWidth="1"/>
    <col min="514" max="514" width="5.44140625" bestFit="1" customWidth="1"/>
    <col min="515" max="515" width="6" bestFit="1" customWidth="1"/>
    <col min="516" max="516" width="0" hidden="1" customWidth="1"/>
    <col min="517" max="517" width="29.88671875" bestFit="1" customWidth="1"/>
    <col min="518" max="518" width="0" hidden="1" customWidth="1"/>
    <col min="519" max="519" width="16.33203125" bestFit="1" customWidth="1"/>
    <col min="520" max="520" width="5.6640625" bestFit="1" customWidth="1"/>
    <col min="521" max="521" width="8" bestFit="1" customWidth="1"/>
    <col min="522" max="522" width="6.33203125" bestFit="1" customWidth="1"/>
    <col min="523" max="523" width="7" bestFit="1" customWidth="1"/>
    <col min="524" max="524" width="6" bestFit="1" customWidth="1"/>
    <col min="525" max="526" width="7" bestFit="1" customWidth="1"/>
    <col min="527" max="528" width="8" bestFit="1" customWidth="1"/>
    <col min="529" max="529" width="6.33203125" bestFit="1" customWidth="1"/>
    <col min="530" max="530" width="7" bestFit="1" customWidth="1"/>
    <col min="531" max="531" width="5.88671875" bestFit="1" customWidth="1"/>
    <col min="532" max="533" width="7" bestFit="1" customWidth="1"/>
    <col min="534" max="534" width="5.88671875" bestFit="1" customWidth="1"/>
    <col min="535" max="535" width="10.33203125" bestFit="1" customWidth="1"/>
    <col min="536" max="536" width="5.109375" bestFit="1" customWidth="1"/>
    <col min="537" max="537" width="5.6640625" bestFit="1" customWidth="1"/>
    <col min="538" max="538" width="7.6640625" bestFit="1" customWidth="1"/>
    <col min="539" max="540" width="6" bestFit="1" customWidth="1"/>
    <col min="541" max="541" width="7" bestFit="1" customWidth="1"/>
    <col min="542" max="542" width="7.6640625" bestFit="1" customWidth="1"/>
    <col min="543" max="543" width="17.44140625" customWidth="1"/>
    <col min="544" max="544" width="15" customWidth="1"/>
    <col min="770" max="770" width="5.44140625" bestFit="1" customWidth="1"/>
    <col min="771" max="771" width="6" bestFit="1" customWidth="1"/>
    <col min="772" max="772" width="0" hidden="1" customWidth="1"/>
    <col min="773" max="773" width="29.88671875" bestFit="1" customWidth="1"/>
    <col min="774" max="774" width="0" hidden="1" customWidth="1"/>
    <col min="775" max="775" width="16.33203125" bestFit="1" customWidth="1"/>
    <col min="776" max="776" width="5.6640625" bestFit="1" customWidth="1"/>
    <col min="777" max="777" width="8" bestFit="1" customWidth="1"/>
    <col min="778" max="778" width="6.33203125" bestFit="1" customWidth="1"/>
    <col min="779" max="779" width="7" bestFit="1" customWidth="1"/>
    <col min="780" max="780" width="6" bestFit="1" customWidth="1"/>
    <col min="781" max="782" width="7" bestFit="1" customWidth="1"/>
    <col min="783" max="784" width="8" bestFit="1" customWidth="1"/>
    <col min="785" max="785" width="6.33203125" bestFit="1" customWidth="1"/>
    <col min="786" max="786" width="7" bestFit="1" customWidth="1"/>
    <col min="787" max="787" width="5.88671875" bestFit="1" customWidth="1"/>
    <col min="788" max="789" width="7" bestFit="1" customWidth="1"/>
    <col min="790" max="790" width="5.88671875" bestFit="1" customWidth="1"/>
    <col min="791" max="791" width="10.33203125" bestFit="1" customWidth="1"/>
    <col min="792" max="792" width="5.109375" bestFit="1" customWidth="1"/>
    <col min="793" max="793" width="5.6640625" bestFit="1" customWidth="1"/>
    <col min="794" max="794" width="7.6640625" bestFit="1" customWidth="1"/>
    <col min="795" max="796" width="6" bestFit="1" customWidth="1"/>
    <col min="797" max="797" width="7" bestFit="1" customWidth="1"/>
    <col min="798" max="798" width="7.6640625" bestFit="1" customWidth="1"/>
    <col min="799" max="799" width="17.44140625" customWidth="1"/>
    <col min="800" max="800" width="15" customWidth="1"/>
    <col min="1026" max="1026" width="5.44140625" bestFit="1" customWidth="1"/>
    <col min="1027" max="1027" width="6" bestFit="1" customWidth="1"/>
    <col min="1028" max="1028" width="0" hidden="1" customWidth="1"/>
    <col min="1029" max="1029" width="29.88671875" bestFit="1" customWidth="1"/>
    <col min="1030" max="1030" width="0" hidden="1" customWidth="1"/>
    <col min="1031" max="1031" width="16.33203125" bestFit="1" customWidth="1"/>
    <col min="1032" max="1032" width="5.6640625" bestFit="1" customWidth="1"/>
    <col min="1033" max="1033" width="8" bestFit="1" customWidth="1"/>
    <col min="1034" max="1034" width="6.33203125" bestFit="1" customWidth="1"/>
    <col min="1035" max="1035" width="7" bestFit="1" customWidth="1"/>
    <col min="1036" max="1036" width="6" bestFit="1" customWidth="1"/>
    <col min="1037" max="1038" width="7" bestFit="1" customWidth="1"/>
    <col min="1039" max="1040" width="8" bestFit="1" customWidth="1"/>
    <col min="1041" max="1041" width="6.33203125" bestFit="1" customWidth="1"/>
    <col min="1042" max="1042" width="7" bestFit="1" customWidth="1"/>
    <col min="1043" max="1043" width="5.88671875" bestFit="1" customWidth="1"/>
    <col min="1044" max="1045" width="7" bestFit="1" customWidth="1"/>
    <col min="1046" max="1046" width="5.88671875" bestFit="1" customWidth="1"/>
    <col min="1047" max="1047" width="10.33203125" bestFit="1" customWidth="1"/>
    <col min="1048" max="1048" width="5.109375" bestFit="1" customWidth="1"/>
    <col min="1049" max="1049" width="5.6640625" bestFit="1" customWidth="1"/>
    <col min="1050" max="1050" width="7.6640625" bestFit="1" customWidth="1"/>
    <col min="1051" max="1052" width="6" bestFit="1" customWidth="1"/>
    <col min="1053" max="1053" width="7" bestFit="1" customWidth="1"/>
    <col min="1054" max="1054" width="7.6640625" bestFit="1" customWidth="1"/>
    <col min="1055" max="1055" width="17.44140625" customWidth="1"/>
    <col min="1056" max="1056" width="15" customWidth="1"/>
    <col min="1282" max="1282" width="5.44140625" bestFit="1" customWidth="1"/>
    <col min="1283" max="1283" width="6" bestFit="1" customWidth="1"/>
    <col min="1284" max="1284" width="0" hidden="1" customWidth="1"/>
    <col min="1285" max="1285" width="29.88671875" bestFit="1" customWidth="1"/>
    <col min="1286" max="1286" width="0" hidden="1" customWidth="1"/>
    <col min="1287" max="1287" width="16.33203125" bestFit="1" customWidth="1"/>
    <col min="1288" max="1288" width="5.6640625" bestFit="1" customWidth="1"/>
    <col min="1289" max="1289" width="8" bestFit="1" customWidth="1"/>
    <col min="1290" max="1290" width="6.33203125" bestFit="1" customWidth="1"/>
    <col min="1291" max="1291" width="7" bestFit="1" customWidth="1"/>
    <col min="1292" max="1292" width="6" bestFit="1" customWidth="1"/>
    <col min="1293" max="1294" width="7" bestFit="1" customWidth="1"/>
    <col min="1295" max="1296" width="8" bestFit="1" customWidth="1"/>
    <col min="1297" max="1297" width="6.33203125" bestFit="1" customWidth="1"/>
    <col min="1298" max="1298" width="7" bestFit="1" customWidth="1"/>
    <col min="1299" max="1299" width="5.88671875" bestFit="1" customWidth="1"/>
    <col min="1300" max="1301" width="7" bestFit="1" customWidth="1"/>
    <col min="1302" max="1302" width="5.88671875" bestFit="1" customWidth="1"/>
    <col min="1303" max="1303" width="10.33203125" bestFit="1" customWidth="1"/>
    <col min="1304" max="1304" width="5.109375" bestFit="1" customWidth="1"/>
    <col min="1305" max="1305" width="5.6640625" bestFit="1" customWidth="1"/>
    <col min="1306" max="1306" width="7.6640625" bestFit="1" customWidth="1"/>
    <col min="1307" max="1308" width="6" bestFit="1" customWidth="1"/>
    <col min="1309" max="1309" width="7" bestFit="1" customWidth="1"/>
    <col min="1310" max="1310" width="7.6640625" bestFit="1" customWidth="1"/>
    <col min="1311" max="1311" width="17.44140625" customWidth="1"/>
    <col min="1312" max="1312" width="15" customWidth="1"/>
    <col min="1538" max="1538" width="5.44140625" bestFit="1" customWidth="1"/>
    <col min="1539" max="1539" width="6" bestFit="1" customWidth="1"/>
    <col min="1540" max="1540" width="0" hidden="1" customWidth="1"/>
    <col min="1541" max="1541" width="29.88671875" bestFit="1" customWidth="1"/>
    <col min="1542" max="1542" width="0" hidden="1" customWidth="1"/>
    <col min="1543" max="1543" width="16.33203125" bestFit="1" customWidth="1"/>
    <col min="1544" max="1544" width="5.6640625" bestFit="1" customWidth="1"/>
    <col min="1545" max="1545" width="8" bestFit="1" customWidth="1"/>
    <col min="1546" max="1546" width="6.33203125" bestFit="1" customWidth="1"/>
    <col min="1547" max="1547" width="7" bestFit="1" customWidth="1"/>
    <col min="1548" max="1548" width="6" bestFit="1" customWidth="1"/>
    <col min="1549" max="1550" width="7" bestFit="1" customWidth="1"/>
    <col min="1551" max="1552" width="8" bestFit="1" customWidth="1"/>
    <col min="1553" max="1553" width="6.33203125" bestFit="1" customWidth="1"/>
    <col min="1554" max="1554" width="7" bestFit="1" customWidth="1"/>
    <col min="1555" max="1555" width="5.88671875" bestFit="1" customWidth="1"/>
    <col min="1556" max="1557" width="7" bestFit="1" customWidth="1"/>
    <col min="1558" max="1558" width="5.88671875" bestFit="1" customWidth="1"/>
    <col min="1559" max="1559" width="10.33203125" bestFit="1" customWidth="1"/>
    <col min="1560" max="1560" width="5.109375" bestFit="1" customWidth="1"/>
    <col min="1561" max="1561" width="5.6640625" bestFit="1" customWidth="1"/>
    <col min="1562" max="1562" width="7.6640625" bestFit="1" customWidth="1"/>
    <col min="1563" max="1564" width="6" bestFit="1" customWidth="1"/>
    <col min="1565" max="1565" width="7" bestFit="1" customWidth="1"/>
    <col min="1566" max="1566" width="7.6640625" bestFit="1" customWidth="1"/>
    <col min="1567" max="1567" width="17.44140625" customWidth="1"/>
    <col min="1568" max="1568" width="15" customWidth="1"/>
    <col min="1794" max="1794" width="5.44140625" bestFit="1" customWidth="1"/>
    <col min="1795" max="1795" width="6" bestFit="1" customWidth="1"/>
    <col min="1796" max="1796" width="0" hidden="1" customWidth="1"/>
    <col min="1797" max="1797" width="29.88671875" bestFit="1" customWidth="1"/>
    <col min="1798" max="1798" width="0" hidden="1" customWidth="1"/>
    <col min="1799" max="1799" width="16.33203125" bestFit="1" customWidth="1"/>
    <col min="1800" max="1800" width="5.6640625" bestFit="1" customWidth="1"/>
    <col min="1801" max="1801" width="8" bestFit="1" customWidth="1"/>
    <col min="1802" max="1802" width="6.33203125" bestFit="1" customWidth="1"/>
    <col min="1803" max="1803" width="7" bestFit="1" customWidth="1"/>
    <col min="1804" max="1804" width="6" bestFit="1" customWidth="1"/>
    <col min="1805" max="1806" width="7" bestFit="1" customWidth="1"/>
    <col min="1807" max="1808" width="8" bestFit="1" customWidth="1"/>
    <col min="1809" max="1809" width="6.33203125" bestFit="1" customWidth="1"/>
    <col min="1810" max="1810" width="7" bestFit="1" customWidth="1"/>
    <col min="1811" max="1811" width="5.88671875" bestFit="1" customWidth="1"/>
    <col min="1812" max="1813" width="7" bestFit="1" customWidth="1"/>
    <col min="1814" max="1814" width="5.88671875" bestFit="1" customWidth="1"/>
    <col min="1815" max="1815" width="10.33203125" bestFit="1" customWidth="1"/>
    <col min="1816" max="1816" width="5.109375" bestFit="1" customWidth="1"/>
    <col min="1817" max="1817" width="5.6640625" bestFit="1" customWidth="1"/>
    <col min="1818" max="1818" width="7.6640625" bestFit="1" customWidth="1"/>
    <col min="1819" max="1820" width="6" bestFit="1" customWidth="1"/>
    <col min="1821" max="1821" width="7" bestFit="1" customWidth="1"/>
    <col min="1822" max="1822" width="7.6640625" bestFit="1" customWidth="1"/>
    <col min="1823" max="1823" width="17.44140625" customWidth="1"/>
    <col min="1824" max="1824" width="15" customWidth="1"/>
    <col min="2050" max="2050" width="5.44140625" bestFit="1" customWidth="1"/>
    <col min="2051" max="2051" width="6" bestFit="1" customWidth="1"/>
    <col min="2052" max="2052" width="0" hidden="1" customWidth="1"/>
    <col min="2053" max="2053" width="29.88671875" bestFit="1" customWidth="1"/>
    <col min="2054" max="2054" width="0" hidden="1" customWidth="1"/>
    <col min="2055" max="2055" width="16.33203125" bestFit="1" customWidth="1"/>
    <col min="2056" max="2056" width="5.6640625" bestFit="1" customWidth="1"/>
    <col min="2057" max="2057" width="8" bestFit="1" customWidth="1"/>
    <col min="2058" max="2058" width="6.33203125" bestFit="1" customWidth="1"/>
    <col min="2059" max="2059" width="7" bestFit="1" customWidth="1"/>
    <col min="2060" max="2060" width="6" bestFit="1" customWidth="1"/>
    <col min="2061" max="2062" width="7" bestFit="1" customWidth="1"/>
    <col min="2063" max="2064" width="8" bestFit="1" customWidth="1"/>
    <col min="2065" max="2065" width="6.33203125" bestFit="1" customWidth="1"/>
    <col min="2066" max="2066" width="7" bestFit="1" customWidth="1"/>
    <col min="2067" max="2067" width="5.88671875" bestFit="1" customWidth="1"/>
    <col min="2068" max="2069" width="7" bestFit="1" customWidth="1"/>
    <col min="2070" max="2070" width="5.88671875" bestFit="1" customWidth="1"/>
    <col min="2071" max="2071" width="10.33203125" bestFit="1" customWidth="1"/>
    <col min="2072" max="2072" width="5.109375" bestFit="1" customWidth="1"/>
    <col min="2073" max="2073" width="5.6640625" bestFit="1" customWidth="1"/>
    <col min="2074" max="2074" width="7.6640625" bestFit="1" customWidth="1"/>
    <col min="2075" max="2076" width="6" bestFit="1" customWidth="1"/>
    <col min="2077" max="2077" width="7" bestFit="1" customWidth="1"/>
    <col min="2078" max="2078" width="7.6640625" bestFit="1" customWidth="1"/>
    <col min="2079" max="2079" width="17.44140625" customWidth="1"/>
    <col min="2080" max="2080" width="15" customWidth="1"/>
    <col min="2306" max="2306" width="5.44140625" bestFit="1" customWidth="1"/>
    <col min="2307" max="2307" width="6" bestFit="1" customWidth="1"/>
    <col min="2308" max="2308" width="0" hidden="1" customWidth="1"/>
    <col min="2309" max="2309" width="29.88671875" bestFit="1" customWidth="1"/>
    <col min="2310" max="2310" width="0" hidden="1" customWidth="1"/>
    <col min="2311" max="2311" width="16.33203125" bestFit="1" customWidth="1"/>
    <col min="2312" max="2312" width="5.6640625" bestFit="1" customWidth="1"/>
    <col min="2313" max="2313" width="8" bestFit="1" customWidth="1"/>
    <col min="2314" max="2314" width="6.33203125" bestFit="1" customWidth="1"/>
    <col min="2315" max="2315" width="7" bestFit="1" customWidth="1"/>
    <col min="2316" max="2316" width="6" bestFit="1" customWidth="1"/>
    <col min="2317" max="2318" width="7" bestFit="1" customWidth="1"/>
    <col min="2319" max="2320" width="8" bestFit="1" customWidth="1"/>
    <col min="2321" max="2321" width="6.33203125" bestFit="1" customWidth="1"/>
    <col min="2322" max="2322" width="7" bestFit="1" customWidth="1"/>
    <col min="2323" max="2323" width="5.88671875" bestFit="1" customWidth="1"/>
    <col min="2324" max="2325" width="7" bestFit="1" customWidth="1"/>
    <col min="2326" max="2326" width="5.88671875" bestFit="1" customWidth="1"/>
    <col min="2327" max="2327" width="10.33203125" bestFit="1" customWidth="1"/>
    <col min="2328" max="2328" width="5.109375" bestFit="1" customWidth="1"/>
    <col min="2329" max="2329" width="5.6640625" bestFit="1" customWidth="1"/>
    <col min="2330" max="2330" width="7.6640625" bestFit="1" customWidth="1"/>
    <col min="2331" max="2332" width="6" bestFit="1" customWidth="1"/>
    <col min="2333" max="2333" width="7" bestFit="1" customWidth="1"/>
    <col min="2334" max="2334" width="7.6640625" bestFit="1" customWidth="1"/>
    <col min="2335" max="2335" width="17.44140625" customWidth="1"/>
    <col min="2336" max="2336" width="15" customWidth="1"/>
    <col min="2562" max="2562" width="5.44140625" bestFit="1" customWidth="1"/>
    <col min="2563" max="2563" width="6" bestFit="1" customWidth="1"/>
    <col min="2564" max="2564" width="0" hidden="1" customWidth="1"/>
    <col min="2565" max="2565" width="29.88671875" bestFit="1" customWidth="1"/>
    <col min="2566" max="2566" width="0" hidden="1" customWidth="1"/>
    <col min="2567" max="2567" width="16.33203125" bestFit="1" customWidth="1"/>
    <col min="2568" max="2568" width="5.6640625" bestFit="1" customWidth="1"/>
    <col min="2569" max="2569" width="8" bestFit="1" customWidth="1"/>
    <col min="2570" max="2570" width="6.33203125" bestFit="1" customWidth="1"/>
    <col min="2571" max="2571" width="7" bestFit="1" customWidth="1"/>
    <col min="2572" max="2572" width="6" bestFit="1" customWidth="1"/>
    <col min="2573" max="2574" width="7" bestFit="1" customWidth="1"/>
    <col min="2575" max="2576" width="8" bestFit="1" customWidth="1"/>
    <col min="2577" max="2577" width="6.33203125" bestFit="1" customWidth="1"/>
    <col min="2578" max="2578" width="7" bestFit="1" customWidth="1"/>
    <col min="2579" max="2579" width="5.88671875" bestFit="1" customWidth="1"/>
    <col min="2580" max="2581" width="7" bestFit="1" customWidth="1"/>
    <col min="2582" max="2582" width="5.88671875" bestFit="1" customWidth="1"/>
    <col min="2583" max="2583" width="10.33203125" bestFit="1" customWidth="1"/>
    <col min="2584" max="2584" width="5.109375" bestFit="1" customWidth="1"/>
    <col min="2585" max="2585" width="5.6640625" bestFit="1" customWidth="1"/>
    <col min="2586" max="2586" width="7.6640625" bestFit="1" customWidth="1"/>
    <col min="2587" max="2588" width="6" bestFit="1" customWidth="1"/>
    <col min="2589" max="2589" width="7" bestFit="1" customWidth="1"/>
    <col min="2590" max="2590" width="7.6640625" bestFit="1" customWidth="1"/>
    <col min="2591" max="2591" width="17.44140625" customWidth="1"/>
    <col min="2592" max="2592" width="15" customWidth="1"/>
    <col min="2818" max="2818" width="5.44140625" bestFit="1" customWidth="1"/>
    <col min="2819" max="2819" width="6" bestFit="1" customWidth="1"/>
    <col min="2820" max="2820" width="0" hidden="1" customWidth="1"/>
    <col min="2821" max="2821" width="29.88671875" bestFit="1" customWidth="1"/>
    <col min="2822" max="2822" width="0" hidden="1" customWidth="1"/>
    <col min="2823" max="2823" width="16.33203125" bestFit="1" customWidth="1"/>
    <col min="2824" max="2824" width="5.6640625" bestFit="1" customWidth="1"/>
    <col min="2825" max="2825" width="8" bestFit="1" customWidth="1"/>
    <col min="2826" max="2826" width="6.33203125" bestFit="1" customWidth="1"/>
    <col min="2827" max="2827" width="7" bestFit="1" customWidth="1"/>
    <col min="2828" max="2828" width="6" bestFit="1" customWidth="1"/>
    <col min="2829" max="2830" width="7" bestFit="1" customWidth="1"/>
    <col min="2831" max="2832" width="8" bestFit="1" customWidth="1"/>
    <col min="2833" max="2833" width="6.33203125" bestFit="1" customWidth="1"/>
    <col min="2834" max="2834" width="7" bestFit="1" customWidth="1"/>
    <col min="2835" max="2835" width="5.88671875" bestFit="1" customWidth="1"/>
    <col min="2836" max="2837" width="7" bestFit="1" customWidth="1"/>
    <col min="2838" max="2838" width="5.88671875" bestFit="1" customWidth="1"/>
    <col min="2839" max="2839" width="10.33203125" bestFit="1" customWidth="1"/>
    <col min="2840" max="2840" width="5.109375" bestFit="1" customWidth="1"/>
    <col min="2841" max="2841" width="5.6640625" bestFit="1" customWidth="1"/>
    <col min="2842" max="2842" width="7.6640625" bestFit="1" customWidth="1"/>
    <col min="2843" max="2844" width="6" bestFit="1" customWidth="1"/>
    <col min="2845" max="2845" width="7" bestFit="1" customWidth="1"/>
    <col min="2846" max="2846" width="7.6640625" bestFit="1" customWidth="1"/>
    <col min="2847" max="2847" width="17.44140625" customWidth="1"/>
    <col min="2848" max="2848" width="15" customWidth="1"/>
    <col min="3074" max="3074" width="5.44140625" bestFit="1" customWidth="1"/>
    <col min="3075" max="3075" width="6" bestFit="1" customWidth="1"/>
    <col min="3076" max="3076" width="0" hidden="1" customWidth="1"/>
    <col min="3077" max="3077" width="29.88671875" bestFit="1" customWidth="1"/>
    <col min="3078" max="3078" width="0" hidden="1" customWidth="1"/>
    <col min="3079" max="3079" width="16.33203125" bestFit="1" customWidth="1"/>
    <col min="3080" max="3080" width="5.6640625" bestFit="1" customWidth="1"/>
    <col min="3081" max="3081" width="8" bestFit="1" customWidth="1"/>
    <col min="3082" max="3082" width="6.33203125" bestFit="1" customWidth="1"/>
    <col min="3083" max="3083" width="7" bestFit="1" customWidth="1"/>
    <col min="3084" max="3084" width="6" bestFit="1" customWidth="1"/>
    <col min="3085" max="3086" width="7" bestFit="1" customWidth="1"/>
    <col min="3087" max="3088" width="8" bestFit="1" customWidth="1"/>
    <col min="3089" max="3089" width="6.33203125" bestFit="1" customWidth="1"/>
    <col min="3090" max="3090" width="7" bestFit="1" customWidth="1"/>
    <col min="3091" max="3091" width="5.88671875" bestFit="1" customWidth="1"/>
    <col min="3092" max="3093" width="7" bestFit="1" customWidth="1"/>
    <col min="3094" max="3094" width="5.88671875" bestFit="1" customWidth="1"/>
    <col min="3095" max="3095" width="10.33203125" bestFit="1" customWidth="1"/>
    <col min="3096" max="3096" width="5.109375" bestFit="1" customWidth="1"/>
    <col min="3097" max="3097" width="5.6640625" bestFit="1" customWidth="1"/>
    <col min="3098" max="3098" width="7.6640625" bestFit="1" customWidth="1"/>
    <col min="3099" max="3100" width="6" bestFit="1" customWidth="1"/>
    <col min="3101" max="3101" width="7" bestFit="1" customWidth="1"/>
    <col min="3102" max="3102" width="7.6640625" bestFit="1" customWidth="1"/>
    <col min="3103" max="3103" width="17.44140625" customWidth="1"/>
    <col min="3104" max="3104" width="15" customWidth="1"/>
    <col min="3330" max="3330" width="5.44140625" bestFit="1" customWidth="1"/>
    <col min="3331" max="3331" width="6" bestFit="1" customWidth="1"/>
    <col min="3332" max="3332" width="0" hidden="1" customWidth="1"/>
    <col min="3333" max="3333" width="29.88671875" bestFit="1" customWidth="1"/>
    <col min="3334" max="3334" width="0" hidden="1" customWidth="1"/>
    <col min="3335" max="3335" width="16.33203125" bestFit="1" customWidth="1"/>
    <col min="3336" max="3336" width="5.6640625" bestFit="1" customWidth="1"/>
    <col min="3337" max="3337" width="8" bestFit="1" customWidth="1"/>
    <col min="3338" max="3338" width="6.33203125" bestFit="1" customWidth="1"/>
    <col min="3339" max="3339" width="7" bestFit="1" customWidth="1"/>
    <col min="3340" max="3340" width="6" bestFit="1" customWidth="1"/>
    <col min="3341" max="3342" width="7" bestFit="1" customWidth="1"/>
    <col min="3343" max="3344" width="8" bestFit="1" customWidth="1"/>
    <col min="3345" max="3345" width="6.33203125" bestFit="1" customWidth="1"/>
    <col min="3346" max="3346" width="7" bestFit="1" customWidth="1"/>
    <col min="3347" max="3347" width="5.88671875" bestFit="1" customWidth="1"/>
    <col min="3348" max="3349" width="7" bestFit="1" customWidth="1"/>
    <col min="3350" max="3350" width="5.88671875" bestFit="1" customWidth="1"/>
    <col min="3351" max="3351" width="10.33203125" bestFit="1" customWidth="1"/>
    <col min="3352" max="3352" width="5.109375" bestFit="1" customWidth="1"/>
    <col min="3353" max="3353" width="5.6640625" bestFit="1" customWidth="1"/>
    <col min="3354" max="3354" width="7.6640625" bestFit="1" customWidth="1"/>
    <col min="3355" max="3356" width="6" bestFit="1" customWidth="1"/>
    <col min="3357" max="3357" width="7" bestFit="1" customWidth="1"/>
    <col min="3358" max="3358" width="7.6640625" bestFit="1" customWidth="1"/>
    <col min="3359" max="3359" width="17.44140625" customWidth="1"/>
    <col min="3360" max="3360" width="15" customWidth="1"/>
    <col min="3586" max="3586" width="5.44140625" bestFit="1" customWidth="1"/>
    <col min="3587" max="3587" width="6" bestFit="1" customWidth="1"/>
    <col min="3588" max="3588" width="0" hidden="1" customWidth="1"/>
    <col min="3589" max="3589" width="29.88671875" bestFit="1" customWidth="1"/>
    <col min="3590" max="3590" width="0" hidden="1" customWidth="1"/>
    <col min="3591" max="3591" width="16.33203125" bestFit="1" customWidth="1"/>
    <col min="3592" max="3592" width="5.6640625" bestFit="1" customWidth="1"/>
    <col min="3593" max="3593" width="8" bestFit="1" customWidth="1"/>
    <col min="3594" max="3594" width="6.33203125" bestFit="1" customWidth="1"/>
    <col min="3595" max="3595" width="7" bestFit="1" customWidth="1"/>
    <col min="3596" max="3596" width="6" bestFit="1" customWidth="1"/>
    <col min="3597" max="3598" width="7" bestFit="1" customWidth="1"/>
    <col min="3599" max="3600" width="8" bestFit="1" customWidth="1"/>
    <col min="3601" max="3601" width="6.33203125" bestFit="1" customWidth="1"/>
    <col min="3602" max="3602" width="7" bestFit="1" customWidth="1"/>
    <col min="3603" max="3603" width="5.88671875" bestFit="1" customWidth="1"/>
    <col min="3604" max="3605" width="7" bestFit="1" customWidth="1"/>
    <col min="3606" max="3606" width="5.88671875" bestFit="1" customWidth="1"/>
    <col min="3607" max="3607" width="10.33203125" bestFit="1" customWidth="1"/>
    <col min="3608" max="3608" width="5.109375" bestFit="1" customWidth="1"/>
    <col min="3609" max="3609" width="5.6640625" bestFit="1" customWidth="1"/>
    <col min="3610" max="3610" width="7.6640625" bestFit="1" customWidth="1"/>
    <col min="3611" max="3612" width="6" bestFit="1" customWidth="1"/>
    <col min="3613" max="3613" width="7" bestFit="1" customWidth="1"/>
    <col min="3614" max="3614" width="7.6640625" bestFit="1" customWidth="1"/>
    <col min="3615" max="3615" width="17.44140625" customWidth="1"/>
    <col min="3616" max="3616" width="15" customWidth="1"/>
    <col min="3842" max="3842" width="5.44140625" bestFit="1" customWidth="1"/>
    <col min="3843" max="3843" width="6" bestFit="1" customWidth="1"/>
    <col min="3844" max="3844" width="0" hidden="1" customWidth="1"/>
    <col min="3845" max="3845" width="29.88671875" bestFit="1" customWidth="1"/>
    <col min="3846" max="3846" width="0" hidden="1" customWidth="1"/>
    <col min="3847" max="3847" width="16.33203125" bestFit="1" customWidth="1"/>
    <col min="3848" max="3848" width="5.6640625" bestFit="1" customWidth="1"/>
    <col min="3849" max="3849" width="8" bestFit="1" customWidth="1"/>
    <col min="3850" max="3850" width="6.33203125" bestFit="1" customWidth="1"/>
    <col min="3851" max="3851" width="7" bestFit="1" customWidth="1"/>
    <col min="3852" max="3852" width="6" bestFit="1" customWidth="1"/>
    <col min="3853" max="3854" width="7" bestFit="1" customWidth="1"/>
    <col min="3855" max="3856" width="8" bestFit="1" customWidth="1"/>
    <col min="3857" max="3857" width="6.33203125" bestFit="1" customWidth="1"/>
    <col min="3858" max="3858" width="7" bestFit="1" customWidth="1"/>
    <col min="3859" max="3859" width="5.88671875" bestFit="1" customWidth="1"/>
    <col min="3860" max="3861" width="7" bestFit="1" customWidth="1"/>
    <col min="3862" max="3862" width="5.88671875" bestFit="1" customWidth="1"/>
    <col min="3863" max="3863" width="10.33203125" bestFit="1" customWidth="1"/>
    <col min="3864" max="3864" width="5.109375" bestFit="1" customWidth="1"/>
    <col min="3865" max="3865" width="5.6640625" bestFit="1" customWidth="1"/>
    <col min="3866" max="3866" width="7.6640625" bestFit="1" customWidth="1"/>
    <col min="3867" max="3868" width="6" bestFit="1" customWidth="1"/>
    <col min="3869" max="3869" width="7" bestFit="1" customWidth="1"/>
    <col min="3870" max="3870" width="7.6640625" bestFit="1" customWidth="1"/>
    <col min="3871" max="3871" width="17.44140625" customWidth="1"/>
    <col min="3872" max="3872" width="15" customWidth="1"/>
    <col min="4098" max="4098" width="5.44140625" bestFit="1" customWidth="1"/>
    <col min="4099" max="4099" width="6" bestFit="1" customWidth="1"/>
    <col min="4100" max="4100" width="0" hidden="1" customWidth="1"/>
    <col min="4101" max="4101" width="29.88671875" bestFit="1" customWidth="1"/>
    <col min="4102" max="4102" width="0" hidden="1" customWidth="1"/>
    <col min="4103" max="4103" width="16.33203125" bestFit="1" customWidth="1"/>
    <col min="4104" max="4104" width="5.6640625" bestFit="1" customWidth="1"/>
    <col min="4105" max="4105" width="8" bestFit="1" customWidth="1"/>
    <col min="4106" max="4106" width="6.33203125" bestFit="1" customWidth="1"/>
    <col min="4107" max="4107" width="7" bestFit="1" customWidth="1"/>
    <col min="4108" max="4108" width="6" bestFit="1" customWidth="1"/>
    <col min="4109" max="4110" width="7" bestFit="1" customWidth="1"/>
    <col min="4111" max="4112" width="8" bestFit="1" customWidth="1"/>
    <col min="4113" max="4113" width="6.33203125" bestFit="1" customWidth="1"/>
    <col min="4114" max="4114" width="7" bestFit="1" customWidth="1"/>
    <col min="4115" max="4115" width="5.88671875" bestFit="1" customWidth="1"/>
    <col min="4116" max="4117" width="7" bestFit="1" customWidth="1"/>
    <col min="4118" max="4118" width="5.88671875" bestFit="1" customWidth="1"/>
    <col min="4119" max="4119" width="10.33203125" bestFit="1" customWidth="1"/>
    <col min="4120" max="4120" width="5.109375" bestFit="1" customWidth="1"/>
    <col min="4121" max="4121" width="5.6640625" bestFit="1" customWidth="1"/>
    <col min="4122" max="4122" width="7.6640625" bestFit="1" customWidth="1"/>
    <col min="4123" max="4124" width="6" bestFit="1" customWidth="1"/>
    <col min="4125" max="4125" width="7" bestFit="1" customWidth="1"/>
    <col min="4126" max="4126" width="7.6640625" bestFit="1" customWidth="1"/>
    <col min="4127" max="4127" width="17.44140625" customWidth="1"/>
    <col min="4128" max="4128" width="15" customWidth="1"/>
    <col min="4354" max="4354" width="5.44140625" bestFit="1" customWidth="1"/>
    <col min="4355" max="4355" width="6" bestFit="1" customWidth="1"/>
    <col min="4356" max="4356" width="0" hidden="1" customWidth="1"/>
    <col min="4357" max="4357" width="29.88671875" bestFit="1" customWidth="1"/>
    <col min="4358" max="4358" width="0" hidden="1" customWidth="1"/>
    <col min="4359" max="4359" width="16.33203125" bestFit="1" customWidth="1"/>
    <col min="4360" max="4360" width="5.6640625" bestFit="1" customWidth="1"/>
    <col min="4361" max="4361" width="8" bestFit="1" customWidth="1"/>
    <col min="4362" max="4362" width="6.33203125" bestFit="1" customWidth="1"/>
    <col min="4363" max="4363" width="7" bestFit="1" customWidth="1"/>
    <col min="4364" max="4364" width="6" bestFit="1" customWidth="1"/>
    <col min="4365" max="4366" width="7" bestFit="1" customWidth="1"/>
    <col min="4367" max="4368" width="8" bestFit="1" customWidth="1"/>
    <col min="4369" max="4369" width="6.33203125" bestFit="1" customWidth="1"/>
    <col min="4370" max="4370" width="7" bestFit="1" customWidth="1"/>
    <col min="4371" max="4371" width="5.88671875" bestFit="1" customWidth="1"/>
    <col min="4372" max="4373" width="7" bestFit="1" customWidth="1"/>
    <col min="4374" max="4374" width="5.88671875" bestFit="1" customWidth="1"/>
    <col min="4375" max="4375" width="10.33203125" bestFit="1" customWidth="1"/>
    <col min="4376" max="4376" width="5.109375" bestFit="1" customWidth="1"/>
    <col min="4377" max="4377" width="5.6640625" bestFit="1" customWidth="1"/>
    <col min="4378" max="4378" width="7.6640625" bestFit="1" customWidth="1"/>
    <col min="4379" max="4380" width="6" bestFit="1" customWidth="1"/>
    <col min="4381" max="4381" width="7" bestFit="1" customWidth="1"/>
    <col min="4382" max="4382" width="7.6640625" bestFit="1" customWidth="1"/>
    <col min="4383" max="4383" width="17.44140625" customWidth="1"/>
    <col min="4384" max="4384" width="15" customWidth="1"/>
    <col min="4610" max="4610" width="5.44140625" bestFit="1" customWidth="1"/>
    <col min="4611" max="4611" width="6" bestFit="1" customWidth="1"/>
    <col min="4612" max="4612" width="0" hidden="1" customWidth="1"/>
    <col min="4613" max="4613" width="29.88671875" bestFit="1" customWidth="1"/>
    <col min="4614" max="4614" width="0" hidden="1" customWidth="1"/>
    <col min="4615" max="4615" width="16.33203125" bestFit="1" customWidth="1"/>
    <col min="4616" max="4616" width="5.6640625" bestFit="1" customWidth="1"/>
    <col min="4617" max="4617" width="8" bestFit="1" customWidth="1"/>
    <col min="4618" max="4618" width="6.33203125" bestFit="1" customWidth="1"/>
    <col min="4619" max="4619" width="7" bestFit="1" customWidth="1"/>
    <col min="4620" max="4620" width="6" bestFit="1" customWidth="1"/>
    <col min="4621" max="4622" width="7" bestFit="1" customWidth="1"/>
    <col min="4623" max="4624" width="8" bestFit="1" customWidth="1"/>
    <col min="4625" max="4625" width="6.33203125" bestFit="1" customWidth="1"/>
    <col min="4626" max="4626" width="7" bestFit="1" customWidth="1"/>
    <col min="4627" max="4627" width="5.88671875" bestFit="1" customWidth="1"/>
    <col min="4628" max="4629" width="7" bestFit="1" customWidth="1"/>
    <col min="4630" max="4630" width="5.88671875" bestFit="1" customWidth="1"/>
    <col min="4631" max="4631" width="10.33203125" bestFit="1" customWidth="1"/>
    <col min="4632" max="4632" width="5.109375" bestFit="1" customWidth="1"/>
    <col min="4633" max="4633" width="5.6640625" bestFit="1" customWidth="1"/>
    <col min="4634" max="4634" width="7.6640625" bestFit="1" customWidth="1"/>
    <col min="4635" max="4636" width="6" bestFit="1" customWidth="1"/>
    <col min="4637" max="4637" width="7" bestFit="1" customWidth="1"/>
    <col min="4638" max="4638" width="7.6640625" bestFit="1" customWidth="1"/>
    <col min="4639" max="4639" width="17.44140625" customWidth="1"/>
    <col min="4640" max="4640" width="15" customWidth="1"/>
    <col min="4866" max="4866" width="5.44140625" bestFit="1" customWidth="1"/>
    <col min="4867" max="4867" width="6" bestFit="1" customWidth="1"/>
    <col min="4868" max="4868" width="0" hidden="1" customWidth="1"/>
    <col min="4869" max="4869" width="29.88671875" bestFit="1" customWidth="1"/>
    <col min="4870" max="4870" width="0" hidden="1" customWidth="1"/>
    <col min="4871" max="4871" width="16.33203125" bestFit="1" customWidth="1"/>
    <col min="4872" max="4872" width="5.6640625" bestFit="1" customWidth="1"/>
    <col min="4873" max="4873" width="8" bestFit="1" customWidth="1"/>
    <col min="4874" max="4874" width="6.33203125" bestFit="1" customWidth="1"/>
    <col min="4875" max="4875" width="7" bestFit="1" customWidth="1"/>
    <col min="4876" max="4876" width="6" bestFit="1" customWidth="1"/>
    <col min="4877" max="4878" width="7" bestFit="1" customWidth="1"/>
    <col min="4879" max="4880" width="8" bestFit="1" customWidth="1"/>
    <col min="4881" max="4881" width="6.33203125" bestFit="1" customWidth="1"/>
    <col min="4882" max="4882" width="7" bestFit="1" customWidth="1"/>
    <col min="4883" max="4883" width="5.88671875" bestFit="1" customWidth="1"/>
    <col min="4884" max="4885" width="7" bestFit="1" customWidth="1"/>
    <col min="4886" max="4886" width="5.88671875" bestFit="1" customWidth="1"/>
    <col min="4887" max="4887" width="10.33203125" bestFit="1" customWidth="1"/>
    <col min="4888" max="4888" width="5.109375" bestFit="1" customWidth="1"/>
    <col min="4889" max="4889" width="5.6640625" bestFit="1" customWidth="1"/>
    <col min="4890" max="4890" width="7.6640625" bestFit="1" customWidth="1"/>
    <col min="4891" max="4892" width="6" bestFit="1" customWidth="1"/>
    <col min="4893" max="4893" width="7" bestFit="1" customWidth="1"/>
    <col min="4894" max="4894" width="7.6640625" bestFit="1" customWidth="1"/>
    <col min="4895" max="4895" width="17.44140625" customWidth="1"/>
    <col min="4896" max="4896" width="15" customWidth="1"/>
    <col min="5122" max="5122" width="5.44140625" bestFit="1" customWidth="1"/>
    <col min="5123" max="5123" width="6" bestFit="1" customWidth="1"/>
    <col min="5124" max="5124" width="0" hidden="1" customWidth="1"/>
    <col min="5125" max="5125" width="29.88671875" bestFit="1" customWidth="1"/>
    <col min="5126" max="5126" width="0" hidden="1" customWidth="1"/>
    <col min="5127" max="5127" width="16.33203125" bestFit="1" customWidth="1"/>
    <col min="5128" max="5128" width="5.6640625" bestFit="1" customWidth="1"/>
    <col min="5129" max="5129" width="8" bestFit="1" customWidth="1"/>
    <col min="5130" max="5130" width="6.33203125" bestFit="1" customWidth="1"/>
    <col min="5131" max="5131" width="7" bestFit="1" customWidth="1"/>
    <col min="5132" max="5132" width="6" bestFit="1" customWidth="1"/>
    <col min="5133" max="5134" width="7" bestFit="1" customWidth="1"/>
    <col min="5135" max="5136" width="8" bestFit="1" customWidth="1"/>
    <col min="5137" max="5137" width="6.33203125" bestFit="1" customWidth="1"/>
    <col min="5138" max="5138" width="7" bestFit="1" customWidth="1"/>
    <col min="5139" max="5139" width="5.88671875" bestFit="1" customWidth="1"/>
    <col min="5140" max="5141" width="7" bestFit="1" customWidth="1"/>
    <col min="5142" max="5142" width="5.88671875" bestFit="1" customWidth="1"/>
    <col min="5143" max="5143" width="10.33203125" bestFit="1" customWidth="1"/>
    <col min="5144" max="5144" width="5.109375" bestFit="1" customWidth="1"/>
    <col min="5145" max="5145" width="5.6640625" bestFit="1" customWidth="1"/>
    <col min="5146" max="5146" width="7.6640625" bestFit="1" customWidth="1"/>
    <col min="5147" max="5148" width="6" bestFit="1" customWidth="1"/>
    <col min="5149" max="5149" width="7" bestFit="1" customWidth="1"/>
    <col min="5150" max="5150" width="7.6640625" bestFit="1" customWidth="1"/>
    <col min="5151" max="5151" width="17.44140625" customWidth="1"/>
    <col min="5152" max="5152" width="15" customWidth="1"/>
    <col min="5378" max="5378" width="5.44140625" bestFit="1" customWidth="1"/>
    <col min="5379" max="5379" width="6" bestFit="1" customWidth="1"/>
    <col min="5380" max="5380" width="0" hidden="1" customWidth="1"/>
    <col min="5381" max="5381" width="29.88671875" bestFit="1" customWidth="1"/>
    <col min="5382" max="5382" width="0" hidden="1" customWidth="1"/>
    <col min="5383" max="5383" width="16.33203125" bestFit="1" customWidth="1"/>
    <col min="5384" max="5384" width="5.6640625" bestFit="1" customWidth="1"/>
    <col min="5385" max="5385" width="8" bestFit="1" customWidth="1"/>
    <col min="5386" max="5386" width="6.33203125" bestFit="1" customWidth="1"/>
    <col min="5387" max="5387" width="7" bestFit="1" customWidth="1"/>
    <col min="5388" max="5388" width="6" bestFit="1" customWidth="1"/>
    <col min="5389" max="5390" width="7" bestFit="1" customWidth="1"/>
    <col min="5391" max="5392" width="8" bestFit="1" customWidth="1"/>
    <col min="5393" max="5393" width="6.33203125" bestFit="1" customWidth="1"/>
    <col min="5394" max="5394" width="7" bestFit="1" customWidth="1"/>
    <col min="5395" max="5395" width="5.88671875" bestFit="1" customWidth="1"/>
    <col min="5396" max="5397" width="7" bestFit="1" customWidth="1"/>
    <col min="5398" max="5398" width="5.88671875" bestFit="1" customWidth="1"/>
    <col min="5399" max="5399" width="10.33203125" bestFit="1" customWidth="1"/>
    <col min="5400" max="5400" width="5.109375" bestFit="1" customWidth="1"/>
    <col min="5401" max="5401" width="5.6640625" bestFit="1" customWidth="1"/>
    <col min="5402" max="5402" width="7.6640625" bestFit="1" customWidth="1"/>
    <col min="5403" max="5404" width="6" bestFit="1" customWidth="1"/>
    <col min="5405" max="5405" width="7" bestFit="1" customWidth="1"/>
    <col min="5406" max="5406" width="7.6640625" bestFit="1" customWidth="1"/>
    <col min="5407" max="5407" width="17.44140625" customWidth="1"/>
    <col min="5408" max="5408" width="15" customWidth="1"/>
    <col min="5634" max="5634" width="5.44140625" bestFit="1" customWidth="1"/>
    <col min="5635" max="5635" width="6" bestFit="1" customWidth="1"/>
    <col min="5636" max="5636" width="0" hidden="1" customWidth="1"/>
    <col min="5637" max="5637" width="29.88671875" bestFit="1" customWidth="1"/>
    <col min="5638" max="5638" width="0" hidden="1" customWidth="1"/>
    <col min="5639" max="5639" width="16.33203125" bestFit="1" customWidth="1"/>
    <col min="5640" max="5640" width="5.6640625" bestFit="1" customWidth="1"/>
    <col min="5641" max="5641" width="8" bestFit="1" customWidth="1"/>
    <col min="5642" max="5642" width="6.33203125" bestFit="1" customWidth="1"/>
    <col min="5643" max="5643" width="7" bestFit="1" customWidth="1"/>
    <col min="5644" max="5644" width="6" bestFit="1" customWidth="1"/>
    <col min="5645" max="5646" width="7" bestFit="1" customWidth="1"/>
    <col min="5647" max="5648" width="8" bestFit="1" customWidth="1"/>
    <col min="5649" max="5649" width="6.33203125" bestFit="1" customWidth="1"/>
    <col min="5650" max="5650" width="7" bestFit="1" customWidth="1"/>
    <col min="5651" max="5651" width="5.88671875" bestFit="1" customWidth="1"/>
    <col min="5652" max="5653" width="7" bestFit="1" customWidth="1"/>
    <col min="5654" max="5654" width="5.88671875" bestFit="1" customWidth="1"/>
    <col min="5655" max="5655" width="10.33203125" bestFit="1" customWidth="1"/>
    <col min="5656" max="5656" width="5.109375" bestFit="1" customWidth="1"/>
    <col min="5657" max="5657" width="5.6640625" bestFit="1" customWidth="1"/>
    <col min="5658" max="5658" width="7.6640625" bestFit="1" customWidth="1"/>
    <col min="5659" max="5660" width="6" bestFit="1" customWidth="1"/>
    <col min="5661" max="5661" width="7" bestFit="1" customWidth="1"/>
    <col min="5662" max="5662" width="7.6640625" bestFit="1" customWidth="1"/>
    <col min="5663" max="5663" width="17.44140625" customWidth="1"/>
    <col min="5664" max="5664" width="15" customWidth="1"/>
    <col min="5890" max="5890" width="5.44140625" bestFit="1" customWidth="1"/>
    <col min="5891" max="5891" width="6" bestFit="1" customWidth="1"/>
    <col min="5892" max="5892" width="0" hidden="1" customWidth="1"/>
    <col min="5893" max="5893" width="29.88671875" bestFit="1" customWidth="1"/>
    <col min="5894" max="5894" width="0" hidden="1" customWidth="1"/>
    <col min="5895" max="5895" width="16.33203125" bestFit="1" customWidth="1"/>
    <col min="5896" max="5896" width="5.6640625" bestFit="1" customWidth="1"/>
    <col min="5897" max="5897" width="8" bestFit="1" customWidth="1"/>
    <col min="5898" max="5898" width="6.33203125" bestFit="1" customWidth="1"/>
    <col min="5899" max="5899" width="7" bestFit="1" customWidth="1"/>
    <col min="5900" max="5900" width="6" bestFit="1" customWidth="1"/>
    <col min="5901" max="5902" width="7" bestFit="1" customWidth="1"/>
    <col min="5903" max="5904" width="8" bestFit="1" customWidth="1"/>
    <col min="5905" max="5905" width="6.33203125" bestFit="1" customWidth="1"/>
    <col min="5906" max="5906" width="7" bestFit="1" customWidth="1"/>
    <col min="5907" max="5907" width="5.88671875" bestFit="1" customWidth="1"/>
    <col min="5908" max="5909" width="7" bestFit="1" customWidth="1"/>
    <col min="5910" max="5910" width="5.88671875" bestFit="1" customWidth="1"/>
    <col min="5911" max="5911" width="10.33203125" bestFit="1" customWidth="1"/>
    <col min="5912" max="5912" width="5.109375" bestFit="1" customWidth="1"/>
    <col min="5913" max="5913" width="5.6640625" bestFit="1" customWidth="1"/>
    <col min="5914" max="5914" width="7.6640625" bestFit="1" customWidth="1"/>
    <col min="5915" max="5916" width="6" bestFit="1" customWidth="1"/>
    <col min="5917" max="5917" width="7" bestFit="1" customWidth="1"/>
    <col min="5918" max="5918" width="7.6640625" bestFit="1" customWidth="1"/>
    <col min="5919" max="5919" width="17.44140625" customWidth="1"/>
    <col min="5920" max="5920" width="15" customWidth="1"/>
    <col min="6146" max="6146" width="5.44140625" bestFit="1" customWidth="1"/>
    <col min="6147" max="6147" width="6" bestFit="1" customWidth="1"/>
    <col min="6148" max="6148" width="0" hidden="1" customWidth="1"/>
    <col min="6149" max="6149" width="29.88671875" bestFit="1" customWidth="1"/>
    <col min="6150" max="6150" width="0" hidden="1" customWidth="1"/>
    <col min="6151" max="6151" width="16.33203125" bestFit="1" customWidth="1"/>
    <col min="6152" max="6152" width="5.6640625" bestFit="1" customWidth="1"/>
    <col min="6153" max="6153" width="8" bestFit="1" customWidth="1"/>
    <col min="6154" max="6154" width="6.33203125" bestFit="1" customWidth="1"/>
    <col min="6155" max="6155" width="7" bestFit="1" customWidth="1"/>
    <col min="6156" max="6156" width="6" bestFit="1" customWidth="1"/>
    <col min="6157" max="6158" width="7" bestFit="1" customWidth="1"/>
    <col min="6159" max="6160" width="8" bestFit="1" customWidth="1"/>
    <col min="6161" max="6161" width="6.33203125" bestFit="1" customWidth="1"/>
    <col min="6162" max="6162" width="7" bestFit="1" customWidth="1"/>
    <col min="6163" max="6163" width="5.88671875" bestFit="1" customWidth="1"/>
    <col min="6164" max="6165" width="7" bestFit="1" customWidth="1"/>
    <col min="6166" max="6166" width="5.88671875" bestFit="1" customWidth="1"/>
    <col min="6167" max="6167" width="10.33203125" bestFit="1" customWidth="1"/>
    <col min="6168" max="6168" width="5.109375" bestFit="1" customWidth="1"/>
    <col min="6169" max="6169" width="5.6640625" bestFit="1" customWidth="1"/>
    <col min="6170" max="6170" width="7.6640625" bestFit="1" customWidth="1"/>
    <col min="6171" max="6172" width="6" bestFit="1" customWidth="1"/>
    <col min="6173" max="6173" width="7" bestFit="1" customWidth="1"/>
    <col min="6174" max="6174" width="7.6640625" bestFit="1" customWidth="1"/>
    <col min="6175" max="6175" width="17.44140625" customWidth="1"/>
    <col min="6176" max="6176" width="15" customWidth="1"/>
    <col min="6402" max="6402" width="5.44140625" bestFit="1" customWidth="1"/>
    <col min="6403" max="6403" width="6" bestFit="1" customWidth="1"/>
    <col min="6404" max="6404" width="0" hidden="1" customWidth="1"/>
    <col min="6405" max="6405" width="29.88671875" bestFit="1" customWidth="1"/>
    <col min="6406" max="6406" width="0" hidden="1" customWidth="1"/>
    <col min="6407" max="6407" width="16.33203125" bestFit="1" customWidth="1"/>
    <col min="6408" max="6408" width="5.6640625" bestFit="1" customWidth="1"/>
    <col min="6409" max="6409" width="8" bestFit="1" customWidth="1"/>
    <col min="6410" max="6410" width="6.33203125" bestFit="1" customWidth="1"/>
    <col min="6411" max="6411" width="7" bestFit="1" customWidth="1"/>
    <col min="6412" max="6412" width="6" bestFit="1" customWidth="1"/>
    <col min="6413" max="6414" width="7" bestFit="1" customWidth="1"/>
    <col min="6415" max="6416" width="8" bestFit="1" customWidth="1"/>
    <col min="6417" max="6417" width="6.33203125" bestFit="1" customWidth="1"/>
    <col min="6418" max="6418" width="7" bestFit="1" customWidth="1"/>
    <col min="6419" max="6419" width="5.88671875" bestFit="1" customWidth="1"/>
    <col min="6420" max="6421" width="7" bestFit="1" customWidth="1"/>
    <col min="6422" max="6422" width="5.88671875" bestFit="1" customWidth="1"/>
    <col min="6423" max="6423" width="10.33203125" bestFit="1" customWidth="1"/>
    <col min="6424" max="6424" width="5.109375" bestFit="1" customWidth="1"/>
    <col min="6425" max="6425" width="5.6640625" bestFit="1" customWidth="1"/>
    <col min="6426" max="6426" width="7.6640625" bestFit="1" customWidth="1"/>
    <col min="6427" max="6428" width="6" bestFit="1" customWidth="1"/>
    <col min="6429" max="6429" width="7" bestFit="1" customWidth="1"/>
    <col min="6430" max="6430" width="7.6640625" bestFit="1" customWidth="1"/>
    <col min="6431" max="6431" width="17.44140625" customWidth="1"/>
    <col min="6432" max="6432" width="15" customWidth="1"/>
    <col min="6658" max="6658" width="5.44140625" bestFit="1" customWidth="1"/>
    <col min="6659" max="6659" width="6" bestFit="1" customWidth="1"/>
    <col min="6660" max="6660" width="0" hidden="1" customWidth="1"/>
    <col min="6661" max="6661" width="29.88671875" bestFit="1" customWidth="1"/>
    <col min="6662" max="6662" width="0" hidden="1" customWidth="1"/>
    <col min="6663" max="6663" width="16.33203125" bestFit="1" customWidth="1"/>
    <col min="6664" max="6664" width="5.6640625" bestFit="1" customWidth="1"/>
    <col min="6665" max="6665" width="8" bestFit="1" customWidth="1"/>
    <col min="6666" max="6666" width="6.33203125" bestFit="1" customWidth="1"/>
    <col min="6667" max="6667" width="7" bestFit="1" customWidth="1"/>
    <col min="6668" max="6668" width="6" bestFit="1" customWidth="1"/>
    <col min="6669" max="6670" width="7" bestFit="1" customWidth="1"/>
    <col min="6671" max="6672" width="8" bestFit="1" customWidth="1"/>
    <col min="6673" max="6673" width="6.33203125" bestFit="1" customWidth="1"/>
    <col min="6674" max="6674" width="7" bestFit="1" customWidth="1"/>
    <col min="6675" max="6675" width="5.88671875" bestFit="1" customWidth="1"/>
    <col min="6676" max="6677" width="7" bestFit="1" customWidth="1"/>
    <col min="6678" max="6678" width="5.88671875" bestFit="1" customWidth="1"/>
    <col min="6679" max="6679" width="10.33203125" bestFit="1" customWidth="1"/>
    <col min="6680" max="6680" width="5.109375" bestFit="1" customWidth="1"/>
    <col min="6681" max="6681" width="5.6640625" bestFit="1" customWidth="1"/>
    <col min="6682" max="6682" width="7.6640625" bestFit="1" customWidth="1"/>
    <col min="6683" max="6684" width="6" bestFit="1" customWidth="1"/>
    <col min="6685" max="6685" width="7" bestFit="1" customWidth="1"/>
    <col min="6686" max="6686" width="7.6640625" bestFit="1" customWidth="1"/>
    <col min="6687" max="6687" width="17.44140625" customWidth="1"/>
    <col min="6688" max="6688" width="15" customWidth="1"/>
    <col min="6914" max="6914" width="5.44140625" bestFit="1" customWidth="1"/>
    <col min="6915" max="6915" width="6" bestFit="1" customWidth="1"/>
    <col min="6916" max="6916" width="0" hidden="1" customWidth="1"/>
    <col min="6917" max="6917" width="29.88671875" bestFit="1" customWidth="1"/>
    <col min="6918" max="6918" width="0" hidden="1" customWidth="1"/>
    <col min="6919" max="6919" width="16.33203125" bestFit="1" customWidth="1"/>
    <col min="6920" max="6920" width="5.6640625" bestFit="1" customWidth="1"/>
    <col min="6921" max="6921" width="8" bestFit="1" customWidth="1"/>
    <col min="6922" max="6922" width="6.33203125" bestFit="1" customWidth="1"/>
    <col min="6923" max="6923" width="7" bestFit="1" customWidth="1"/>
    <col min="6924" max="6924" width="6" bestFit="1" customWidth="1"/>
    <col min="6925" max="6926" width="7" bestFit="1" customWidth="1"/>
    <col min="6927" max="6928" width="8" bestFit="1" customWidth="1"/>
    <col min="6929" max="6929" width="6.33203125" bestFit="1" customWidth="1"/>
    <col min="6930" max="6930" width="7" bestFit="1" customWidth="1"/>
    <col min="6931" max="6931" width="5.88671875" bestFit="1" customWidth="1"/>
    <col min="6932" max="6933" width="7" bestFit="1" customWidth="1"/>
    <col min="6934" max="6934" width="5.88671875" bestFit="1" customWidth="1"/>
    <col min="6935" max="6935" width="10.33203125" bestFit="1" customWidth="1"/>
    <col min="6936" max="6936" width="5.109375" bestFit="1" customWidth="1"/>
    <col min="6937" max="6937" width="5.6640625" bestFit="1" customWidth="1"/>
    <col min="6938" max="6938" width="7.6640625" bestFit="1" customWidth="1"/>
    <col min="6939" max="6940" width="6" bestFit="1" customWidth="1"/>
    <col min="6941" max="6941" width="7" bestFit="1" customWidth="1"/>
    <col min="6942" max="6942" width="7.6640625" bestFit="1" customWidth="1"/>
    <col min="6943" max="6943" width="17.44140625" customWidth="1"/>
    <col min="6944" max="6944" width="15" customWidth="1"/>
    <col min="7170" max="7170" width="5.44140625" bestFit="1" customWidth="1"/>
    <col min="7171" max="7171" width="6" bestFit="1" customWidth="1"/>
    <col min="7172" max="7172" width="0" hidden="1" customWidth="1"/>
    <col min="7173" max="7173" width="29.88671875" bestFit="1" customWidth="1"/>
    <col min="7174" max="7174" width="0" hidden="1" customWidth="1"/>
    <col min="7175" max="7175" width="16.33203125" bestFit="1" customWidth="1"/>
    <col min="7176" max="7176" width="5.6640625" bestFit="1" customWidth="1"/>
    <col min="7177" max="7177" width="8" bestFit="1" customWidth="1"/>
    <col min="7178" max="7178" width="6.33203125" bestFit="1" customWidth="1"/>
    <col min="7179" max="7179" width="7" bestFit="1" customWidth="1"/>
    <col min="7180" max="7180" width="6" bestFit="1" customWidth="1"/>
    <col min="7181" max="7182" width="7" bestFit="1" customWidth="1"/>
    <col min="7183" max="7184" width="8" bestFit="1" customWidth="1"/>
    <col min="7185" max="7185" width="6.33203125" bestFit="1" customWidth="1"/>
    <col min="7186" max="7186" width="7" bestFit="1" customWidth="1"/>
    <col min="7187" max="7187" width="5.88671875" bestFit="1" customWidth="1"/>
    <col min="7188" max="7189" width="7" bestFit="1" customWidth="1"/>
    <col min="7190" max="7190" width="5.88671875" bestFit="1" customWidth="1"/>
    <col min="7191" max="7191" width="10.33203125" bestFit="1" customWidth="1"/>
    <col min="7192" max="7192" width="5.109375" bestFit="1" customWidth="1"/>
    <col min="7193" max="7193" width="5.6640625" bestFit="1" customWidth="1"/>
    <col min="7194" max="7194" width="7.6640625" bestFit="1" customWidth="1"/>
    <col min="7195" max="7196" width="6" bestFit="1" customWidth="1"/>
    <col min="7197" max="7197" width="7" bestFit="1" customWidth="1"/>
    <col min="7198" max="7198" width="7.6640625" bestFit="1" customWidth="1"/>
    <col min="7199" max="7199" width="17.44140625" customWidth="1"/>
    <col min="7200" max="7200" width="15" customWidth="1"/>
    <col min="7426" max="7426" width="5.44140625" bestFit="1" customWidth="1"/>
    <col min="7427" max="7427" width="6" bestFit="1" customWidth="1"/>
    <col min="7428" max="7428" width="0" hidden="1" customWidth="1"/>
    <col min="7429" max="7429" width="29.88671875" bestFit="1" customWidth="1"/>
    <col min="7430" max="7430" width="0" hidden="1" customWidth="1"/>
    <col min="7431" max="7431" width="16.33203125" bestFit="1" customWidth="1"/>
    <col min="7432" max="7432" width="5.6640625" bestFit="1" customWidth="1"/>
    <col min="7433" max="7433" width="8" bestFit="1" customWidth="1"/>
    <col min="7434" max="7434" width="6.33203125" bestFit="1" customWidth="1"/>
    <col min="7435" max="7435" width="7" bestFit="1" customWidth="1"/>
    <col min="7436" max="7436" width="6" bestFit="1" customWidth="1"/>
    <col min="7437" max="7438" width="7" bestFit="1" customWidth="1"/>
    <col min="7439" max="7440" width="8" bestFit="1" customWidth="1"/>
    <col min="7441" max="7441" width="6.33203125" bestFit="1" customWidth="1"/>
    <col min="7442" max="7442" width="7" bestFit="1" customWidth="1"/>
    <col min="7443" max="7443" width="5.88671875" bestFit="1" customWidth="1"/>
    <col min="7444" max="7445" width="7" bestFit="1" customWidth="1"/>
    <col min="7446" max="7446" width="5.88671875" bestFit="1" customWidth="1"/>
    <col min="7447" max="7447" width="10.33203125" bestFit="1" customWidth="1"/>
    <col min="7448" max="7448" width="5.109375" bestFit="1" customWidth="1"/>
    <col min="7449" max="7449" width="5.6640625" bestFit="1" customWidth="1"/>
    <col min="7450" max="7450" width="7.6640625" bestFit="1" customWidth="1"/>
    <col min="7451" max="7452" width="6" bestFit="1" customWidth="1"/>
    <col min="7453" max="7453" width="7" bestFit="1" customWidth="1"/>
    <col min="7454" max="7454" width="7.6640625" bestFit="1" customWidth="1"/>
    <col min="7455" max="7455" width="17.44140625" customWidth="1"/>
    <col min="7456" max="7456" width="15" customWidth="1"/>
    <col min="7682" max="7682" width="5.44140625" bestFit="1" customWidth="1"/>
    <col min="7683" max="7683" width="6" bestFit="1" customWidth="1"/>
    <col min="7684" max="7684" width="0" hidden="1" customWidth="1"/>
    <col min="7685" max="7685" width="29.88671875" bestFit="1" customWidth="1"/>
    <col min="7686" max="7686" width="0" hidden="1" customWidth="1"/>
    <col min="7687" max="7687" width="16.33203125" bestFit="1" customWidth="1"/>
    <col min="7688" max="7688" width="5.6640625" bestFit="1" customWidth="1"/>
    <col min="7689" max="7689" width="8" bestFit="1" customWidth="1"/>
    <col min="7690" max="7690" width="6.33203125" bestFit="1" customWidth="1"/>
    <col min="7691" max="7691" width="7" bestFit="1" customWidth="1"/>
    <col min="7692" max="7692" width="6" bestFit="1" customWidth="1"/>
    <col min="7693" max="7694" width="7" bestFit="1" customWidth="1"/>
    <col min="7695" max="7696" width="8" bestFit="1" customWidth="1"/>
    <col min="7697" max="7697" width="6.33203125" bestFit="1" customWidth="1"/>
    <col min="7698" max="7698" width="7" bestFit="1" customWidth="1"/>
    <col min="7699" max="7699" width="5.88671875" bestFit="1" customWidth="1"/>
    <col min="7700" max="7701" width="7" bestFit="1" customWidth="1"/>
    <col min="7702" max="7702" width="5.88671875" bestFit="1" customWidth="1"/>
    <col min="7703" max="7703" width="10.33203125" bestFit="1" customWidth="1"/>
    <col min="7704" max="7704" width="5.109375" bestFit="1" customWidth="1"/>
    <col min="7705" max="7705" width="5.6640625" bestFit="1" customWidth="1"/>
    <col min="7706" max="7706" width="7.6640625" bestFit="1" customWidth="1"/>
    <col min="7707" max="7708" width="6" bestFit="1" customWidth="1"/>
    <col min="7709" max="7709" width="7" bestFit="1" customWidth="1"/>
    <col min="7710" max="7710" width="7.6640625" bestFit="1" customWidth="1"/>
    <col min="7711" max="7711" width="17.44140625" customWidth="1"/>
    <col min="7712" max="7712" width="15" customWidth="1"/>
    <col min="7938" max="7938" width="5.44140625" bestFit="1" customWidth="1"/>
    <col min="7939" max="7939" width="6" bestFit="1" customWidth="1"/>
    <col min="7940" max="7940" width="0" hidden="1" customWidth="1"/>
    <col min="7941" max="7941" width="29.88671875" bestFit="1" customWidth="1"/>
    <col min="7942" max="7942" width="0" hidden="1" customWidth="1"/>
    <col min="7943" max="7943" width="16.33203125" bestFit="1" customWidth="1"/>
    <col min="7944" max="7944" width="5.6640625" bestFit="1" customWidth="1"/>
    <col min="7945" max="7945" width="8" bestFit="1" customWidth="1"/>
    <col min="7946" max="7946" width="6.33203125" bestFit="1" customWidth="1"/>
    <col min="7947" max="7947" width="7" bestFit="1" customWidth="1"/>
    <col min="7948" max="7948" width="6" bestFit="1" customWidth="1"/>
    <col min="7949" max="7950" width="7" bestFit="1" customWidth="1"/>
    <col min="7951" max="7952" width="8" bestFit="1" customWidth="1"/>
    <col min="7953" max="7953" width="6.33203125" bestFit="1" customWidth="1"/>
    <col min="7954" max="7954" width="7" bestFit="1" customWidth="1"/>
    <col min="7955" max="7955" width="5.88671875" bestFit="1" customWidth="1"/>
    <col min="7956" max="7957" width="7" bestFit="1" customWidth="1"/>
    <col min="7958" max="7958" width="5.88671875" bestFit="1" customWidth="1"/>
    <col min="7959" max="7959" width="10.33203125" bestFit="1" customWidth="1"/>
    <col min="7960" max="7960" width="5.109375" bestFit="1" customWidth="1"/>
    <col min="7961" max="7961" width="5.6640625" bestFit="1" customWidth="1"/>
    <col min="7962" max="7962" width="7.6640625" bestFit="1" customWidth="1"/>
    <col min="7963" max="7964" width="6" bestFit="1" customWidth="1"/>
    <col min="7965" max="7965" width="7" bestFit="1" customWidth="1"/>
    <col min="7966" max="7966" width="7.6640625" bestFit="1" customWidth="1"/>
    <col min="7967" max="7967" width="17.44140625" customWidth="1"/>
    <col min="7968" max="7968" width="15" customWidth="1"/>
    <col min="8194" max="8194" width="5.44140625" bestFit="1" customWidth="1"/>
    <col min="8195" max="8195" width="6" bestFit="1" customWidth="1"/>
    <col min="8196" max="8196" width="0" hidden="1" customWidth="1"/>
    <col min="8197" max="8197" width="29.88671875" bestFit="1" customWidth="1"/>
    <col min="8198" max="8198" width="0" hidden="1" customWidth="1"/>
    <col min="8199" max="8199" width="16.33203125" bestFit="1" customWidth="1"/>
    <col min="8200" max="8200" width="5.6640625" bestFit="1" customWidth="1"/>
    <col min="8201" max="8201" width="8" bestFit="1" customWidth="1"/>
    <col min="8202" max="8202" width="6.33203125" bestFit="1" customWidth="1"/>
    <col min="8203" max="8203" width="7" bestFit="1" customWidth="1"/>
    <col min="8204" max="8204" width="6" bestFit="1" customWidth="1"/>
    <col min="8205" max="8206" width="7" bestFit="1" customWidth="1"/>
    <col min="8207" max="8208" width="8" bestFit="1" customWidth="1"/>
    <col min="8209" max="8209" width="6.33203125" bestFit="1" customWidth="1"/>
    <col min="8210" max="8210" width="7" bestFit="1" customWidth="1"/>
    <col min="8211" max="8211" width="5.88671875" bestFit="1" customWidth="1"/>
    <col min="8212" max="8213" width="7" bestFit="1" customWidth="1"/>
    <col min="8214" max="8214" width="5.88671875" bestFit="1" customWidth="1"/>
    <col min="8215" max="8215" width="10.33203125" bestFit="1" customWidth="1"/>
    <col min="8216" max="8216" width="5.109375" bestFit="1" customWidth="1"/>
    <col min="8217" max="8217" width="5.6640625" bestFit="1" customWidth="1"/>
    <col min="8218" max="8218" width="7.6640625" bestFit="1" customWidth="1"/>
    <col min="8219" max="8220" width="6" bestFit="1" customWidth="1"/>
    <col min="8221" max="8221" width="7" bestFit="1" customWidth="1"/>
    <col min="8222" max="8222" width="7.6640625" bestFit="1" customWidth="1"/>
    <col min="8223" max="8223" width="17.44140625" customWidth="1"/>
    <col min="8224" max="8224" width="15" customWidth="1"/>
    <col min="8450" max="8450" width="5.44140625" bestFit="1" customWidth="1"/>
    <col min="8451" max="8451" width="6" bestFit="1" customWidth="1"/>
    <col min="8452" max="8452" width="0" hidden="1" customWidth="1"/>
    <col min="8453" max="8453" width="29.88671875" bestFit="1" customWidth="1"/>
    <col min="8454" max="8454" width="0" hidden="1" customWidth="1"/>
    <col min="8455" max="8455" width="16.33203125" bestFit="1" customWidth="1"/>
    <col min="8456" max="8456" width="5.6640625" bestFit="1" customWidth="1"/>
    <col min="8457" max="8457" width="8" bestFit="1" customWidth="1"/>
    <col min="8458" max="8458" width="6.33203125" bestFit="1" customWidth="1"/>
    <col min="8459" max="8459" width="7" bestFit="1" customWidth="1"/>
    <col min="8460" max="8460" width="6" bestFit="1" customWidth="1"/>
    <col min="8461" max="8462" width="7" bestFit="1" customWidth="1"/>
    <col min="8463" max="8464" width="8" bestFit="1" customWidth="1"/>
    <col min="8465" max="8465" width="6.33203125" bestFit="1" customWidth="1"/>
    <col min="8466" max="8466" width="7" bestFit="1" customWidth="1"/>
    <col min="8467" max="8467" width="5.88671875" bestFit="1" customWidth="1"/>
    <col min="8468" max="8469" width="7" bestFit="1" customWidth="1"/>
    <col min="8470" max="8470" width="5.88671875" bestFit="1" customWidth="1"/>
    <col min="8471" max="8471" width="10.33203125" bestFit="1" customWidth="1"/>
    <col min="8472" max="8472" width="5.109375" bestFit="1" customWidth="1"/>
    <col min="8473" max="8473" width="5.6640625" bestFit="1" customWidth="1"/>
    <col min="8474" max="8474" width="7.6640625" bestFit="1" customWidth="1"/>
    <col min="8475" max="8476" width="6" bestFit="1" customWidth="1"/>
    <col min="8477" max="8477" width="7" bestFit="1" customWidth="1"/>
    <col min="8478" max="8478" width="7.6640625" bestFit="1" customWidth="1"/>
    <col min="8479" max="8479" width="17.44140625" customWidth="1"/>
    <col min="8480" max="8480" width="15" customWidth="1"/>
    <col min="8706" max="8706" width="5.44140625" bestFit="1" customWidth="1"/>
    <col min="8707" max="8707" width="6" bestFit="1" customWidth="1"/>
    <col min="8708" max="8708" width="0" hidden="1" customWidth="1"/>
    <col min="8709" max="8709" width="29.88671875" bestFit="1" customWidth="1"/>
    <col min="8710" max="8710" width="0" hidden="1" customWidth="1"/>
    <col min="8711" max="8711" width="16.33203125" bestFit="1" customWidth="1"/>
    <col min="8712" max="8712" width="5.6640625" bestFit="1" customWidth="1"/>
    <col min="8713" max="8713" width="8" bestFit="1" customWidth="1"/>
    <col min="8714" max="8714" width="6.33203125" bestFit="1" customWidth="1"/>
    <col min="8715" max="8715" width="7" bestFit="1" customWidth="1"/>
    <col min="8716" max="8716" width="6" bestFit="1" customWidth="1"/>
    <col min="8717" max="8718" width="7" bestFit="1" customWidth="1"/>
    <col min="8719" max="8720" width="8" bestFit="1" customWidth="1"/>
    <col min="8721" max="8721" width="6.33203125" bestFit="1" customWidth="1"/>
    <col min="8722" max="8722" width="7" bestFit="1" customWidth="1"/>
    <col min="8723" max="8723" width="5.88671875" bestFit="1" customWidth="1"/>
    <col min="8724" max="8725" width="7" bestFit="1" customWidth="1"/>
    <col min="8726" max="8726" width="5.88671875" bestFit="1" customWidth="1"/>
    <col min="8727" max="8727" width="10.33203125" bestFit="1" customWidth="1"/>
    <col min="8728" max="8728" width="5.109375" bestFit="1" customWidth="1"/>
    <col min="8729" max="8729" width="5.6640625" bestFit="1" customWidth="1"/>
    <col min="8730" max="8730" width="7.6640625" bestFit="1" customWidth="1"/>
    <col min="8731" max="8732" width="6" bestFit="1" customWidth="1"/>
    <col min="8733" max="8733" width="7" bestFit="1" customWidth="1"/>
    <col min="8734" max="8734" width="7.6640625" bestFit="1" customWidth="1"/>
    <col min="8735" max="8735" width="17.44140625" customWidth="1"/>
    <col min="8736" max="8736" width="15" customWidth="1"/>
    <col min="8962" max="8962" width="5.44140625" bestFit="1" customWidth="1"/>
    <col min="8963" max="8963" width="6" bestFit="1" customWidth="1"/>
    <col min="8964" max="8964" width="0" hidden="1" customWidth="1"/>
    <col min="8965" max="8965" width="29.88671875" bestFit="1" customWidth="1"/>
    <col min="8966" max="8966" width="0" hidden="1" customWidth="1"/>
    <col min="8967" max="8967" width="16.33203125" bestFit="1" customWidth="1"/>
    <col min="8968" max="8968" width="5.6640625" bestFit="1" customWidth="1"/>
    <col min="8969" max="8969" width="8" bestFit="1" customWidth="1"/>
    <col min="8970" max="8970" width="6.33203125" bestFit="1" customWidth="1"/>
    <col min="8971" max="8971" width="7" bestFit="1" customWidth="1"/>
    <col min="8972" max="8972" width="6" bestFit="1" customWidth="1"/>
    <col min="8973" max="8974" width="7" bestFit="1" customWidth="1"/>
    <col min="8975" max="8976" width="8" bestFit="1" customWidth="1"/>
    <col min="8977" max="8977" width="6.33203125" bestFit="1" customWidth="1"/>
    <col min="8978" max="8978" width="7" bestFit="1" customWidth="1"/>
    <col min="8979" max="8979" width="5.88671875" bestFit="1" customWidth="1"/>
    <col min="8980" max="8981" width="7" bestFit="1" customWidth="1"/>
    <col min="8982" max="8982" width="5.88671875" bestFit="1" customWidth="1"/>
    <col min="8983" max="8983" width="10.33203125" bestFit="1" customWidth="1"/>
    <col min="8984" max="8984" width="5.109375" bestFit="1" customWidth="1"/>
    <col min="8985" max="8985" width="5.6640625" bestFit="1" customWidth="1"/>
    <col min="8986" max="8986" width="7.6640625" bestFit="1" customWidth="1"/>
    <col min="8987" max="8988" width="6" bestFit="1" customWidth="1"/>
    <col min="8989" max="8989" width="7" bestFit="1" customWidth="1"/>
    <col min="8990" max="8990" width="7.6640625" bestFit="1" customWidth="1"/>
    <col min="8991" max="8991" width="17.44140625" customWidth="1"/>
    <col min="8992" max="8992" width="15" customWidth="1"/>
    <col min="9218" max="9218" width="5.44140625" bestFit="1" customWidth="1"/>
    <col min="9219" max="9219" width="6" bestFit="1" customWidth="1"/>
    <col min="9220" max="9220" width="0" hidden="1" customWidth="1"/>
    <col min="9221" max="9221" width="29.88671875" bestFit="1" customWidth="1"/>
    <col min="9222" max="9222" width="0" hidden="1" customWidth="1"/>
    <col min="9223" max="9223" width="16.33203125" bestFit="1" customWidth="1"/>
    <col min="9224" max="9224" width="5.6640625" bestFit="1" customWidth="1"/>
    <col min="9225" max="9225" width="8" bestFit="1" customWidth="1"/>
    <col min="9226" max="9226" width="6.33203125" bestFit="1" customWidth="1"/>
    <col min="9227" max="9227" width="7" bestFit="1" customWidth="1"/>
    <col min="9228" max="9228" width="6" bestFit="1" customWidth="1"/>
    <col min="9229" max="9230" width="7" bestFit="1" customWidth="1"/>
    <col min="9231" max="9232" width="8" bestFit="1" customWidth="1"/>
    <col min="9233" max="9233" width="6.33203125" bestFit="1" customWidth="1"/>
    <col min="9234" max="9234" width="7" bestFit="1" customWidth="1"/>
    <col min="9235" max="9235" width="5.88671875" bestFit="1" customWidth="1"/>
    <col min="9236" max="9237" width="7" bestFit="1" customWidth="1"/>
    <col min="9238" max="9238" width="5.88671875" bestFit="1" customWidth="1"/>
    <col min="9239" max="9239" width="10.33203125" bestFit="1" customWidth="1"/>
    <col min="9240" max="9240" width="5.109375" bestFit="1" customWidth="1"/>
    <col min="9241" max="9241" width="5.6640625" bestFit="1" customWidth="1"/>
    <col min="9242" max="9242" width="7.6640625" bestFit="1" customWidth="1"/>
    <col min="9243" max="9244" width="6" bestFit="1" customWidth="1"/>
    <col min="9245" max="9245" width="7" bestFit="1" customWidth="1"/>
    <col min="9246" max="9246" width="7.6640625" bestFit="1" customWidth="1"/>
    <col min="9247" max="9247" width="17.44140625" customWidth="1"/>
    <col min="9248" max="9248" width="15" customWidth="1"/>
    <col min="9474" max="9474" width="5.44140625" bestFit="1" customWidth="1"/>
    <col min="9475" max="9475" width="6" bestFit="1" customWidth="1"/>
    <col min="9476" max="9476" width="0" hidden="1" customWidth="1"/>
    <col min="9477" max="9477" width="29.88671875" bestFit="1" customWidth="1"/>
    <col min="9478" max="9478" width="0" hidden="1" customWidth="1"/>
    <col min="9479" max="9479" width="16.33203125" bestFit="1" customWidth="1"/>
    <col min="9480" max="9480" width="5.6640625" bestFit="1" customWidth="1"/>
    <col min="9481" max="9481" width="8" bestFit="1" customWidth="1"/>
    <col min="9482" max="9482" width="6.33203125" bestFit="1" customWidth="1"/>
    <col min="9483" max="9483" width="7" bestFit="1" customWidth="1"/>
    <col min="9484" max="9484" width="6" bestFit="1" customWidth="1"/>
    <col min="9485" max="9486" width="7" bestFit="1" customWidth="1"/>
    <col min="9487" max="9488" width="8" bestFit="1" customWidth="1"/>
    <col min="9489" max="9489" width="6.33203125" bestFit="1" customWidth="1"/>
    <col min="9490" max="9490" width="7" bestFit="1" customWidth="1"/>
    <col min="9491" max="9491" width="5.88671875" bestFit="1" customWidth="1"/>
    <col min="9492" max="9493" width="7" bestFit="1" customWidth="1"/>
    <col min="9494" max="9494" width="5.88671875" bestFit="1" customWidth="1"/>
    <col min="9495" max="9495" width="10.33203125" bestFit="1" customWidth="1"/>
    <col min="9496" max="9496" width="5.109375" bestFit="1" customWidth="1"/>
    <col min="9497" max="9497" width="5.6640625" bestFit="1" customWidth="1"/>
    <col min="9498" max="9498" width="7.6640625" bestFit="1" customWidth="1"/>
    <col min="9499" max="9500" width="6" bestFit="1" customWidth="1"/>
    <col min="9501" max="9501" width="7" bestFit="1" customWidth="1"/>
    <col min="9502" max="9502" width="7.6640625" bestFit="1" customWidth="1"/>
    <col min="9503" max="9503" width="17.44140625" customWidth="1"/>
    <col min="9504" max="9504" width="15" customWidth="1"/>
    <col min="9730" max="9730" width="5.44140625" bestFit="1" customWidth="1"/>
    <col min="9731" max="9731" width="6" bestFit="1" customWidth="1"/>
    <col min="9732" max="9732" width="0" hidden="1" customWidth="1"/>
    <col min="9733" max="9733" width="29.88671875" bestFit="1" customWidth="1"/>
    <col min="9734" max="9734" width="0" hidden="1" customWidth="1"/>
    <col min="9735" max="9735" width="16.33203125" bestFit="1" customWidth="1"/>
    <col min="9736" max="9736" width="5.6640625" bestFit="1" customWidth="1"/>
    <col min="9737" max="9737" width="8" bestFit="1" customWidth="1"/>
    <col min="9738" max="9738" width="6.33203125" bestFit="1" customWidth="1"/>
    <col min="9739" max="9739" width="7" bestFit="1" customWidth="1"/>
    <col min="9740" max="9740" width="6" bestFit="1" customWidth="1"/>
    <col min="9741" max="9742" width="7" bestFit="1" customWidth="1"/>
    <col min="9743" max="9744" width="8" bestFit="1" customWidth="1"/>
    <col min="9745" max="9745" width="6.33203125" bestFit="1" customWidth="1"/>
    <col min="9746" max="9746" width="7" bestFit="1" customWidth="1"/>
    <col min="9747" max="9747" width="5.88671875" bestFit="1" customWidth="1"/>
    <col min="9748" max="9749" width="7" bestFit="1" customWidth="1"/>
    <col min="9750" max="9750" width="5.88671875" bestFit="1" customWidth="1"/>
    <col min="9751" max="9751" width="10.33203125" bestFit="1" customWidth="1"/>
    <col min="9752" max="9752" width="5.109375" bestFit="1" customWidth="1"/>
    <col min="9753" max="9753" width="5.6640625" bestFit="1" customWidth="1"/>
    <col min="9754" max="9754" width="7.6640625" bestFit="1" customWidth="1"/>
    <col min="9755" max="9756" width="6" bestFit="1" customWidth="1"/>
    <col min="9757" max="9757" width="7" bestFit="1" customWidth="1"/>
    <col min="9758" max="9758" width="7.6640625" bestFit="1" customWidth="1"/>
    <col min="9759" max="9759" width="17.44140625" customWidth="1"/>
    <col min="9760" max="9760" width="15" customWidth="1"/>
    <col min="9986" max="9986" width="5.44140625" bestFit="1" customWidth="1"/>
    <col min="9987" max="9987" width="6" bestFit="1" customWidth="1"/>
    <col min="9988" max="9988" width="0" hidden="1" customWidth="1"/>
    <col min="9989" max="9989" width="29.88671875" bestFit="1" customWidth="1"/>
    <col min="9990" max="9990" width="0" hidden="1" customWidth="1"/>
    <col min="9991" max="9991" width="16.33203125" bestFit="1" customWidth="1"/>
    <col min="9992" max="9992" width="5.6640625" bestFit="1" customWidth="1"/>
    <col min="9993" max="9993" width="8" bestFit="1" customWidth="1"/>
    <col min="9994" max="9994" width="6.33203125" bestFit="1" customWidth="1"/>
    <col min="9995" max="9995" width="7" bestFit="1" customWidth="1"/>
    <col min="9996" max="9996" width="6" bestFit="1" customWidth="1"/>
    <col min="9997" max="9998" width="7" bestFit="1" customWidth="1"/>
    <col min="9999" max="10000" width="8" bestFit="1" customWidth="1"/>
    <col min="10001" max="10001" width="6.33203125" bestFit="1" customWidth="1"/>
    <col min="10002" max="10002" width="7" bestFit="1" customWidth="1"/>
    <col min="10003" max="10003" width="5.88671875" bestFit="1" customWidth="1"/>
    <col min="10004" max="10005" width="7" bestFit="1" customWidth="1"/>
    <col min="10006" max="10006" width="5.88671875" bestFit="1" customWidth="1"/>
    <col min="10007" max="10007" width="10.33203125" bestFit="1" customWidth="1"/>
    <col min="10008" max="10008" width="5.109375" bestFit="1" customWidth="1"/>
    <col min="10009" max="10009" width="5.6640625" bestFit="1" customWidth="1"/>
    <col min="10010" max="10010" width="7.6640625" bestFit="1" customWidth="1"/>
    <col min="10011" max="10012" width="6" bestFit="1" customWidth="1"/>
    <col min="10013" max="10013" width="7" bestFit="1" customWidth="1"/>
    <col min="10014" max="10014" width="7.6640625" bestFit="1" customWidth="1"/>
    <col min="10015" max="10015" width="17.44140625" customWidth="1"/>
    <col min="10016" max="10016" width="15" customWidth="1"/>
    <col min="10242" max="10242" width="5.44140625" bestFit="1" customWidth="1"/>
    <col min="10243" max="10243" width="6" bestFit="1" customWidth="1"/>
    <col min="10244" max="10244" width="0" hidden="1" customWidth="1"/>
    <col min="10245" max="10245" width="29.88671875" bestFit="1" customWidth="1"/>
    <col min="10246" max="10246" width="0" hidden="1" customWidth="1"/>
    <col min="10247" max="10247" width="16.33203125" bestFit="1" customWidth="1"/>
    <col min="10248" max="10248" width="5.6640625" bestFit="1" customWidth="1"/>
    <col min="10249" max="10249" width="8" bestFit="1" customWidth="1"/>
    <col min="10250" max="10250" width="6.33203125" bestFit="1" customWidth="1"/>
    <col min="10251" max="10251" width="7" bestFit="1" customWidth="1"/>
    <col min="10252" max="10252" width="6" bestFit="1" customWidth="1"/>
    <col min="10253" max="10254" width="7" bestFit="1" customWidth="1"/>
    <col min="10255" max="10256" width="8" bestFit="1" customWidth="1"/>
    <col min="10257" max="10257" width="6.33203125" bestFit="1" customWidth="1"/>
    <col min="10258" max="10258" width="7" bestFit="1" customWidth="1"/>
    <col min="10259" max="10259" width="5.88671875" bestFit="1" customWidth="1"/>
    <col min="10260" max="10261" width="7" bestFit="1" customWidth="1"/>
    <col min="10262" max="10262" width="5.88671875" bestFit="1" customWidth="1"/>
    <col min="10263" max="10263" width="10.33203125" bestFit="1" customWidth="1"/>
    <col min="10264" max="10264" width="5.109375" bestFit="1" customWidth="1"/>
    <col min="10265" max="10265" width="5.6640625" bestFit="1" customWidth="1"/>
    <col min="10266" max="10266" width="7.6640625" bestFit="1" customWidth="1"/>
    <col min="10267" max="10268" width="6" bestFit="1" customWidth="1"/>
    <col min="10269" max="10269" width="7" bestFit="1" customWidth="1"/>
    <col min="10270" max="10270" width="7.6640625" bestFit="1" customWidth="1"/>
    <col min="10271" max="10271" width="17.44140625" customWidth="1"/>
    <col min="10272" max="10272" width="15" customWidth="1"/>
    <col min="10498" max="10498" width="5.44140625" bestFit="1" customWidth="1"/>
    <col min="10499" max="10499" width="6" bestFit="1" customWidth="1"/>
    <col min="10500" max="10500" width="0" hidden="1" customWidth="1"/>
    <col min="10501" max="10501" width="29.88671875" bestFit="1" customWidth="1"/>
    <col min="10502" max="10502" width="0" hidden="1" customWidth="1"/>
    <col min="10503" max="10503" width="16.33203125" bestFit="1" customWidth="1"/>
    <col min="10504" max="10504" width="5.6640625" bestFit="1" customWidth="1"/>
    <col min="10505" max="10505" width="8" bestFit="1" customWidth="1"/>
    <col min="10506" max="10506" width="6.33203125" bestFit="1" customWidth="1"/>
    <col min="10507" max="10507" width="7" bestFit="1" customWidth="1"/>
    <col min="10508" max="10508" width="6" bestFit="1" customWidth="1"/>
    <col min="10509" max="10510" width="7" bestFit="1" customWidth="1"/>
    <col min="10511" max="10512" width="8" bestFit="1" customWidth="1"/>
    <col min="10513" max="10513" width="6.33203125" bestFit="1" customWidth="1"/>
    <col min="10514" max="10514" width="7" bestFit="1" customWidth="1"/>
    <col min="10515" max="10515" width="5.88671875" bestFit="1" customWidth="1"/>
    <col min="10516" max="10517" width="7" bestFit="1" customWidth="1"/>
    <col min="10518" max="10518" width="5.88671875" bestFit="1" customWidth="1"/>
    <col min="10519" max="10519" width="10.33203125" bestFit="1" customWidth="1"/>
    <col min="10520" max="10520" width="5.109375" bestFit="1" customWidth="1"/>
    <col min="10521" max="10521" width="5.6640625" bestFit="1" customWidth="1"/>
    <col min="10522" max="10522" width="7.6640625" bestFit="1" customWidth="1"/>
    <col min="10523" max="10524" width="6" bestFit="1" customWidth="1"/>
    <col min="10525" max="10525" width="7" bestFit="1" customWidth="1"/>
    <col min="10526" max="10526" width="7.6640625" bestFit="1" customWidth="1"/>
    <col min="10527" max="10527" width="17.44140625" customWidth="1"/>
    <col min="10528" max="10528" width="15" customWidth="1"/>
    <col min="10754" max="10754" width="5.44140625" bestFit="1" customWidth="1"/>
    <col min="10755" max="10755" width="6" bestFit="1" customWidth="1"/>
    <col min="10756" max="10756" width="0" hidden="1" customWidth="1"/>
    <col min="10757" max="10757" width="29.88671875" bestFit="1" customWidth="1"/>
    <col min="10758" max="10758" width="0" hidden="1" customWidth="1"/>
    <col min="10759" max="10759" width="16.33203125" bestFit="1" customWidth="1"/>
    <col min="10760" max="10760" width="5.6640625" bestFit="1" customWidth="1"/>
    <col min="10761" max="10761" width="8" bestFit="1" customWidth="1"/>
    <col min="10762" max="10762" width="6.33203125" bestFit="1" customWidth="1"/>
    <col min="10763" max="10763" width="7" bestFit="1" customWidth="1"/>
    <col min="10764" max="10764" width="6" bestFit="1" customWidth="1"/>
    <col min="10765" max="10766" width="7" bestFit="1" customWidth="1"/>
    <col min="10767" max="10768" width="8" bestFit="1" customWidth="1"/>
    <col min="10769" max="10769" width="6.33203125" bestFit="1" customWidth="1"/>
    <col min="10770" max="10770" width="7" bestFit="1" customWidth="1"/>
    <col min="10771" max="10771" width="5.88671875" bestFit="1" customWidth="1"/>
    <col min="10772" max="10773" width="7" bestFit="1" customWidth="1"/>
    <col min="10774" max="10774" width="5.88671875" bestFit="1" customWidth="1"/>
    <col min="10775" max="10775" width="10.33203125" bestFit="1" customWidth="1"/>
    <col min="10776" max="10776" width="5.109375" bestFit="1" customWidth="1"/>
    <col min="10777" max="10777" width="5.6640625" bestFit="1" customWidth="1"/>
    <col min="10778" max="10778" width="7.6640625" bestFit="1" customWidth="1"/>
    <col min="10779" max="10780" width="6" bestFit="1" customWidth="1"/>
    <col min="10781" max="10781" width="7" bestFit="1" customWidth="1"/>
    <col min="10782" max="10782" width="7.6640625" bestFit="1" customWidth="1"/>
    <col min="10783" max="10783" width="17.44140625" customWidth="1"/>
    <col min="10784" max="10784" width="15" customWidth="1"/>
    <col min="11010" max="11010" width="5.44140625" bestFit="1" customWidth="1"/>
    <col min="11011" max="11011" width="6" bestFit="1" customWidth="1"/>
    <col min="11012" max="11012" width="0" hidden="1" customWidth="1"/>
    <col min="11013" max="11013" width="29.88671875" bestFit="1" customWidth="1"/>
    <col min="11014" max="11014" width="0" hidden="1" customWidth="1"/>
    <col min="11015" max="11015" width="16.33203125" bestFit="1" customWidth="1"/>
    <col min="11016" max="11016" width="5.6640625" bestFit="1" customWidth="1"/>
    <col min="11017" max="11017" width="8" bestFit="1" customWidth="1"/>
    <col min="11018" max="11018" width="6.33203125" bestFit="1" customWidth="1"/>
    <col min="11019" max="11019" width="7" bestFit="1" customWidth="1"/>
    <col min="11020" max="11020" width="6" bestFit="1" customWidth="1"/>
    <col min="11021" max="11022" width="7" bestFit="1" customWidth="1"/>
    <col min="11023" max="11024" width="8" bestFit="1" customWidth="1"/>
    <col min="11025" max="11025" width="6.33203125" bestFit="1" customWidth="1"/>
    <col min="11026" max="11026" width="7" bestFit="1" customWidth="1"/>
    <col min="11027" max="11027" width="5.88671875" bestFit="1" customWidth="1"/>
    <col min="11028" max="11029" width="7" bestFit="1" customWidth="1"/>
    <col min="11030" max="11030" width="5.88671875" bestFit="1" customWidth="1"/>
    <col min="11031" max="11031" width="10.33203125" bestFit="1" customWidth="1"/>
    <col min="11032" max="11032" width="5.109375" bestFit="1" customWidth="1"/>
    <col min="11033" max="11033" width="5.6640625" bestFit="1" customWidth="1"/>
    <col min="11034" max="11034" width="7.6640625" bestFit="1" customWidth="1"/>
    <col min="11035" max="11036" width="6" bestFit="1" customWidth="1"/>
    <col min="11037" max="11037" width="7" bestFit="1" customWidth="1"/>
    <col min="11038" max="11038" width="7.6640625" bestFit="1" customWidth="1"/>
    <col min="11039" max="11039" width="17.44140625" customWidth="1"/>
    <col min="11040" max="11040" width="15" customWidth="1"/>
    <col min="11266" max="11266" width="5.44140625" bestFit="1" customWidth="1"/>
    <col min="11267" max="11267" width="6" bestFit="1" customWidth="1"/>
    <col min="11268" max="11268" width="0" hidden="1" customWidth="1"/>
    <col min="11269" max="11269" width="29.88671875" bestFit="1" customWidth="1"/>
    <col min="11270" max="11270" width="0" hidden="1" customWidth="1"/>
    <col min="11271" max="11271" width="16.33203125" bestFit="1" customWidth="1"/>
    <col min="11272" max="11272" width="5.6640625" bestFit="1" customWidth="1"/>
    <col min="11273" max="11273" width="8" bestFit="1" customWidth="1"/>
    <col min="11274" max="11274" width="6.33203125" bestFit="1" customWidth="1"/>
    <col min="11275" max="11275" width="7" bestFit="1" customWidth="1"/>
    <col min="11276" max="11276" width="6" bestFit="1" customWidth="1"/>
    <col min="11277" max="11278" width="7" bestFit="1" customWidth="1"/>
    <col min="11279" max="11280" width="8" bestFit="1" customWidth="1"/>
    <col min="11281" max="11281" width="6.33203125" bestFit="1" customWidth="1"/>
    <col min="11282" max="11282" width="7" bestFit="1" customWidth="1"/>
    <col min="11283" max="11283" width="5.88671875" bestFit="1" customWidth="1"/>
    <col min="11284" max="11285" width="7" bestFit="1" customWidth="1"/>
    <col min="11286" max="11286" width="5.88671875" bestFit="1" customWidth="1"/>
    <col min="11287" max="11287" width="10.33203125" bestFit="1" customWidth="1"/>
    <col min="11288" max="11288" width="5.109375" bestFit="1" customWidth="1"/>
    <col min="11289" max="11289" width="5.6640625" bestFit="1" customWidth="1"/>
    <col min="11290" max="11290" width="7.6640625" bestFit="1" customWidth="1"/>
    <col min="11291" max="11292" width="6" bestFit="1" customWidth="1"/>
    <col min="11293" max="11293" width="7" bestFit="1" customWidth="1"/>
    <col min="11294" max="11294" width="7.6640625" bestFit="1" customWidth="1"/>
    <col min="11295" max="11295" width="17.44140625" customWidth="1"/>
    <col min="11296" max="11296" width="15" customWidth="1"/>
    <col min="11522" max="11522" width="5.44140625" bestFit="1" customWidth="1"/>
    <col min="11523" max="11523" width="6" bestFit="1" customWidth="1"/>
    <col min="11524" max="11524" width="0" hidden="1" customWidth="1"/>
    <col min="11525" max="11525" width="29.88671875" bestFit="1" customWidth="1"/>
    <col min="11526" max="11526" width="0" hidden="1" customWidth="1"/>
    <col min="11527" max="11527" width="16.33203125" bestFit="1" customWidth="1"/>
    <col min="11528" max="11528" width="5.6640625" bestFit="1" customWidth="1"/>
    <col min="11529" max="11529" width="8" bestFit="1" customWidth="1"/>
    <col min="11530" max="11530" width="6.33203125" bestFit="1" customWidth="1"/>
    <col min="11531" max="11531" width="7" bestFit="1" customWidth="1"/>
    <col min="11532" max="11532" width="6" bestFit="1" customWidth="1"/>
    <col min="11533" max="11534" width="7" bestFit="1" customWidth="1"/>
    <col min="11535" max="11536" width="8" bestFit="1" customWidth="1"/>
    <col min="11537" max="11537" width="6.33203125" bestFit="1" customWidth="1"/>
    <col min="11538" max="11538" width="7" bestFit="1" customWidth="1"/>
    <col min="11539" max="11539" width="5.88671875" bestFit="1" customWidth="1"/>
    <col min="11540" max="11541" width="7" bestFit="1" customWidth="1"/>
    <col min="11542" max="11542" width="5.88671875" bestFit="1" customWidth="1"/>
    <col min="11543" max="11543" width="10.33203125" bestFit="1" customWidth="1"/>
    <col min="11544" max="11544" width="5.109375" bestFit="1" customWidth="1"/>
    <col min="11545" max="11545" width="5.6640625" bestFit="1" customWidth="1"/>
    <col min="11546" max="11546" width="7.6640625" bestFit="1" customWidth="1"/>
    <col min="11547" max="11548" width="6" bestFit="1" customWidth="1"/>
    <col min="11549" max="11549" width="7" bestFit="1" customWidth="1"/>
    <col min="11550" max="11550" width="7.6640625" bestFit="1" customWidth="1"/>
    <col min="11551" max="11551" width="17.44140625" customWidth="1"/>
    <col min="11552" max="11552" width="15" customWidth="1"/>
    <col min="11778" max="11778" width="5.44140625" bestFit="1" customWidth="1"/>
    <col min="11779" max="11779" width="6" bestFit="1" customWidth="1"/>
    <col min="11780" max="11780" width="0" hidden="1" customWidth="1"/>
    <col min="11781" max="11781" width="29.88671875" bestFit="1" customWidth="1"/>
    <col min="11782" max="11782" width="0" hidden="1" customWidth="1"/>
    <col min="11783" max="11783" width="16.33203125" bestFit="1" customWidth="1"/>
    <col min="11784" max="11784" width="5.6640625" bestFit="1" customWidth="1"/>
    <col min="11785" max="11785" width="8" bestFit="1" customWidth="1"/>
    <col min="11786" max="11786" width="6.33203125" bestFit="1" customWidth="1"/>
    <col min="11787" max="11787" width="7" bestFit="1" customWidth="1"/>
    <col min="11788" max="11788" width="6" bestFit="1" customWidth="1"/>
    <col min="11789" max="11790" width="7" bestFit="1" customWidth="1"/>
    <col min="11791" max="11792" width="8" bestFit="1" customWidth="1"/>
    <col min="11793" max="11793" width="6.33203125" bestFit="1" customWidth="1"/>
    <col min="11794" max="11794" width="7" bestFit="1" customWidth="1"/>
    <col min="11795" max="11795" width="5.88671875" bestFit="1" customWidth="1"/>
    <col min="11796" max="11797" width="7" bestFit="1" customWidth="1"/>
    <col min="11798" max="11798" width="5.88671875" bestFit="1" customWidth="1"/>
    <col min="11799" max="11799" width="10.33203125" bestFit="1" customWidth="1"/>
    <col min="11800" max="11800" width="5.109375" bestFit="1" customWidth="1"/>
    <col min="11801" max="11801" width="5.6640625" bestFit="1" customWidth="1"/>
    <col min="11802" max="11802" width="7.6640625" bestFit="1" customWidth="1"/>
    <col min="11803" max="11804" width="6" bestFit="1" customWidth="1"/>
    <col min="11805" max="11805" width="7" bestFit="1" customWidth="1"/>
    <col min="11806" max="11806" width="7.6640625" bestFit="1" customWidth="1"/>
    <col min="11807" max="11807" width="17.44140625" customWidth="1"/>
    <col min="11808" max="11808" width="15" customWidth="1"/>
    <col min="12034" max="12034" width="5.44140625" bestFit="1" customWidth="1"/>
    <col min="12035" max="12035" width="6" bestFit="1" customWidth="1"/>
    <col min="12036" max="12036" width="0" hidden="1" customWidth="1"/>
    <col min="12037" max="12037" width="29.88671875" bestFit="1" customWidth="1"/>
    <col min="12038" max="12038" width="0" hidden="1" customWidth="1"/>
    <col min="12039" max="12039" width="16.33203125" bestFit="1" customWidth="1"/>
    <col min="12040" max="12040" width="5.6640625" bestFit="1" customWidth="1"/>
    <col min="12041" max="12041" width="8" bestFit="1" customWidth="1"/>
    <col min="12042" max="12042" width="6.33203125" bestFit="1" customWidth="1"/>
    <col min="12043" max="12043" width="7" bestFit="1" customWidth="1"/>
    <col min="12044" max="12044" width="6" bestFit="1" customWidth="1"/>
    <col min="12045" max="12046" width="7" bestFit="1" customWidth="1"/>
    <col min="12047" max="12048" width="8" bestFit="1" customWidth="1"/>
    <col min="12049" max="12049" width="6.33203125" bestFit="1" customWidth="1"/>
    <col min="12050" max="12050" width="7" bestFit="1" customWidth="1"/>
    <col min="12051" max="12051" width="5.88671875" bestFit="1" customWidth="1"/>
    <col min="12052" max="12053" width="7" bestFit="1" customWidth="1"/>
    <col min="12054" max="12054" width="5.88671875" bestFit="1" customWidth="1"/>
    <col min="12055" max="12055" width="10.33203125" bestFit="1" customWidth="1"/>
    <col min="12056" max="12056" width="5.109375" bestFit="1" customWidth="1"/>
    <col min="12057" max="12057" width="5.6640625" bestFit="1" customWidth="1"/>
    <col min="12058" max="12058" width="7.6640625" bestFit="1" customWidth="1"/>
    <col min="12059" max="12060" width="6" bestFit="1" customWidth="1"/>
    <col min="12061" max="12061" width="7" bestFit="1" customWidth="1"/>
    <col min="12062" max="12062" width="7.6640625" bestFit="1" customWidth="1"/>
    <col min="12063" max="12063" width="17.44140625" customWidth="1"/>
    <col min="12064" max="12064" width="15" customWidth="1"/>
    <col min="12290" max="12290" width="5.44140625" bestFit="1" customWidth="1"/>
    <col min="12291" max="12291" width="6" bestFit="1" customWidth="1"/>
    <col min="12292" max="12292" width="0" hidden="1" customWidth="1"/>
    <col min="12293" max="12293" width="29.88671875" bestFit="1" customWidth="1"/>
    <col min="12294" max="12294" width="0" hidden="1" customWidth="1"/>
    <col min="12295" max="12295" width="16.33203125" bestFit="1" customWidth="1"/>
    <col min="12296" max="12296" width="5.6640625" bestFit="1" customWidth="1"/>
    <col min="12297" max="12297" width="8" bestFit="1" customWidth="1"/>
    <col min="12298" max="12298" width="6.33203125" bestFit="1" customWidth="1"/>
    <col min="12299" max="12299" width="7" bestFit="1" customWidth="1"/>
    <col min="12300" max="12300" width="6" bestFit="1" customWidth="1"/>
    <col min="12301" max="12302" width="7" bestFit="1" customWidth="1"/>
    <col min="12303" max="12304" width="8" bestFit="1" customWidth="1"/>
    <col min="12305" max="12305" width="6.33203125" bestFit="1" customWidth="1"/>
    <col min="12306" max="12306" width="7" bestFit="1" customWidth="1"/>
    <col min="12307" max="12307" width="5.88671875" bestFit="1" customWidth="1"/>
    <col min="12308" max="12309" width="7" bestFit="1" customWidth="1"/>
    <col min="12310" max="12310" width="5.88671875" bestFit="1" customWidth="1"/>
    <col min="12311" max="12311" width="10.33203125" bestFit="1" customWidth="1"/>
    <col min="12312" max="12312" width="5.109375" bestFit="1" customWidth="1"/>
    <col min="12313" max="12313" width="5.6640625" bestFit="1" customWidth="1"/>
    <col min="12314" max="12314" width="7.6640625" bestFit="1" customWidth="1"/>
    <col min="12315" max="12316" width="6" bestFit="1" customWidth="1"/>
    <col min="12317" max="12317" width="7" bestFit="1" customWidth="1"/>
    <col min="12318" max="12318" width="7.6640625" bestFit="1" customWidth="1"/>
    <col min="12319" max="12319" width="17.44140625" customWidth="1"/>
    <col min="12320" max="12320" width="15" customWidth="1"/>
    <col min="12546" max="12546" width="5.44140625" bestFit="1" customWidth="1"/>
    <col min="12547" max="12547" width="6" bestFit="1" customWidth="1"/>
    <col min="12548" max="12548" width="0" hidden="1" customWidth="1"/>
    <col min="12549" max="12549" width="29.88671875" bestFit="1" customWidth="1"/>
    <col min="12550" max="12550" width="0" hidden="1" customWidth="1"/>
    <col min="12551" max="12551" width="16.33203125" bestFit="1" customWidth="1"/>
    <col min="12552" max="12552" width="5.6640625" bestFit="1" customWidth="1"/>
    <col min="12553" max="12553" width="8" bestFit="1" customWidth="1"/>
    <col min="12554" max="12554" width="6.33203125" bestFit="1" customWidth="1"/>
    <col min="12555" max="12555" width="7" bestFit="1" customWidth="1"/>
    <col min="12556" max="12556" width="6" bestFit="1" customWidth="1"/>
    <col min="12557" max="12558" width="7" bestFit="1" customWidth="1"/>
    <col min="12559" max="12560" width="8" bestFit="1" customWidth="1"/>
    <col min="12561" max="12561" width="6.33203125" bestFit="1" customWidth="1"/>
    <col min="12562" max="12562" width="7" bestFit="1" customWidth="1"/>
    <col min="12563" max="12563" width="5.88671875" bestFit="1" customWidth="1"/>
    <col min="12564" max="12565" width="7" bestFit="1" customWidth="1"/>
    <col min="12566" max="12566" width="5.88671875" bestFit="1" customWidth="1"/>
    <col min="12567" max="12567" width="10.33203125" bestFit="1" customWidth="1"/>
    <col min="12568" max="12568" width="5.109375" bestFit="1" customWidth="1"/>
    <col min="12569" max="12569" width="5.6640625" bestFit="1" customWidth="1"/>
    <col min="12570" max="12570" width="7.6640625" bestFit="1" customWidth="1"/>
    <col min="12571" max="12572" width="6" bestFit="1" customWidth="1"/>
    <col min="12573" max="12573" width="7" bestFit="1" customWidth="1"/>
    <col min="12574" max="12574" width="7.6640625" bestFit="1" customWidth="1"/>
    <col min="12575" max="12575" width="17.44140625" customWidth="1"/>
    <col min="12576" max="12576" width="15" customWidth="1"/>
    <col min="12802" max="12802" width="5.44140625" bestFit="1" customWidth="1"/>
    <col min="12803" max="12803" width="6" bestFit="1" customWidth="1"/>
    <col min="12804" max="12804" width="0" hidden="1" customWidth="1"/>
    <col min="12805" max="12805" width="29.88671875" bestFit="1" customWidth="1"/>
    <col min="12806" max="12806" width="0" hidden="1" customWidth="1"/>
    <col min="12807" max="12807" width="16.33203125" bestFit="1" customWidth="1"/>
    <col min="12808" max="12808" width="5.6640625" bestFit="1" customWidth="1"/>
    <col min="12809" max="12809" width="8" bestFit="1" customWidth="1"/>
    <col min="12810" max="12810" width="6.33203125" bestFit="1" customWidth="1"/>
    <col min="12811" max="12811" width="7" bestFit="1" customWidth="1"/>
    <col min="12812" max="12812" width="6" bestFit="1" customWidth="1"/>
    <col min="12813" max="12814" width="7" bestFit="1" customWidth="1"/>
    <col min="12815" max="12816" width="8" bestFit="1" customWidth="1"/>
    <col min="12817" max="12817" width="6.33203125" bestFit="1" customWidth="1"/>
    <col min="12818" max="12818" width="7" bestFit="1" customWidth="1"/>
    <col min="12819" max="12819" width="5.88671875" bestFit="1" customWidth="1"/>
    <col min="12820" max="12821" width="7" bestFit="1" customWidth="1"/>
    <col min="12822" max="12822" width="5.88671875" bestFit="1" customWidth="1"/>
    <col min="12823" max="12823" width="10.33203125" bestFit="1" customWidth="1"/>
    <col min="12824" max="12824" width="5.109375" bestFit="1" customWidth="1"/>
    <col min="12825" max="12825" width="5.6640625" bestFit="1" customWidth="1"/>
    <col min="12826" max="12826" width="7.6640625" bestFit="1" customWidth="1"/>
    <col min="12827" max="12828" width="6" bestFit="1" customWidth="1"/>
    <col min="12829" max="12829" width="7" bestFit="1" customWidth="1"/>
    <col min="12830" max="12830" width="7.6640625" bestFit="1" customWidth="1"/>
    <col min="12831" max="12831" width="17.44140625" customWidth="1"/>
    <col min="12832" max="12832" width="15" customWidth="1"/>
    <col min="13058" max="13058" width="5.44140625" bestFit="1" customWidth="1"/>
    <col min="13059" max="13059" width="6" bestFit="1" customWidth="1"/>
    <col min="13060" max="13060" width="0" hidden="1" customWidth="1"/>
    <col min="13061" max="13061" width="29.88671875" bestFit="1" customWidth="1"/>
    <col min="13062" max="13062" width="0" hidden="1" customWidth="1"/>
    <col min="13063" max="13063" width="16.33203125" bestFit="1" customWidth="1"/>
    <col min="13064" max="13064" width="5.6640625" bestFit="1" customWidth="1"/>
    <col min="13065" max="13065" width="8" bestFit="1" customWidth="1"/>
    <col min="13066" max="13066" width="6.33203125" bestFit="1" customWidth="1"/>
    <col min="13067" max="13067" width="7" bestFit="1" customWidth="1"/>
    <col min="13068" max="13068" width="6" bestFit="1" customWidth="1"/>
    <col min="13069" max="13070" width="7" bestFit="1" customWidth="1"/>
    <col min="13071" max="13072" width="8" bestFit="1" customWidth="1"/>
    <col min="13073" max="13073" width="6.33203125" bestFit="1" customWidth="1"/>
    <col min="13074" max="13074" width="7" bestFit="1" customWidth="1"/>
    <col min="13075" max="13075" width="5.88671875" bestFit="1" customWidth="1"/>
    <col min="13076" max="13077" width="7" bestFit="1" customWidth="1"/>
    <col min="13078" max="13078" width="5.88671875" bestFit="1" customWidth="1"/>
    <col min="13079" max="13079" width="10.33203125" bestFit="1" customWidth="1"/>
    <col min="13080" max="13080" width="5.109375" bestFit="1" customWidth="1"/>
    <col min="13081" max="13081" width="5.6640625" bestFit="1" customWidth="1"/>
    <col min="13082" max="13082" width="7.6640625" bestFit="1" customWidth="1"/>
    <col min="13083" max="13084" width="6" bestFit="1" customWidth="1"/>
    <col min="13085" max="13085" width="7" bestFit="1" customWidth="1"/>
    <col min="13086" max="13086" width="7.6640625" bestFit="1" customWidth="1"/>
    <col min="13087" max="13087" width="17.44140625" customWidth="1"/>
    <col min="13088" max="13088" width="15" customWidth="1"/>
    <col min="13314" max="13314" width="5.44140625" bestFit="1" customWidth="1"/>
    <col min="13315" max="13315" width="6" bestFit="1" customWidth="1"/>
    <col min="13316" max="13316" width="0" hidden="1" customWidth="1"/>
    <col min="13317" max="13317" width="29.88671875" bestFit="1" customWidth="1"/>
    <col min="13318" max="13318" width="0" hidden="1" customWidth="1"/>
    <col min="13319" max="13319" width="16.33203125" bestFit="1" customWidth="1"/>
    <col min="13320" max="13320" width="5.6640625" bestFit="1" customWidth="1"/>
    <col min="13321" max="13321" width="8" bestFit="1" customWidth="1"/>
    <col min="13322" max="13322" width="6.33203125" bestFit="1" customWidth="1"/>
    <col min="13323" max="13323" width="7" bestFit="1" customWidth="1"/>
    <col min="13324" max="13324" width="6" bestFit="1" customWidth="1"/>
    <col min="13325" max="13326" width="7" bestFit="1" customWidth="1"/>
    <col min="13327" max="13328" width="8" bestFit="1" customWidth="1"/>
    <col min="13329" max="13329" width="6.33203125" bestFit="1" customWidth="1"/>
    <col min="13330" max="13330" width="7" bestFit="1" customWidth="1"/>
    <col min="13331" max="13331" width="5.88671875" bestFit="1" customWidth="1"/>
    <col min="13332" max="13333" width="7" bestFit="1" customWidth="1"/>
    <col min="13334" max="13334" width="5.88671875" bestFit="1" customWidth="1"/>
    <col min="13335" max="13335" width="10.33203125" bestFit="1" customWidth="1"/>
    <col min="13336" max="13336" width="5.109375" bestFit="1" customWidth="1"/>
    <col min="13337" max="13337" width="5.6640625" bestFit="1" customWidth="1"/>
    <col min="13338" max="13338" width="7.6640625" bestFit="1" customWidth="1"/>
    <col min="13339" max="13340" width="6" bestFit="1" customWidth="1"/>
    <col min="13341" max="13341" width="7" bestFit="1" customWidth="1"/>
    <col min="13342" max="13342" width="7.6640625" bestFit="1" customWidth="1"/>
    <col min="13343" max="13343" width="17.44140625" customWidth="1"/>
    <col min="13344" max="13344" width="15" customWidth="1"/>
    <col min="13570" max="13570" width="5.44140625" bestFit="1" customWidth="1"/>
    <col min="13571" max="13571" width="6" bestFit="1" customWidth="1"/>
    <col min="13572" max="13572" width="0" hidden="1" customWidth="1"/>
    <col min="13573" max="13573" width="29.88671875" bestFit="1" customWidth="1"/>
    <col min="13574" max="13574" width="0" hidden="1" customWidth="1"/>
    <col min="13575" max="13575" width="16.33203125" bestFit="1" customWidth="1"/>
    <col min="13576" max="13576" width="5.6640625" bestFit="1" customWidth="1"/>
    <col min="13577" max="13577" width="8" bestFit="1" customWidth="1"/>
    <col min="13578" max="13578" width="6.33203125" bestFit="1" customWidth="1"/>
    <col min="13579" max="13579" width="7" bestFit="1" customWidth="1"/>
    <col min="13580" max="13580" width="6" bestFit="1" customWidth="1"/>
    <col min="13581" max="13582" width="7" bestFit="1" customWidth="1"/>
    <col min="13583" max="13584" width="8" bestFit="1" customWidth="1"/>
    <col min="13585" max="13585" width="6.33203125" bestFit="1" customWidth="1"/>
    <col min="13586" max="13586" width="7" bestFit="1" customWidth="1"/>
    <col min="13587" max="13587" width="5.88671875" bestFit="1" customWidth="1"/>
    <col min="13588" max="13589" width="7" bestFit="1" customWidth="1"/>
    <col min="13590" max="13590" width="5.88671875" bestFit="1" customWidth="1"/>
    <col min="13591" max="13591" width="10.33203125" bestFit="1" customWidth="1"/>
    <col min="13592" max="13592" width="5.109375" bestFit="1" customWidth="1"/>
    <col min="13593" max="13593" width="5.6640625" bestFit="1" customWidth="1"/>
    <col min="13594" max="13594" width="7.6640625" bestFit="1" customWidth="1"/>
    <col min="13595" max="13596" width="6" bestFit="1" customWidth="1"/>
    <col min="13597" max="13597" width="7" bestFit="1" customWidth="1"/>
    <col min="13598" max="13598" width="7.6640625" bestFit="1" customWidth="1"/>
    <col min="13599" max="13599" width="17.44140625" customWidth="1"/>
    <col min="13600" max="13600" width="15" customWidth="1"/>
    <col min="13826" max="13826" width="5.44140625" bestFit="1" customWidth="1"/>
    <col min="13827" max="13827" width="6" bestFit="1" customWidth="1"/>
    <col min="13828" max="13828" width="0" hidden="1" customWidth="1"/>
    <col min="13829" max="13829" width="29.88671875" bestFit="1" customWidth="1"/>
    <col min="13830" max="13830" width="0" hidden="1" customWidth="1"/>
    <col min="13831" max="13831" width="16.33203125" bestFit="1" customWidth="1"/>
    <col min="13832" max="13832" width="5.6640625" bestFit="1" customWidth="1"/>
    <col min="13833" max="13833" width="8" bestFit="1" customWidth="1"/>
    <col min="13834" max="13834" width="6.33203125" bestFit="1" customWidth="1"/>
    <col min="13835" max="13835" width="7" bestFit="1" customWidth="1"/>
    <col min="13836" max="13836" width="6" bestFit="1" customWidth="1"/>
    <col min="13837" max="13838" width="7" bestFit="1" customWidth="1"/>
    <col min="13839" max="13840" width="8" bestFit="1" customWidth="1"/>
    <col min="13841" max="13841" width="6.33203125" bestFit="1" customWidth="1"/>
    <col min="13842" max="13842" width="7" bestFit="1" customWidth="1"/>
    <col min="13843" max="13843" width="5.88671875" bestFit="1" customWidth="1"/>
    <col min="13844" max="13845" width="7" bestFit="1" customWidth="1"/>
    <col min="13846" max="13846" width="5.88671875" bestFit="1" customWidth="1"/>
    <col min="13847" max="13847" width="10.33203125" bestFit="1" customWidth="1"/>
    <col min="13848" max="13848" width="5.109375" bestFit="1" customWidth="1"/>
    <col min="13849" max="13849" width="5.6640625" bestFit="1" customWidth="1"/>
    <col min="13850" max="13850" width="7.6640625" bestFit="1" customWidth="1"/>
    <col min="13851" max="13852" width="6" bestFit="1" customWidth="1"/>
    <col min="13853" max="13853" width="7" bestFit="1" customWidth="1"/>
    <col min="13854" max="13854" width="7.6640625" bestFit="1" customWidth="1"/>
    <col min="13855" max="13855" width="17.44140625" customWidth="1"/>
    <col min="13856" max="13856" width="15" customWidth="1"/>
    <col min="14082" max="14082" width="5.44140625" bestFit="1" customWidth="1"/>
    <col min="14083" max="14083" width="6" bestFit="1" customWidth="1"/>
    <col min="14084" max="14084" width="0" hidden="1" customWidth="1"/>
    <col min="14085" max="14085" width="29.88671875" bestFit="1" customWidth="1"/>
    <col min="14086" max="14086" width="0" hidden="1" customWidth="1"/>
    <col min="14087" max="14087" width="16.33203125" bestFit="1" customWidth="1"/>
    <col min="14088" max="14088" width="5.6640625" bestFit="1" customWidth="1"/>
    <col min="14089" max="14089" width="8" bestFit="1" customWidth="1"/>
    <col min="14090" max="14090" width="6.33203125" bestFit="1" customWidth="1"/>
    <col min="14091" max="14091" width="7" bestFit="1" customWidth="1"/>
    <col min="14092" max="14092" width="6" bestFit="1" customWidth="1"/>
    <col min="14093" max="14094" width="7" bestFit="1" customWidth="1"/>
    <col min="14095" max="14096" width="8" bestFit="1" customWidth="1"/>
    <col min="14097" max="14097" width="6.33203125" bestFit="1" customWidth="1"/>
    <col min="14098" max="14098" width="7" bestFit="1" customWidth="1"/>
    <col min="14099" max="14099" width="5.88671875" bestFit="1" customWidth="1"/>
    <col min="14100" max="14101" width="7" bestFit="1" customWidth="1"/>
    <col min="14102" max="14102" width="5.88671875" bestFit="1" customWidth="1"/>
    <col min="14103" max="14103" width="10.33203125" bestFit="1" customWidth="1"/>
    <col min="14104" max="14104" width="5.109375" bestFit="1" customWidth="1"/>
    <col min="14105" max="14105" width="5.6640625" bestFit="1" customWidth="1"/>
    <col min="14106" max="14106" width="7.6640625" bestFit="1" customWidth="1"/>
    <col min="14107" max="14108" width="6" bestFit="1" customWidth="1"/>
    <col min="14109" max="14109" width="7" bestFit="1" customWidth="1"/>
    <col min="14110" max="14110" width="7.6640625" bestFit="1" customWidth="1"/>
    <col min="14111" max="14111" width="17.44140625" customWidth="1"/>
    <col min="14112" max="14112" width="15" customWidth="1"/>
    <col min="14338" max="14338" width="5.44140625" bestFit="1" customWidth="1"/>
    <col min="14339" max="14339" width="6" bestFit="1" customWidth="1"/>
    <col min="14340" max="14340" width="0" hidden="1" customWidth="1"/>
    <col min="14341" max="14341" width="29.88671875" bestFit="1" customWidth="1"/>
    <col min="14342" max="14342" width="0" hidden="1" customWidth="1"/>
    <col min="14343" max="14343" width="16.33203125" bestFit="1" customWidth="1"/>
    <col min="14344" max="14344" width="5.6640625" bestFit="1" customWidth="1"/>
    <col min="14345" max="14345" width="8" bestFit="1" customWidth="1"/>
    <col min="14346" max="14346" width="6.33203125" bestFit="1" customWidth="1"/>
    <col min="14347" max="14347" width="7" bestFit="1" customWidth="1"/>
    <col min="14348" max="14348" width="6" bestFit="1" customWidth="1"/>
    <col min="14349" max="14350" width="7" bestFit="1" customWidth="1"/>
    <col min="14351" max="14352" width="8" bestFit="1" customWidth="1"/>
    <col min="14353" max="14353" width="6.33203125" bestFit="1" customWidth="1"/>
    <col min="14354" max="14354" width="7" bestFit="1" customWidth="1"/>
    <col min="14355" max="14355" width="5.88671875" bestFit="1" customWidth="1"/>
    <col min="14356" max="14357" width="7" bestFit="1" customWidth="1"/>
    <col min="14358" max="14358" width="5.88671875" bestFit="1" customWidth="1"/>
    <col min="14359" max="14359" width="10.33203125" bestFit="1" customWidth="1"/>
    <col min="14360" max="14360" width="5.109375" bestFit="1" customWidth="1"/>
    <col min="14361" max="14361" width="5.6640625" bestFit="1" customWidth="1"/>
    <col min="14362" max="14362" width="7.6640625" bestFit="1" customWidth="1"/>
    <col min="14363" max="14364" width="6" bestFit="1" customWidth="1"/>
    <col min="14365" max="14365" width="7" bestFit="1" customWidth="1"/>
    <col min="14366" max="14366" width="7.6640625" bestFit="1" customWidth="1"/>
    <col min="14367" max="14367" width="17.44140625" customWidth="1"/>
    <col min="14368" max="14368" width="15" customWidth="1"/>
    <col min="14594" max="14594" width="5.44140625" bestFit="1" customWidth="1"/>
    <col min="14595" max="14595" width="6" bestFit="1" customWidth="1"/>
    <col min="14596" max="14596" width="0" hidden="1" customWidth="1"/>
    <col min="14597" max="14597" width="29.88671875" bestFit="1" customWidth="1"/>
    <col min="14598" max="14598" width="0" hidden="1" customWidth="1"/>
    <col min="14599" max="14599" width="16.33203125" bestFit="1" customWidth="1"/>
    <col min="14600" max="14600" width="5.6640625" bestFit="1" customWidth="1"/>
    <col min="14601" max="14601" width="8" bestFit="1" customWidth="1"/>
    <col min="14602" max="14602" width="6.33203125" bestFit="1" customWidth="1"/>
    <col min="14603" max="14603" width="7" bestFit="1" customWidth="1"/>
    <col min="14604" max="14604" width="6" bestFit="1" customWidth="1"/>
    <col min="14605" max="14606" width="7" bestFit="1" customWidth="1"/>
    <col min="14607" max="14608" width="8" bestFit="1" customWidth="1"/>
    <col min="14609" max="14609" width="6.33203125" bestFit="1" customWidth="1"/>
    <col min="14610" max="14610" width="7" bestFit="1" customWidth="1"/>
    <col min="14611" max="14611" width="5.88671875" bestFit="1" customWidth="1"/>
    <col min="14612" max="14613" width="7" bestFit="1" customWidth="1"/>
    <col min="14614" max="14614" width="5.88671875" bestFit="1" customWidth="1"/>
    <col min="14615" max="14615" width="10.33203125" bestFit="1" customWidth="1"/>
    <col min="14616" max="14616" width="5.109375" bestFit="1" customWidth="1"/>
    <col min="14617" max="14617" width="5.6640625" bestFit="1" customWidth="1"/>
    <col min="14618" max="14618" width="7.6640625" bestFit="1" customWidth="1"/>
    <col min="14619" max="14620" width="6" bestFit="1" customWidth="1"/>
    <col min="14621" max="14621" width="7" bestFit="1" customWidth="1"/>
    <col min="14622" max="14622" width="7.6640625" bestFit="1" customWidth="1"/>
    <col min="14623" max="14623" width="17.44140625" customWidth="1"/>
    <col min="14624" max="14624" width="15" customWidth="1"/>
    <col min="14850" max="14850" width="5.44140625" bestFit="1" customWidth="1"/>
    <col min="14851" max="14851" width="6" bestFit="1" customWidth="1"/>
    <col min="14852" max="14852" width="0" hidden="1" customWidth="1"/>
    <col min="14853" max="14853" width="29.88671875" bestFit="1" customWidth="1"/>
    <col min="14854" max="14854" width="0" hidden="1" customWidth="1"/>
    <col min="14855" max="14855" width="16.33203125" bestFit="1" customWidth="1"/>
    <col min="14856" max="14856" width="5.6640625" bestFit="1" customWidth="1"/>
    <col min="14857" max="14857" width="8" bestFit="1" customWidth="1"/>
    <col min="14858" max="14858" width="6.33203125" bestFit="1" customWidth="1"/>
    <col min="14859" max="14859" width="7" bestFit="1" customWidth="1"/>
    <col min="14860" max="14860" width="6" bestFit="1" customWidth="1"/>
    <col min="14861" max="14862" width="7" bestFit="1" customWidth="1"/>
    <col min="14863" max="14864" width="8" bestFit="1" customWidth="1"/>
    <col min="14865" max="14865" width="6.33203125" bestFit="1" customWidth="1"/>
    <col min="14866" max="14866" width="7" bestFit="1" customWidth="1"/>
    <col min="14867" max="14867" width="5.88671875" bestFit="1" customWidth="1"/>
    <col min="14868" max="14869" width="7" bestFit="1" customWidth="1"/>
    <col min="14870" max="14870" width="5.88671875" bestFit="1" customWidth="1"/>
    <col min="14871" max="14871" width="10.33203125" bestFit="1" customWidth="1"/>
    <col min="14872" max="14872" width="5.109375" bestFit="1" customWidth="1"/>
    <col min="14873" max="14873" width="5.6640625" bestFit="1" customWidth="1"/>
    <col min="14874" max="14874" width="7.6640625" bestFit="1" customWidth="1"/>
    <col min="14875" max="14876" width="6" bestFit="1" customWidth="1"/>
    <col min="14877" max="14877" width="7" bestFit="1" customWidth="1"/>
    <col min="14878" max="14878" width="7.6640625" bestFit="1" customWidth="1"/>
    <col min="14879" max="14879" width="17.44140625" customWidth="1"/>
    <col min="14880" max="14880" width="15" customWidth="1"/>
    <col min="15106" max="15106" width="5.44140625" bestFit="1" customWidth="1"/>
    <col min="15107" max="15107" width="6" bestFit="1" customWidth="1"/>
    <col min="15108" max="15108" width="0" hidden="1" customWidth="1"/>
    <col min="15109" max="15109" width="29.88671875" bestFit="1" customWidth="1"/>
    <col min="15110" max="15110" width="0" hidden="1" customWidth="1"/>
    <col min="15111" max="15111" width="16.33203125" bestFit="1" customWidth="1"/>
    <col min="15112" max="15112" width="5.6640625" bestFit="1" customWidth="1"/>
    <col min="15113" max="15113" width="8" bestFit="1" customWidth="1"/>
    <col min="15114" max="15114" width="6.33203125" bestFit="1" customWidth="1"/>
    <col min="15115" max="15115" width="7" bestFit="1" customWidth="1"/>
    <col min="15116" max="15116" width="6" bestFit="1" customWidth="1"/>
    <col min="15117" max="15118" width="7" bestFit="1" customWidth="1"/>
    <col min="15119" max="15120" width="8" bestFit="1" customWidth="1"/>
    <col min="15121" max="15121" width="6.33203125" bestFit="1" customWidth="1"/>
    <col min="15122" max="15122" width="7" bestFit="1" customWidth="1"/>
    <col min="15123" max="15123" width="5.88671875" bestFit="1" customWidth="1"/>
    <col min="15124" max="15125" width="7" bestFit="1" customWidth="1"/>
    <col min="15126" max="15126" width="5.88671875" bestFit="1" customWidth="1"/>
    <col min="15127" max="15127" width="10.33203125" bestFit="1" customWidth="1"/>
    <col min="15128" max="15128" width="5.109375" bestFit="1" customWidth="1"/>
    <col min="15129" max="15129" width="5.6640625" bestFit="1" customWidth="1"/>
    <col min="15130" max="15130" width="7.6640625" bestFit="1" customWidth="1"/>
    <col min="15131" max="15132" width="6" bestFit="1" customWidth="1"/>
    <col min="15133" max="15133" width="7" bestFit="1" customWidth="1"/>
    <col min="15134" max="15134" width="7.6640625" bestFit="1" customWidth="1"/>
    <col min="15135" max="15135" width="17.44140625" customWidth="1"/>
    <col min="15136" max="15136" width="15" customWidth="1"/>
    <col min="15362" max="15362" width="5.44140625" bestFit="1" customWidth="1"/>
    <col min="15363" max="15363" width="6" bestFit="1" customWidth="1"/>
    <col min="15364" max="15364" width="0" hidden="1" customWidth="1"/>
    <col min="15365" max="15365" width="29.88671875" bestFit="1" customWidth="1"/>
    <col min="15366" max="15366" width="0" hidden="1" customWidth="1"/>
    <col min="15367" max="15367" width="16.33203125" bestFit="1" customWidth="1"/>
    <col min="15368" max="15368" width="5.6640625" bestFit="1" customWidth="1"/>
    <col min="15369" max="15369" width="8" bestFit="1" customWidth="1"/>
    <col min="15370" max="15370" width="6.33203125" bestFit="1" customWidth="1"/>
    <col min="15371" max="15371" width="7" bestFit="1" customWidth="1"/>
    <col min="15372" max="15372" width="6" bestFit="1" customWidth="1"/>
    <col min="15373" max="15374" width="7" bestFit="1" customWidth="1"/>
    <col min="15375" max="15376" width="8" bestFit="1" customWidth="1"/>
    <col min="15377" max="15377" width="6.33203125" bestFit="1" customWidth="1"/>
    <col min="15378" max="15378" width="7" bestFit="1" customWidth="1"/>
    <col min="15379" max="15379" width="5.88671875" bestFit="1" customWidth="1"/>
    <col min="15380" max="15381" width="7" bestFit="1" customWidth="1"/>
    <col min="15382" max="15382" width="5.88671875" bestFit="1" customWidth="1"/>
    <col min="15383" max="15383" width="10.33203125" bestFit="1" customWidth="1"/>
    <col min="15384" max="15384" width="5.109375" bestFit="1" customWidth="1"/>
    <col min="15385" max="15385" width="5.6640625" bestFit="1" customWidth="1"/>
    <col min="15386" max="15386" width="7.6640625" bestFit="1" customWidth="1"/>
    <col min="15387" max="15388" width="6" bestFit="1" customWidth="1"/>
    <col min="15389" max="15389" width="7" bestFit="1" customWidth="1"/>
    <col min="15390" max="15390" width="7.6640625" bestFit="1" customWidth="1"/>
    <col min="15391" max="15391" width="17.44140625" customWidth="1"/>
    <col min="15392" max="15392" width="15" customWidth="1"/>
    <col min="15618" max="15618" width="5.44140625" bestFit="1" customWidth="1"/>
    <col min="15619" max="15619" width="6" bestFit="1" customWidth="1"/>
    <col min="15620" max="15620" width="0" hidden="1" customWidth="1"/>
    <col min="15621" max="15621" width="29.88671875" bestFit="1" customWidth="1"/>
    <col min="15622" max="15622" width="0" hidden="1" customWidth="1"/>
    <col min="15623" max="15623" width="16.33203125" bestFit="1" customWidth="1"/>
    <col min="15624" max="15624" width="5.6640625" bestFit="1" customWidth="1"/>
    <col min="15625" max="15625" width="8" bestFit="1" customWidth="1"/>
    <col min="15626" max="15626" width="6.33203125" bestFit="1" customWidth="1"/>
    <col min="15627" max="15627" width="7" bestFit="1" customWidth="1"/>
    <col min="15628" max="15628" width="6" bestFit="1" customWidth="1"/>
    <col min="15629" max="15630" width="7" bestFit="1" customWidth="1"/>
    <col min="15631" max="15632" width="8" bestFit="1" customWidth="1"/>
    <col min="15633" max="15633" width="6.33203125" bestFit="1" customWidth="1"/>
    <col min="15634" max="15634" width="7" bestFit="1" customWidth="1"/>
    <col min="15635" max="15635" width="5.88671875" bestFit="1" customWidth="1"/>
    <col min="15636" max="15637" width="7" bestFit="1" customWidth="1"/>
    <col min="15638" max="15638" width="5.88671875" bestFit="1" customWidth="1"/>
    <col min="15639" max="15639" width="10.33203125" bestFit="1" customWidth="1"/>
    <col min="15640" max="15640" width="5.109375" bestFit="1" customWidth="1"/>
    <col min="15641" max="15641" width="5.6640625" bestFit="1" customWidth="1"/>
    <col min="15642" max="15642" width="7.6640625" bestFit="1" customWidth="1"/>
    <col min="15643" max="15644" width="6" bestFit="1" customWidth="1"/>
    <col min="15645" max="15645" width="7" bestFit="1" customWidth="1"/>
    <col min="15646" max="15646" width="7.6640625" bestFit="1" customWidth="1"/>
    <col min="15647" max="15647" width="17.44140625" customWidth="1"/>
    <col min="15648" max="15648" width="15" customWidth="1"/>
    <col min="15874" max="15874" width="5.44140625" bestFit="1" customWidth="1"/>
    <col min="15875" max="15875" width="6" bestFit="1" customWidth="1"/>
    <col min="15876" max="15876" width="0" hidden="1" customWidth="1"/>
    <col min="15877" max="15877" width="29.88671875" bestFit="1" customWidth="1"/>
    <col min="15878" max="15878" width="0" hidden="1" customWidth="1"/>
    <col min="15879" max="15879" width="16.33203125" bestFit="1" customWidth="1"/>
    <col min="15880" max="15880" width="5.6640625" bestFit="1" customWidth="1"/>
    <col min="15881" max="15881" width="8" bestFit="1" customWidth="1"/>
    <col min="15882" max="15882" width="6.33203125" bestFit="1" customWidth="1"/>
    <col min="15883" max="15883" width="7" bestFit="1" customWidth="1"/>
    <col min="15884" max="15884" width="6" bestFit="1" customWidth="1"/>
    <col min="15885" max="15886" width="7" bestFit="1" customWidth="1"/>
    <col min="15887" max="15888" width="8" bestFit="1" customWidth="1"/>
    <col min="15889" max="15889" width="6.33203125" bestFit="1" customWidth="1"/>
    <col min="15890" max="15890" width="7" bestFit="1" customWidth="1"/>
    <col min="15891" max="15891" width="5.88671875" bestFit="1" customWidth="1"/>
    <col min="15892" max="15893" width="7" bestFit="1" customWidth="1"/>
    <col min="15894" max="15894" width="5.88671875" bestFit="1" customWidth="1"/>
    <col min="15895" max="15895" width="10.33203125" bestFit="1" customWidth="1"/>
    <col min="15896" max="15896" width="5.109375" bestFit="1" customWidth="1"/>
    <col min="15897" max="15897" width="5.6640625" bestFit="1" customWidth="1"/>
    <col min="15898" max="15898" width="7.6640625" bestFit="1" customWidth="1"/>
    <col min="15899" max="15900" width="6" bestFit="1" customWidth="1"/>
    <col min="15901" max="15901" width="7" bestFit="1" customWidth="1"/>
    <col min="15902" max="15902" width="7.6640625" bestFit="1" customWidth="1"/>
    <col min="15903" max="15903" width="17.44140625" customWidth="1"/>
    <col min="15904" max="15904" width="15" customWidth="1"/>
    <col min="16130" max="16130" width="5.44140625" bestFit="1" customWidth="1"/>
    <col min="16131" max="16131" width="6" bestFit="1" customWidth="1"/>
    <col min="16132" max="16132" width="0" hidden="1" customWidth="1"/>
    <col min="16133" max="16133" width="29.88671875" bestFit="1" customWidth="1"/>
    <col min="16134" max="16134" width="0" hidden="1" customWidth="1"/>
    <col min="16135" max="16135" width="16.33203125" bestFit="1" customWidth="1"/>
    <col min="16136" max="16136" width="5.6640625" bestFit="1" customWidth="1"/>
    <col min="16137" max="16137" width="8" bestFit="1" customWidth="1"/>
    <col min="16138" max="16138" width="6.33203125" bestFit="1" customWidth="1"/>
    <col min="16139" max="16139" width="7" bestFit="1" customWidth="1"/>
    <col min="16140" max="16140" width="6" bestFit="1" customWidth="1"/>
    <col min="16141" max="16142" width="7" bestFit="1" customWidth="1"/>
    <col min="16143" max="16144" width="8" bestFit="1" customWidth="1"/>
    <col min="16145" max="16145" width="6.33203125" bestFit="1" customWidth="1"/>
    <col min="16146" max="16146" width="7" bestFit="1" customWidth="1"/>
    <col min="16147" max="16147" width="5.88671875" bestFit="1" customWidth="1"/>
    <col min="16148" max="16149" width="7" bestFit="1" customWidth="1"/>
    <col min="16150" max="16150" width="5.88671875" bestFit="1" customWidth="1"/>
    <col min="16151" max="16151" width="10.33203125" bestFit="1" customWidth="1"/>
    <col min="16152" max="16152" width="5.109375" bestFit="1" customWidth="1"/>
    <col min="16153" max="16153" width="5.6640625" bestFit="1" customWidth="1"/>
    <col min="16154" max="16154" width="7.6640625" bestFit="1" customWidth="1"/>
    <col min="16155" max="16156" width="6" bestFit="1" customWidth="1"/>
    <col min="16157" max="16157" width="7" bestFit="1" customWidth="1"/>
    <col min="16158" max="16158" width="7.6640625" bestFit="1" customWidth="1"/>
    <col min="16159" max="16159" width="17.44140625" customWidth="1"/>
    <col min="16160" max="16160" width="15" customWidth="1"/>
  </cols>
  <sheetData>
    <row r="1" spans="1:32" ht="32.25" customHeight="1" x14ac:dyDescent="0.3">
      <c r="A1" s="156" t="s">
        <v>337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</row>
    <row r="2" spans="1:32" ht="28.8" x14ac:dyDescent="0.3">
      <c r="A2" s="135" t="s">
        <v>338</v>
      </c>
      <c r="B2" s="135" t="s">
        <v>339</v>
      </c>
      <c r="C2" s="135" t="s">
        <v>340</v>
      </c>
      <c r="D2" s="135" t="s">
        <v>341</v>
      </c>
      <c r="E2" s="136" t="s">
        <v>316</v>
      </c>
      <c r="F2" s="135" t="s">
        <v>342</v>
      </c>
      <c r="G2" s="135" t="s">
        <v>343</v>
      </c>
      <c r="H2" s="135" t="s">
        <v>344</v>
      </c>
      <c r="I2" s="135" t="s">
        <v>345</v>
      </c>
      <c r="J2" s="135" t="s">
        <v>346</v>
      </c>
      <c r="K2" s="135" t="s">
        <v>347</v>
      </c>
      <c r="L2" s="135" t="s">
        <v>348</v>
      </c>
      <c r="M2" s="135" t="s">
        <v>349</v>
      </c>
      <c r="N2" s="135" t="s">
        <v>350</v>
      </c>
      <c r="O2" s="135" t="s">
        <v>351</v>
      </c>
      <c r="P2" s="135" t="s">
        <v>352</v>
      </c>
      <c r="Q2" s="135" t="s">
        <v>353</v>
      </c>
      <c r="R2" s="135" t="s">
        <v>354</v>
      </c>
      <c r="S2" s="135" t="s">
        <v>355</v>
      </c>
      <c r="T2" s="135" t="s">
        <v>356</v>
      </c>
      <c r="U2" s="135" t="s">
        <v>357</v>
      </c>
      <c r="V2" s="135" t="s">
        <v>358</v>
      </c>
      <c r="W2" s="135" t="s">
        <v>359</v>
      </c>
      <c r="X2" s="135" t="s">
        <v>360</v>
      </c>
      <c r="Y2" s="135" t="s">
        <v>361</v>
      </c>
      <c r="Z2" s="135" t="s">
        <v>362</v>
      </c>
      <c r="AA2" s="135" t="s">
        <v>363</v>
      </c>
      <c r="AB2" s="135" t="s">
        <v>364</v>
      </c>
      <c r="AC2" s="135" t="s">
        <v>365</v>
      </c>
      <c r="AD2" s="135" t="s">
        <v>366</v>
      </c>
      <c r="AE2" s="135" t="s">
        <v>367</v>
      </c>
      <c r="AF2" s="135" t="s">
        <v>368</v>
      </c>
    </row>
    <row r="3" spans="1:32" s="133" customFormat="1" hidden="1" x14ac:dyDescent="0.3">
      <c r="A3" s="137">
        <v>1</v>
      </c>
      <c r="B3" s="137">
        <v>350</v>
      </c>
      <c r="C3" s="137">
        <v>350</v>
      </c>
      <c r="D3" s="137" t="s">
        <v>369</v>
      </c>
      <c r="E3" s="137" t="s">
        <v>370</v>
      </c>
      <c r="F3" s="137" t="s">
        <v>371</v>
      </c>
      <c r="G3" s="137" t="s">
        <v>320</v>
      </c>
      <c r="H3" s="137">
        <v>25</v>
      </c>
      <c r="I3" s="138">
        <v>17000</v>
      </c>
      <c r="J3" s="137">
        <v>0</v>
      </c>
      <c r="K3" s="137">
        <v>3990</v>
      </c>
      <c r="L3" s="137">
        <v>0</v>
      </c>
      <c r="M3" s="137">
        <v>0</v>
      </c>
      <c r="N3" s="137">
        <v>0</v>
      </c>
      <c r="O3" s="138">
        <v>20990</v>
      </c>
      <c r="P3" s="137">
        <v>17000</v>
      </c>
      <c r="Q3" s="137">
        <v>0</v>
      </c>
      <c r="R3" s="137">
        <v>3990</v>
      </c>
      <c r="S3" s="137">
        <v>0</v>
      </c>
      <c r="T3" s="137">
        <v>0</v>
      </c>
      <c r="U3" s="137">
        <v>0</v>
      </c>
      <c r="V3" s="137">
        <v>0</v>
      </c>
      <c r="W3" s="137">
        <v>20990</v>
      </c>
      <c r="X3" s="137">
        <v>158</v>
      </c>
      <c r="Y3" s="137">
        <v>0</v>
      </c>
      <c r="Z3" s="137">
        <v>0</v>
      </c>
      <c r="AA3" s="137">
        <v>0</v>
      </c>
      <c r="AB3" s="137">
        <v>0</v>
      </c>
      <c r="AC3" s="137">
        <v>158</v>
      </c>
      <c r="AD3" s="137">
        <v>20832</v>
      </c>
      <c r="AE3" s="137" t="s">
        <v>372</v>
      </c>
      <c r="AF3" s="137" t="s">
        <v>373</v>
      </c>
    </row>
    <row r="4" spans="1:32" s="133" customFormat="1" hidden="1" x14ac:dyDescent="0.3">
      <c r="A4" s="137">
        <f>1+A3</f>
        <v>2</v>
      </c>
      <c r="B4" s="137">
        <v>437</v>
      </c>
      <c r="C4" s="137">
        <v>437</v>
      </c>
      <c r="D4" s="137" t="s">
        <v>374</v>
      </c>
      <c r="E4" s="137" t="s">
        <v>5</v>
      </c>
      <c r="F4" s="137" t="s">
        <v>375</v>
      </c>
      <c r="G4" s="137" t="s">
        <v>335</v>
      </c>
      <c r="H4" s="137">
        <v>26</v>
      </c>
      <c r="I4" s="137">
        <v>25200</v>
      </c>
      <c r="J4" s="137">
        <v>0</v>
      </c>
      <c r="K4" s="137">
        <v>10080</v>
      </c>
      <c r="L4" s="137">
        <v>1600</v>
      </c>
      <c r="M4" s="137">
        <v>5120</v>
      </c>
      <c r="N4" s="137">
        <v>0</v>
      </c>
      <c r="O4" s="137">
        <v>42000</v>
      </c>
      <c r="P4" s="137">
        <v>25200</v>
      </c>
      <c r="Q4" s="137">
        <v>0</v>
      </c>
      <c r="R4" s="137">
        <v>10080</v>
      </c>
      <c r="S4" s="137">
        <v>1600</v>
      </c>
      <c r="T4" s="137">
        <v>5120</v>
      </c>
      <c r="U4" s="137">
        <v>0</v>
      </c>
      <c r="V4" s="137">
        <v>0</v>
      </c>
      <c r="W4" s="137">
        <v>42000</v>
      </c>
      <c r="X4" s="137">
        <v>0</v>
      </c>
      <c r="Y4" s="137">
        <v>200</v>
      </c>
      <c r="Z4" s="137">
        <v>6000</v>
      </c>
      <c r="AA4" s="137">
        <v>0</v>
      </c>
      <c r="AB4" s="137">
        <v>0</v>
      </c>
      <c r="AC4" s="137">
        <v>6200</v>
      </c>
      <c r="AD4" s="137">
        <v>35800</v>
      </c>
      <c r="AE4" s="137" t="s">
        <v>376</v>
      </c>
      <c r="AF4" s="137" t="s">
        <v>377</v>
      </c>
    </row>
    <row r="5" spans="1:32" s="133" customFormat="1" hidden="1" x14ac:dyDescent="0.3">
      <c r="A5" s="137">
        <f t="shared" ref="A5:A61" si="0">1+A4</f>
        <v>3</v>
      </c>
      <c r="B5" s="137">
        <v>577</v>
      </c>
      <c r="C5" s="137">
        <v>577</v>
      </c>
      <c r="D5" s="137" t="s">
        <v>378</v>
      </c>
      <c r="E5" s="137" t="s">
        <v>379</v>
      </c>
      <c r="F5" s="137" t="s">
        <v>380</v>
      </c>
      <c r="G5" s="137" t="s">
        <v>329</v>
      </c>
      <c r="H5" s="137">
        <v>25</v>
      </c>
      <c r="I5" s="138">
        <v>35500</v>
      </c>
      <c r="J5" s="137">
        <v>0</v>
      </c>
      <c r="K5" s="137">
        <v>15700</v>
      </c>
      <c r="L5" s="137">
        <v>1600</v>
      </c>
      <c r="M5" s="137">
        <v>9200</v>
      </c>
      <c r="N5" s="137">
        <v>9000</v>
      </c>
      <c r="O5" s="138">
        <v>71000</v>
      </c>
      <c r="P5" s="137">
        <v>35500</v>
      </c>
      <c r="Q5" s="137">
        <v>0</v>
      </c>
      <c r="R5" s="137">
        <v>15700</v>
      </c>
      <c r="S5" s="137">
        <v>1600</v>
      </c>
      <c r="T5" s="137">
        <v>9200</v>
      </c>
      <c r="U5" s="137">
        <v>9000</v>
      </c>
      <c r="V5" s="137">
        <v>0</v>
      </c>
      <c r="W5" s="137">
        <v>71000</v>
      </c>
      <c r="X5" s="137">
        <v>0</v>
      </c>
      <c r="Y5" s="137">
        <v>200</v>
      </c>
      <c r="Z5" s="137">
        <v>0</v>
      </c>
      <c r="AA5" s="137">
        <v>0</v>
      </c>
      <c r="AB5" s="137">
        <v>12433</v>
      </c>
      <c r="AC5" s="137">
        <v>12633</v>
      </c>
      <c r="AD5" s="137">
        <v>58367</v>
      </c>
      <c r="AE5" s="137" t="s">
        <v>381</v>
      </c>
      <c r="AF5" s="137" t="s">
        <v>373</v>
      </c>
    </row>
    <row r="6" spans="1:32" s="133" customFormat="1" x14ac:dyDescent="0.3">
      <c r="A6" s="137">
        <f t="shared" si="0"/>
        <v>4</v>
      </c>
      <c r="B6" s="137">
        <v>582</v>
      </c>
      <c r="C6" s="137">
        <v>582</v>
      </c>
      <c r="D6" s="137" t="s">
        <v>382</v>
      </c>
      <c r="E6" s="137" t="s">
        <v>383</v>
      </c>
      <c r="F6" s="137" t="s">
        <v>384</v>
      </c>
      <c r="G6" s="137" t="s">
        <v>323</v>
      </c>
      <c r="H6" s="137">
        <v>25</v>
      </c>
      <c r="I6" s="138">
        <v>23100</v>
      </c>
      <c r="J6" s="137">
        <v>0</v>
      </c>
      <c r="K6" s="137">
        <v>10500</v>
      </c>
      <c r="L6" s="137">
        <v>1600</v>
      </c>
      <c r="M6" s="137">
        <v>2000</v>
      </c>
      <c r="N6" s="137">
        <v>2000</v>
      </c>
      <c r="O6" s="138">
        <v>39200</v>
      </c>
      <c r="P6" s="137">
        <v>23100</v>
      </c>
      <c r="Q6" s="137">
        <v>0</v>
      </c>
      <c r="R6" s="137">
        <v>10500</v>
      </c>
      <c r="S6" s="137">
        <v>1600</v>
      </c>
      <c r="T6" s="137">
        <v>2000</v>
      </c>
      <c r="U6" s="137">
        <v>2000</v>
      </c>
      <c r="V6" s="137">
        <v>0</v>
      </c>
      <c r="W6" s="137">
        <v>39200</v>
      </c>
      <c r="X6" s="137">
        <v>0</v>
      </c>
      <c r="Y6" s="137">
        <v>200</v>
      </c>
      <c r="Z6" s="137">
        <v>0</v>
      </c>
      <c r="AA6" s="137">
        <v>0</v>
      </c>
      <c r="AB6" s="137">
        <v>0</v>
      </c>
      <c r="AC6" s="137">
        <v>200</v>
      </c>
      <c r="AD6" s="137">
        <v>39000</v>
      </c>
      <c r="AE6" s="137" t="s">
        <v>385</v>
      </c>
      <c r="AF6" s="137" t="s">
        <v>373</v>
      </c>
    </row>
    <row r="7" spans="1:32" s="133" customFormat="1" hidden="1" x14ac:dyDescent="0.3">
      <c r="A7" s="137">
        <f t="shared" si="0"/>
        <v>5</v>
      </c>
      <c r="B7" s="137">
        <v>623</v>
      </c>
      <c r="C7" s="137">
        <v>623</v>
      </c>
      <c r="D7" s="137" t="s">
        <v>386</v>
      </c>
      <c r="E7" s="137" t="s">
        <v>5</v>
      </c>
      <c r="F7" s="137" t="s">
        <v>387</v>
      </c>
      <c r="G7" s="137" t="s">
        <v>335</v>
      </c>
      <c r="H7" s="137">
        <v>26</v>
      </c>
      <c r="I7" s="137">
        <v>26400</v>
      </c>
      <c r="J7" s="137">
        <v>0</v>
      </c>
      <c r="K7" s="137">
        <v>10560</v>
      </c>
      <c r="L7" s="137">
        <v>1600</v>
      </c>
      <c r="M7" s="137">
        <v>5440</v>
      </c>
      <c r="N7" s="137">
        <v>0</v>
      </c>
      <c r="O7" s="137">
        <v>44000</v>
      </c>
      <c r="P7" s="137">
        <v>26400</v>
      </c>
      <c r="Q7" s="137">
        <v>0</v>
      </c>
      <c r="R7" s="137">
        <v>10560</v>
      </c>
      <c r="S7" s="137">
        <v>1600</v>
      </c>
      <c r="T7" s="137">
        <v>5440</v>
      </c>
      <c r="U7" s="137">
        <v>0</v>
      </c>
      <c r="V7" s="137">
        <v>0</v>
      </c>
      <c r="W7" s="137">
        <v>44000</v>
      </c>
      <c r="X7" s="137">
        <v>0</v>
      </c>
      <c r="Y7" s="137">
        <v>200</v>
      </c>
      <c r="Z7" s="137">
        <v>0</v>
      </c>
      <c r="AA7" s="137">
        <v>0</v>
      </c>
      <c r="AB7" s="137">
        <v>0</v>
      </c>
      <c r="AC7" s="137">
        <v>200</v>
      </c>
      <c r="AD7" s="137">
        <v>43800</v>
      </c>
      <c r="AE7" s="137" t="s">
        <v>388</v>
      </c>
      <c r="AF7" s="137" t="s">
        <v>389</v>
      </c>
    </row>
    <row r="8" spans="1:32" s="133" customFormat="1" hidden="1" x14ac:dyDescent="0.3">
      <c r="A8" s="137">
        <f t="shared" si="0"/>
        <v>6</v>
      </c>
      <c r="B8" s="137">
        <v>653</v>
      </c>
      <c r="C8" s="137">
        <v>653</v>
      </c>
      <c r="D8" s="137" t="s">
        <v>390</v>
      </c>
      <c r="E8" s="137" t="s">
        <v>370</v>
      </c>
      <c r="F8" s="137" t="s">
        <v>391</v>
      </c>
      <c r="G8" s="137" t="s">
        <v>333</v>
      </c>
      <c r="H8" s="137">
        <v>25</v>
      </c>
      <c r="I8" s="138">
        <v>16025</v>
      </c>
      <c r="J8" s="137">
        <v>0</v>
      </c>
      <c r="K8" s="137">
        <v>2725</v>
      </c>
      <c r="L8" s="137">
        <v>1600</v>
      </c>
      <c r="M8" s="137">
        <v>0</v>
      </c>
      <c r="N8" s="137">
        <v>0</v>
      </c>
      <c r="O8" s="138">
        <v>20350</v>
      </c>
      <c r="P8" s="137">
        <v>16025</v>
      </c>
      <c r="Q8" s="137">
        <v>0</v>
      </c>
      <c r="R8" s="137">
        <v>2725</v>
      </c>
      <c r="S8" s="137">
        <v>1600</v>
      </c>
      <c r="T8" s="137">
        <v>0</v>
      </c>
      <c r="U8" s="137">
        <v>0</v>
      </c>
      <c r="V8" s="137">
        <v>0</v>
      </c>
      <c r="W8" s="137">
        <v>20350</v>
      </c>
      <c r="X8" s="137">
        <v>153</v>
      </c>
      <c r="Y8" s="137">
        <v>0</v>
      </c>
      <c r="Z8" s="137">
        <v>0</v>
      </c>
      <c r="AA8" s="137">
        <v>0</v>
      </c>
      <c r="AB8" s="137">
        <v>0</v>
      </c>
      <c r="AC8" s="137">
        <v>153</v>
      </c>
      <c r="AD8" s="137">
        <v>20197</v>
      </c>
      <c r="AE8" s="137" t="s">
        <v>392</v>
      </c>
      <c r="AF8" s="137" t="s">
        <v>393</v>
      </c>
    </row>
    <row r="9" spans="1:32" s="133" customFormat="1" hidden="1" x14ac:dyDescent="0.3">
      <c r="A9" s="137">
        <f t="shared" si="0"/>
        <v>7</v>
      </c>
      <c r="B9" s="137">
        <v>689</v>
      </c>
      <c r="C9" s="137">
        <v>689</v>
      </c>
      <c r="D9" s="137" t="s">
        <v>394</v>
      </c>
      <c r="E9" s="137" t="s">
        <v>370</v>
      </c>
      <c r="F9" s="137" t="s">
        <v>395</v>
      </c>
      <c r="G9" s="137" t="s">
        <v>332</v>
      </c>
      <c r="H9" s="137">
        <v>25</v>
      </c>
      <c r="I9" s="138">
        <v>34615</v>
      </c>
      <c r="J9" s="137">
        <v>5384</v>
      </c>
      <c r="K9" s="137">
        <v>12846</v>
      </c>
      <c r="L9" s="137">
        <v>1600</v>
      </c>
      <c r="M9" s="137">
        <v>8192</v>
      </c>
      <c r="N9" s="137">
        <v>6183</v>
      </c>
      <c r="O9" s="138">
        <v>68820</v>
      </c>
      <c r="P9" s="137">
        <v>34615</v>
      </c>
      <c r="Q9" s="137">
        <v>5384</v>
      </c>
      <c r="R9" s="137">
        <v>12846</v>
      </c>
      <c r="S9" s="137">
        <v>1600</v>
      </c>
      <c r="T9" s="137">
        <v>8192</v>
      </c>
      <c r="U9" s="137">
        <v>6183</v>
      </c>
      <c r="V9" s="137">
        <v>0</v>
      </c>
      <c r="W9" s="137">
        <v>68820</v>
      </c>
      <c r="X9" s="137">
        <v>0</v>
      </c>
      <c r="Y9" s="137">
        <v>200</v>
      </c>
      <c r="Z9" s="137">
        <v>0</v>
      </c>
      <c r="AA9" s="137">
        <v>5000</v>
      </c>
      <c r="AB9" s="137">
        <v>0</v>
      </c>
      <c r="AC9" s="137">
        <v>5200</v>
      </c>
      <c r="AD9" s="137">
        <v>63620</v>
      </c>
      <c r="AE9" s="137" t="s">
        <v>396</v>
      </c>
      <c r="AF9" s="137" t="s">
        <v>373</v>
      </c>
    </row>
    <row r="10" spans="1:32" s="133" customFormat="1" hidden="1" x14ac:dyDescent="0.3">
      <c r="A10" s="137">
        <f t="shared" si="0"/>
        <v>8</v>
      </c>
      <c r="B10" s="137">
        <v>798</v>
      </c>
      <c r="C10" s="137">
        <v>798</v>
      </c>
      <c r="D10" s="137" t="s">
        <v>397</v>
      </c>
      <c r="E10" s="137" t="s">
        <v>5</v>
      </c>
      <c r="F10" s="137" t="s">
        <v>398</v>
      </c>
      <c r="G10" s="137" t="s">
        <v>335</v>
      </c>
      <c r="H10" s="137">
        <v>26</v>
      </c>
      <c r="I10" s="137">
        <v>36000</v>
      </c>
      <c r="J10" s="137">
        <v>0</v>
      </c>
      <c r="K10" s="137">
        <v>14000</v>
      </c>
      <c r="L10" s="137">
        <v>1600</v>
      </c>
      <c r="M10" s="137">
        <v>3000</v>
      </c>
      <c r="N10" s="137">
        <v>5400</v>
      </c>
      <c r="O10" s="137">
        <v>60000</v>
      </c>
      <c r="P10" s="137">
        <v>36000</v>
      </c>
      <c r="Q10" s="137">
        <v>0</v>
      </c>
      <c r="R10" s="137">
        <v>14000</v>
      </c>
      <c r="S10" s="137">
        <v>1600</v>
      </c>
      <c r="T10" s="137">
        <v>3000</v>
      </c>
      <c r="U10" s="137">
        <v>5400</v>
      </c>
      <c r="V10" s="137">
        <v>0</v>
      </c>
      <c r="W10" s="137">
        <v>60000</v>
      </c>
      <c r="X10" s="137">
        <v>0</v>
      </c>
      <c r="Y10" s="137">
        <v>200</v>
      </c>
      <c r="Z10" s="137">
        <v>0</v>
      </c>
      <c r="AA10" s="137">
        <v>1000</v>
      </c>
      <c r="AB10" s="137">
        <v>0</v>
      </c>
      <c r="AC10" s="137">
        <v>1200</v>
      </c>
      <c r="AD10" s="137">
        <v>58800</v>
      </c>
      <c r="AE10" s="137" t="s">
        <v>399</v>
      </c>
      <c r="AF10" s="137" t="s">
        <v>373</v>
      </c>
    </row>
    <row r="11" spans="1:32" s="133" customFormat="1" hidden="1" x14ac:dyDescent="0.3">
      <c r="A11" s="137">
        <f t="shared" si="0"/>
        <v>9</v>
      </c>
      <c r="B11" s="137">
        <v>824</v>
      </c>
      <c r="C11" s="137">
        <v>824</v>
      </c>
      <c r="D11" s="137" t="s">
        <v>400</v>
      </c>
      <c r="E11" s="137" t="s">
        <v>370</v>
      </c>
      <c r="F11" s="137" t="s">
        <v>401</v>
      </c>
      <c r="G11" s="137" t="s">
        <v>331</v>
      </c>
      <c r="H11" s="137">
        <v>25</v>
      </c>
      <c r="I11" s="138">
        <v>30000</v>
      </c>
      <c r="J11" s="137">
        <v>0</v>
      </c>
      <c r="K11" s="137">
        <v>12000</v>
      </c>
      <c r="L11" s="137">
        <v>1600</v>
      </c>
      <c r="M11" s="137">
        <v>6400</v>
      </c>
      <c r="N11" s="137">
        <v>0</v>
      </c>
      <c r="O11" s="138">
        <v>50000</v>
      </c>
      <c r="P11" s="137">
        <v>30000</v>
      </c>
      <c r="Q11" s="137">
        <v>0</v>
      </c>
      <c r="R11" s="137">
        <v>12000</v>
      </c>
      <c r="S11" s="137">
        <v>1600</v>
      </c>
      <c r="T11" s="137">
        <v>6400</v>
      </c>
      <c r="U11" s="137">
        <v>0</v>
      </c>
      <c r="V11" s="137">
        <v>0</v>
      </c>
      <c r="W11" s="137">
        <v>50000</v>
      </c>
      <c r="X11" s="137">
        <v>0</v>
      </c>
      <c r="Y11" s="137">
        <v>200</v>
      </c>
      <c r="Z11" s="137">
        <v>5000</v>
      </c>
      <c r="AA11" s="137">
        <v>0</v>
      </c>
      <c r="AB11" s="137">
        <v>0</v>
      </c>
      <c r="AC11" s="137">
        <v>5200</v>
      </c>
      <c r="AD11" s="137">
        <v>44800</v>
      </c>
      <c r="AE11" s="137">
        <v>45611566320</v>
      </c>
      <c r="AF11" s="137" t="s">
        <v>393</v>
      </c>
    </row>
    <row r="12" spans="1:32" s="133" customFormat="1" hidden="1" x14ac:dyDescent="0.3">
      <c r="A12" s="137">
        <f t="shared" si="0"/>
        <v>10</v>
      </c>
      <c r="B12" s="137">
        <v>825</v>
      </c>
      <c r="C12" s="137">
        <v>825</v>
      </c>
      <c r="D12" s="137" t="s">
        <v>402</v>
      </c>
      <c r="E12" s="137" t="s">
        <v>403</v>
      </c>
      <c r="F12" s="137" t="s">
        <v>404</v>
      </c>
      <c r="G12" s="137" t="s">
        <v>326</v>
      </c>
      <c r="H12" s="137">
        <v>25</v>
      </c>
      <c r="I12" s="138">
        <v>35000</v>
      </c>
      <c r="J12" s="137">
        <v>0</v>
      </c>
      <c r="K12" s="137">
        <v>14000</v>
      </c>
      <c r="L12" s="137">
        <v>1600</v>
      </c>
      <c r="M12" s="137">
        <v>9700</v>
      </c>
      <c r="N12" s="137">
        <v>9700</v>
      </c>
      <c r="O12" s="138">
        <v>70000</v>
      </c>
      <c r="P12" s="137">
        <v>35000</v>
      </c>
      <c r="Q12" s="137">
        <v>0</v>
      </c>
      <c r="R12" s="137">
        <v>14000</v>
      </c>
      <c r="S12" s="137">
        <v>1600</v>
      </c>
      <c r="T12" s="137">
        <v>9700</v>
      </c>
      <c r="U12" s="137">
        <v>9700</v>
      </c>
      <c r="V12" s="137">
        <v>0</v>
      </c>
      <c r="W12" s="137">
        <v>70000</v>
      </c>
      <c r="X12" s="137">
        <v>0</v>
      </c>
      <c r="Y12" s="137">
        <v>200</v>
      </c>
      <c r="Z12" s="137">
        <v>5000</v>
      </c>
      <c r="AA12" s="137">
        <v>1000</v>
      </c>
      <c r="AB12" s="137">
        <v>0</v>
      </c>
      <c r="AC12" s="137">
        <v>6200</v>
      </c>
      <c r="AD12" s="137">
        <v>63800</v>
      </c>
      <c r="AE12" s="137">
        <v>45512039659</v>
      </c>
      <c r="AF12" s="137" t="s">
        <v>393</v>
      </c>
    </row>
    <row r="13" spans="1:32" s="133" customFormat="1" hidden="1" x14ac:dyDescent="0.3">
      <c r="A13" s="137">
        <f t="shared" si="0"/>
        <v>11</v>
      </c>
      <c r="B13" s="137">
        <v>828</v>
      </c>
      <c r="C13" s="137">
        <v>828</v>
      </c>
      <c r="D13" s="137" t="s">
        <v>405</v>
      </c>
      <c r="E13" s="137" t="s">
        <v>370</v>
      </c>
      <c r="F13" s="137" t="s">
        <v>406</v>
      </c>
      <c r="G13" s="137" t="s">
        <v>333</v>
      </c>
      <c r="H13" s="137">
        <v>25</v>
      </c>
      <c r="I13" s="138">
        <v>20980</v>
      </c>
      <c r="J13" s="137">
        <v>1600</v>
      </c>
      <c r="K13" s="137">
        <v>9292</v>
      </c>
      <c r="L13" s="137">
        <v>0</v>
      </c>
      <c r="M13" s="137">
        <v>1064</v>
      </c>
      <c r="N13" s="137">
        <v>1064</v>
      </c>
      <c r="O13" s="138">
        <v>34000</v>
      </c>
      <c r="P13" s="137">
        <v>20980</v>
      </c>
      <c r="Q13" s="137">
        <v>1600</v>
      </c>
      <c r="R13" s="137">
        <v>9292</v>
      </c>
      <c r="S13" s="137">
        <v>0</v>
      </c>
      <c r="T13" s="137">
        <v>1064</v>
      </c>
      <c r="U13" s="137">
        <v>1064</v>
      </c>
      <c r="V13" s="137">
        <v>0</v>
      </c>
      <c r="W13" s="137">
        <v>34000</v>
      </c>
      <c r="X13" s="137">
        <v>0</v>
      </c>
      <c r="Y13" s="137">
        <v>200</v>
      </c>
      <c r="Z13" s="137">
        <v>0</v>
      </c>
      <c r="AA13" s="137">
        <v>0</v>
      </c>
      <c r="AB13" s="137">
        <v>0</v>
      </c>
      <c r="AC13" s="137">
        <v>200</v>
      </c>
      <c r="AD13" s="137">
        <v>33800</v>
      </c>
      <c r="AE13" s="137" t="s">
        <v>407</v>
      </c>
      <c r="AF13" s="137" t="s">
        <v>373</v>
      </c>
    </row>
    <row r="14" spans="1:32" s="133" customFormat="1" hidden="1" x14ac:dyDescent="0.3">
      <c r="A14" s="137">
        <f t="shared" si="0"/>
        <v>12</v>
      </c>
      <c r="B14" s="137">
        <v>903</v>
      </c>
      <c r="C14" s="137">
        <v>903</v>
      </c>
      <c r="D14" s="137" t="s">
        <v>408</v>
      </c>
      <c r="E14" s="137" t="s">
        <v>403</v>
      </c>
      <c r="F14" s="137" t="s">
        <v>409</v>
      </c>
      <c r="G14" s="137" t="s">
        <v>327</v>
      </c>
      <c r="H14" s="137">
        <v>25</v>
      </c>
      <c r="I14" s="138">
        <v>19200</v>
      </c>
      <c r="J14" s="137">
        <v>0</v>
      </c>
      <c r="K14" s="137">
        <v>8400</v>
      </c>
      <c r="L14" s="137">
        <v>1600</v>
      </c>
      <c r="M14" s="137">
        <v>0</v>
      </c>
      <c r="N14" s="137">
        <v>3200</v>
      </c>
      <c r="O14" s="138">
        <v>32400</v>
      </c>
      <c r="P14" s="137">
        <v>19200</v>
      </c>
      <c r="Q14" s="137">
        <v>0</v>
      </c>
      <c r="R14" s="137">
        <v>8400</v>
      </c>
      <c r="S14" s="137">
        <v>1600</v>
      </c>
      <c r="T14" s="137">
        <v>0</v>
      </c>
      <c r="U14" s="137">
        <v>3200</v>
      </c>
      <c r="V14" s="137">
        <v>0</v>
      </c>
      <c r="W14" s="137">
        <v>32400</v>
      </c>
      <c r="X14" s="137">
        <v>0</v>
      </c>
      <c r="Y14" s="137">
        <v>200</v>
      </c>
      <c r="Z14" s="137">
        <v>0</v>
      </c>
      <c r="AA14" s="137">
        <v>0</v>
      </c>
      <c r="AB14" s="137">
        <v>0</v>
      </c>
      <c r="AC14" s="137">
        <v>200</v>
      </c>
      <c r="AD14" s="137">
        <v>32200</v>
      </c>
      <c r="AE14" s="137" t="s">
        <v>410</v>
      </c>
      <c r="AF14" s="137" t="s">
        <v>373</v>
      </c>
    </row>
    <row r="15" spans="1:32" s="133" customFormat="1" hidden="1" x14ac:dyDescent="0.3">
      <c r="A15" s="137">
        <f t="shared" si="0"/>
        <v>13</v>
      </c>
      <c r="B15" s="137">
        <v>1010</v>
      </c>
      <c r="C15" s="137">
        <v>1010</v>
      </c>
      <c r="D15" s="137" t="s">
        <v>411</v>
      </c>
      <c r="E15" s="137" t="s">
        <v>5</v>
      </c>
      <c r="F15" s="137" t="s">
        <v>387</v>
      </c>
      <c r="G15" s="137" t="s">
        <v>335</v>
      </c>
      <c r="H15" s="137">
        <v>26</v>
      </c>
      <c r="I15" s="137">
        <v>34615</v>
      </c>
      <c r="J15" s="137">
        <v>5384</v>
      </c>
      <c r="K15" s="137">
        <v>12846</v>
      </c>
      <c r="L15" s="137">
        <v>0</v>
      </c>
      <c r="M15" s="137">
        <v>8192</v>
      </c>
      <c r="N15" s="137">
        <v>8192</v>
      </c>
      <c r="O15" s="137">
        <v>69229</v>
      </c>
      <c r="P15" s="137">
        <v>34615</v>
      </c>
      <c r="Q15" s="137">
        <v>5384</v>
      </c>
      <c r="R15" s="137">
        <v>12846</v>
      </c>
      <c r="S15" s="137">
        <v>0</v>
      </c>
      <c r="T15" s="137">
        <v>8192</v>
      </c>
      <c r="U15" s="137">
        <v>8192</v>
      </c>
      <c r="V15" s="137">
        <v>0</v>
      </c>
      <c r="W15" s="137">
        <v>69229</v>
      </c>
      <c r="X15" s="137">
        <v>0</v>
      </c>
      <c r="Y15" s="137">
        <v>200</v>
      </c>
      <c r="Z15" s="137">
        <v>0</v>
      </c>
      <c r="AA15" s="137">
        <v>1000</v>
      </c>
      <c r="AB15" s="137">
        <v>10512</v>
      </c>
      <c r="AC15" s="137">
        <v>11712</v>
      </c>
      <c r="AD15" s="137">
        <v>57517</v>
      </c>
      <c r="AE15" s="137" t="s">
        <v>412</v>
      </c>
      <c r="AF15" s="137" t="s">
        <v>413</v>
      </c>
    </row>
    <row r="16" spans="1:32" s="133" customFormat="1" hidden="1" x14ac:dyDescent="0.3">
      <c r="A16" s="137">
        <f t="shared" si="0"/>
        <v>14</v>
      </c>
      <c r="B16" s="137">
        <v>1068</v>
      </c>
      <c r="C16" s="137">
        <v>1068</v>
      </c>
      <c r="D16" s="137" t="s">
        <v>414</v>
      </c>
      <c r="E16" s="137" t="s">
        <v>379</v>
      </c>
      <c r="F16" s="137" t="s">
        <v>415</v>
      </c>
      <c r="G16" s="137" t="s">
        <v>332</v>
      </c>
      <c r="H16" s="137">
        <v>25</v>
      </c>
      <c r="I16" s="138">
        <v>32500</v>
      </c>
      <c r="J16" s="137">
        <v>8950</v>
      </c>
      <c r="K16" s="137">
        <v>13000</v>
      </c>
      <c r="L16" s="137">
        <v>1600</v>
      </c>
      <c r="M16" s="137">
        <v>8950</v>
      </c>
      <c r="N16" s="137">
        <v>0</v>
      </c>
      <c r="O16" s="138">
        <v>65000</v>
      </c>
      <c r="P16" s="137">
        <v>32500</v>
      </c>
      <c r="Q16" s="137">
        <v>8950</v>
      </c>
      <c r="R16" s="137">
        <v>13000</v>
      </c>
      <c r="S16" s="137">
        <v>1600</v>
      </c>
      <c r="T16" s="137">
        <v>8950</v>
      </c>
      <c r="U16" s="137">
        <v>0</v>
      </c>
      <c r="V16" s="137">
        <v>0</v>
      </c>
      <c r="W16" s="137">
        <v>65000</v>
      </c>
      <c r="X16" s="137">
        <v>0</v>
      </c>
      <c r="Y16" s="137">
        <v>200</v>
      </c>
      <c r="Z16" s="137">
        <v>0</v>
      </c>
      <c r="AA16" s="137">
        <v>1000</v>
      </c>
      <c r="AB16" s="137">
        <v>0</v>
      </c>
      <c r="AC16" s="137">
        <v>1200</v>
      </c>
      <c r="AD16" s="137">
        <v>63800</v>
      </c>
      <c r="AE16" s="137" t="s">
        <v>416</v>
      </c>
      <c r="AF16" s="137" t="s">
        <v>393</v>
      </c>
    </row>
    <row r="17" spans="1:32" s="133" customFormat="1" hidden="1" x14ac:dyDescent="0.3">
      <c r="A17" s="137">
        <f t="shared" si="0"/>
        <v>15</v>
      </c>
      <c r="B17" s="137">
        <v>1070</v>
      </c>
      <c r="C17" s="137">
        <v>1070</v>
      </c>
      <c r="D17" s="137" t="s">
        <v>417</v>
      </c>
      <c r="E17" s="137" t="s">
        <v>418</v>
      </c>
      <c r="F17" s="137" t="s">
        <v>419</v>
      </c>
      <c r="G17" s="137" t="s">
        <v>320</v>
      </c>
      <c r="H17" s="137">
        <v>25</v>
      </c>
      <c r="I17" s="138">
        <v>35700</v>
      </c>
      <c r="J17" s="137">
        <v>2800</v>
      </c>
      <c r="K17" s="137">
        <v>14280</v>
      </c>
      <c r="L17" s="137">
        <v>1600</v>
      </c>
      <c r="M17" s="137">
        <v>5120</v>
      </c>
      <c r="N17" s="137">
        <v>0</v>
      </c>
      <c r="O17" s="138">
        <v>59500</v>
      </c>
      <c r="P17" s="137">
        <v>35700</v>
      </c>
      <c r="Q17" s="137">
        <v>2800</v>
      </c>
      <c r="R17" s="137">
        <v>14280</v>
      </c>
      <c r="S17" s="137">
        <v>1600</v>
      </c>
      <c r="T17" s="137">
        <v>5120</v>
      </c>
      <c r="U17" s="137">
        <v>0</v>
      </c>
      <c r="V17" s="137">
        <v>0</v>
      </c>
      <c r="W17" s="137">
        <v>59500</v>
      </c>
      <c r="X17" s="137">
        <v>0</v>
      </c>
      <c r="Y17" s="137">
        <v>200</v>
      </c>
      <c r="Z17" s="137">
        <v>10000</v>
      </c>
      <c r="AA17" s="137">
        <v>0</v>
      </c>
      <c r="AB17" s="137">
        <v>0</v>
      </c>
      <c r="AC17" s="137">
        <v>10200</v>
      </c>
      <c r="AD17" s="137">
        <v>49300</v>
      </c>
      <c r="AE17" s="137" t="s">
        <v>420</v>
      </c>
      <c r="AF17" s="137" t="s">
        <v>393</v>
      </c>
    </row>
    <row r="18" spans="1:32" s="133" customFormat="1" hidden="1" x14ac:dyDescent="0.3">
      <c r="A18" s="137">
        <f t="shared" si="0"/>
        <v>16</v>
      </c>
      <c r="B18" s="137">
        <v>1118</v>
      </c>
      <c r="C18" s="137">
        <v>1118</v>
      </c>
      <c r="D18" s="137" t="s">
        <v>421</v>
      </c>
      <c r="E18" s="137" t="s">
        <v>418</v>
      </c>
      <c r="F18" s="137" t="s">
        <v>422</v>
      </c>
      <c r="G18" s="137" t="s">
        <v>321</v>
      </c>
      <c r="H18" s="137">
        <v>25</v>
      </c>
      <c r="I18" s="138">
        <v>21000</v>
      </c>
      <c r="J18" s="137">
        <v>0</v>
      </c>
      <c r="K18" s="137">
        <v>8400</v>
      </c>
      <c r="L18" s="137">
        <v>1600</v>
      </c>
      <c r="M18" s="137">
        <v>4000</v>
      </c>
      <c r="N18" s="137">
        <v>0</v>
      </c>
      <c r="O18" s="138">
        <v>35000</v>
      </c>
      <c r="P18" s="137">
        <v>21000</v>
      </c>
      <c r="Q18" s="137">
        <v>0</v>
      </c>
      <c r="R18" s="137">
        <v>8400</v>
      </c>
      <c r="S18" s="137">
        <v>1600</v>
      </c>
      <c r="T18" s="137">
        <v>4000</v>
      </c>
      <c r="U18" s="137">
        <v>0</v>
      </c>
      <c r="V18" s="137">
        <v>0</v>
      </c>
      <c r="W18" s="137">
        <v>35000</v>
      </c>
      <c r="X18" s="137">
        <v>0</v>
      </c>
      <c r="Y18" s="137">
        <v>200</v>
      </c>
      <c r="Z18" s="137">
        <v>0</v>
      </c>
      <c r="AA18" s="137">
        <v>0</v>
      </c>
      <c r="AB18" s="137">
        <v>0</v>
      </c>
      <c r="AC18" s="137">
        <v>200</v>
      </c>
      <c r="AD18" s="137">
        <v>34800</v>
      </c>
      <c r="AE18" s="137" t="s">
        <v>423</v>
      </c>
      <c r="AF18" s="137" t="s">
        <v>424</v>
      </c>
    </row>
    <row r="19" spans="1:32" s="133" customFormat="1" hidden="1" x14ac:dyDescent="0.3">
      <c r="A19" s="137">
        <f t="shared" si="0"/>
        <v>17</v>
      </c>
      <c r="B19" s="137">
        <v>1119</v>
      </c>
      <c r="C19" s="137">
        <v>1119</v>
      </c>
      <c r="D19" s="137" t="s">
        <v>425</v>
      </c>
      <c r="E19" s="137" t="s">
        <v>370</v>
      </c>
      <c r="F19" s="137" t="s">
        <v>426</v>
      </c>
      <c r="G19" s="137" t="s">
        <v>332</v>
      </c>
      <c r="H19" s="137">
        <v>25</v>
      </c>
      <c r="I19" s="138">
        <v>16000</v>
      </c>
      <c r="J19" s="137">
        <v>0</v>
      </c>
      <c r="K19" s="137">
        <v>7200</v>
      </c>
      <c r="L19" s="137">
        <v>0</v>
      </c>
      <c r="M19" s="137">
        <v>0</v>
      </c>
      <c r="N19" s="137">
        <v>0</v>
      </c>
      <c r="O19" s="138">
        <v>23200</v>
      </c>
      <c r="P19" s="137">
        <v>16000</v>
      </c>
      <c r="Q19" s="137">
        <v>0</v>
      </c>
      <c r="R19" s="137">
        <v>7200</v>
      </c>
      <c r="S19" s="137">
        <v>0</v>
      </c>
      <c r="T19" s="137">
        <v>0</v>
      </c>
      <c r="U19" s="137">
        <v>0</v>
      </c>
      <c r="V19" s="137">
        <v>0</v>
      </c>
      <c r="W19" s="137">
        <v>23200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  <c r="AD19" s="137">
        <v>23200</v>
      </c>
      <c r="AE19" s="137" t="s">
        <v>427</v>
      </c>
      <c r="AF19" s="137" t="s">
        <v>373</v>
      </c>
    </row>
    <row r="20" spans="1:32" s="133" customFormat="1" hidden="1" x14ac:dyDescent="0.3">
      <c r="A20" s="137">
        <f t="shared" si="0"/>
        <v>18</v>
      </c>
      <c r="B20" s="137">
        <v>1163</v>
      </c>
      <c r="C20" s="137">
        <v>1163</v>
      </c>
      <c r="D20" s="137" t="s">
        <v>428</v>
      </c>
      <c r="E20" s="137" t="s">
        <v>429</v>
      </c>
      <c r="F20" s="137" t="s">
        <v>430</v>
      </c>
      <c r="G20" s="137" t="s">
        <v>335</v>
      </c>
      <c r="H20" s="137">
        <v>26</v>
      </c>
      <c r="I20" s="137">
        <v>25000</v>
      </c>
      <c r="J20" s="137">
        <v>5000</v>
      </c>
      <c r="K20" s="137">
        <v>10000</v>
      </c>
      <c r="L20" s="137">
        <v>1600</v>
      </c>
      <c r="M20" s="137">
        <v>3400</v>
      </c>
      <c r="N20" s="137">
        <v>5000</v>
      </c>
      <c r="O20" s="137">
        <v>50000</v>
      </c>
      <c r="P20" s="137">
        <v>25000</v>
      </c>
      <c r="Q20" s="137">
        <v>5000</v>
      </c>
      <c r="R20" s="137">
        <v>10000</v>
      </c>
      <c r="S20" s="137">
        <v>1600</v>
      </c>
      <c r="T20" s="137">
        <v>3400</v>
      </c>
      <c r="U20" s="137">
        <v>5000</v>
      </c>
      <c r="V20" s="137">
        <v>0</v>
      </c>
      <c r="W20" s="137">
        <v>50000</v>
      </c>
      <c r="X20" s="137">
        <v>0</v>
      </c>
      <c r="Y20" s="137">
        <v>200</v>
      </c>
      <c r="Z20" s="137">
        <v>0</v>
      </c>
      <c r="AA20" s="137">
        <v>0</v>
      </c>
      <c r="AB20" s="137">
        <v>0</v>
      </c>
      <c r="AC20" s="137">
        <v>200</v>
      </c>
      <c r="AD20" s="137">
        <v>49800</v>
      </c>
      <c r="AE20" s="137" t="s">
        <v>431</v>
      </c>
      <c r="AF20" s="137" t="s">
        <v>432</v>
      </c>
    </row>
    <row r="21" spans="1:32" s="133" customFormat="1" hidden="1" x14ac:dyDescent="0.3">
      <c r="A21" s="137">
        <f t="shared" si="0"/>
        <v>19</v>
      </c>
      <c r="B21" s="137">
        <v>1165</v>
      </c>
      <c r="C21" s="137">
        <v>1165</v>
      </c>
      <c r="D21" s="137" t="s">
        <v>433</v>
      </c>
      <c r="E21" s="137" t="s">
        <v>434</v>
      </c>
      <c r="F21" s="137" t="s">
        <v>435</v>
      </c>
      <c r="G21" s="137" t="s">
        <v>335</v>
      </c>
      <c r="H21" s="137">
        <v>26</v>
      </c>
      <c r="I21" s="137">
        <v>33992</v>
      </c>
      <c r="J21" s="137">
        <v>0</v>
      </c>
      <c r="K21" s="137">
        <v>13597</v>
      </c>
      <c r="L21" s="137">
        <v>1600</v>
      </c>
      <c r="M21" s="137">
        <v>6580</v>
      </c>
      <c r="N21" s="137">
        <v>0</v>
      </c>
      <c r="O21" s="137">
        <v>55769</v>
      </c>
      <c r="P21" s="137">
        <v>33992</v>
      </c>
      <c r="Q21" s="137">
        <v>0</v>
      </c>
      <c r="R21" s="137">
        <v>13597</v>
      </c>
      <c r="S21" s="137">
        <v>1600</v>
      </c>
      <c r="T21" s="137">
        <v>6580</v>
      </c>
      <c r="U21" s="137">
        <v>0</v>
      </c>
      <c r="V21" s="137">
        <v>0</v>
      </c>
      <c r="W21" s="137">
        <v>55769</v>
      </c>
      <c r="X21" s="137">
        <v>0</v>
      </c>
      <c r="Y21" s="137">
        <v>200</v>
      </c>
      <c r="Z21" s="137">
        <v>0</v>
      </c>
      <c r="AA21" s="137">
        <v>0</v>
      </c>
      <c r="AB21" s="137">
        <v>0</v>
      </c>
      <c r="AC21" s="137">
        <v>200</v>
      </c>
      <c r="AD21" s="137">
        <v>55569</v>
      </c>
      <c r="AE21" s="137" t="s">
        <v>436</v>
      </c>
      <c r="AF21" s="137" t="s">
        <v>437</v>
      </c>
    </row>
    <row r="22" spans="1:32" s="133" customFormat="1" hidden="1" x14ac:dyDescent="0.3">
      <c r="A22" s="137">
        <f t="shared" si="0"/>
        <v>20</v>
      </c>
      <c r="B22" s="137">
        <v>1173</v>
      </c>
      <c r="C22" s="137">
        <v>1173</v>
      </c>
      <c r="D22" s="137" t="s">
        <v>438</v>
      </c>
      <c r="E22" s="137" t="s">
        <v>370</v>
      </c>
      <c r="F22" s="137" t="s">
        <v>439</v>
      </c>
      <c r="G22" s="137" t="s">
        <v>324</v>
      </c>
      <c r="H22" s="137">
        <v>25</v>
      </c>
      <c r="I22" s="138">
        <v>14421</v>
      </c>
      <c r="J22" s="137">
        <v>0</v>
      </c>
      <c r="K22" s="137">
        <v>5768</v>
      </c>
      <c r="L22" s="137">
        <v>1600</v>
      </c>
      <c r="M22" s="137">
        <v>2246</v>
      </c>
      <c r="N22" s="137">
        <v>0</v>
      </c>
      <c r="O22" s="138">
        <v>24035</v>
      </c>
      <c r="P22" s="137">
        <v>14421</v>
      </c>
      <c r="Q22" s="137">
        <v>0</v>
      </c>
      <c r="R22" s="137">
        <v>5768</v>
      </c>
      <c r="S22" s="137">
        <v>1600</v>
      </c>
      <c r="T22" s="137">
        <v>2246</v>
      </c>
      <c r="U22" s="137">
        <v>0</v>
      </c>
      <c r="V22" s="137">
        <v>1805</v>
      </c>
      <c r="W22" s="137">
        <v>25840</v>
      </c>
      <c r="X22" s="137">
        <v>0</v>
      </c>
      <c r="Y22" s="137">
        <v>0</v>
      </c>
      <c r="Z22" s="137">
        <v>0</v>
      </c>
      <c r="AA22" s="137">
        <v>0</v>
      </c>
      <c r="AB22" s="137">
        <v>0</v>
      </c>
      <c r="AC22" s="137">
        <v>0</v>
      </c>
      <c r="AD22" s="137">
        <v>25840</v>
      </c>
      <c r="AE22" s="137" t="s">
        <v>440</v>
      </c>
      <c r="AF22" s="137" t="s">
        <v>373</v>
      </c>
    </row>
    <row r="23" spans="1:32" s="133" customFormat="1" hidden="1" x14ac:dyDescent="0.3">
      <c r="A23" s="137">
        <f t="shared" si="0"/>
        <v>21</v>
      </c>
      <c r="B23" s="137">
        <v>1184</v>
      </c>
      <c r="C23" s="137">
        <v>1184</v>
      </c>
      <c r="D23" s="137" t="s">
        <v>441</v>
      </c>
      <c r="E23" s="137" t="s">
        <v>370</v>
      </c>
      <c r="F23" s="137" t="s">
        <v>401</v>
      </c>
      <c r="G23" s="137" t="s">
        <v>331</v>
      </c>
      <c r="H23" s="137">
        <v>25</v>
      </c>
      <c r="I23" s="138">
        <v>16500</v>
      </c>
      <c r="J23" s="137">
        <v>1420</v>
      </c>
      <c r="K23" s="137">
        <v>6400</v>
      </c>
      <c r="L23" s="137">
        <v>1600</v>
      </c>
      <c r="M23" s="137">
        <v>0</v>
      </c>
      <c r="N23" s="137">
        <v>0</v>
      </c>
      <c r="O23" s="138">
        <v>25920</v>
      </c>
      <c r="P23" s="137">
        <v>16500</v>
      </c>
      <c r="Q23" s="137">
        <v>1420</v>
      </c>
      <c r="R23" s="137">
        <v>6400</v>
      </c>
      <c r="S23" s="137">
        <v>1600</v>
      </c>
      <c r="T23" s="137">
        <v>0</v>
      </c>
      <c r="U23" s="137">
        <v>0</v>
      </c>
      <c r="V23" s="137">
        <v>0</v>
      </c>
      <c r="W23" s="137">
        <v>25920</v>
      </c>
      <c r="X23" s="137">
        <v>0</v>
      </c>
      <c r="Y23" s="137">
        <v>200</v>
      </c>
      <c r="Z23" s="137">
        <v>0</v>
      </c>
      <c r="AA23" s="137">
        <v>0</v>
      </c>
      <c r="AB23" s="137">
        <v>0</v>
      </c>
      <c r="AC23" s="137">
        <v>200</v>
      </c>
      <c r="AD23" s="137">
        <v>25720</v>
      </c>
      <c r="AE23" s="137" t="s">
        <v>442</v>
      </c>
      <c r="AF23" s="137" t="s">
        <v>373</v>
      </c>
    </row>
    <row r="24" spans="1:32" s="133" customFormat="1" hidden="1" x14ac:dyDescent="0.3">
      <c r="A24" s="137">
        <f t="shared" si="0"/>
        <v>22</v>
      </c>
      <c r="B24" s="137">
        <v>1205</v>
      </c>
      <c r="C24" s="137">
        <v>1205</v>
      </c>
      <c r="D24" s="137" t="s">
        <v>443</v>
      </c>
      <c r="E24" s="137" t="s">
        <v>322</v>
      </c>
      <c r="F24" s="137" t="s">
        <v>444</v>
      </c>
      <c r="G24" s="137" t="s">
        <v>322</v>
      </c>
      <c r="H24" s="137">
        <v>26</v>
      </c>
      <c r="I24" s="138">
        <v>33992</v>
      </c>
      <c r="J24" s="137">
        <v>0</v>
      </c>
      <c r="K24" s="137">
        <v>13597</v>
      </c>
      <c r="L24" s="137">
        <v>1600</v>
      </c>
      <c r="M24" s="137">
        <v>7464</v>
      </c>
      <c r="N24" s="137">
        <v>0</v>
      </c>
      <c r="O24" s="138">
        <v>56653</v>
      </c>
      <c r="P24" s="137">
        <v>33992</v>
      </c>
      <c r="Q24" s="137">
        <v>0</v>
      </c>
      <c r="R24" s="137">
        <v>13597</v>
      </c>
      <c r="S24" s="137">
        <v>1600</v>
      </c>
      <c r="T24" s="137">
        <v>7464</v>
      </c>
      <c r="U24" s="137">
        <v>0</v>
      </c>
      <c r="V24" s="137">
        <v>0</v>
      </c>
      <c r="W24" s="137">
        <v>56653</v>
      </c>
      <c r="X24" s="137">
        <v>0</v>
      </c>
      <c r="Y24" s="137">
        <v>200</v>
      </c>
      <c r="Z24" s="137">
        <v>0</v>
      </c>
      <c r="AA24" s="137">
        <v>0</v>
      </c>
      <c r="AB24" s="137">
        <v>0</v>
      </c>
      <c r="AC24" s="137">
        <v>200</v>
      </c>
      <c r="AD24" s="137">
        <v>56453</v>
      </c>
      <c r="AE24" s="137" t="s">
        <v>445</v>
      </c>
      <c r="AF24" s="137" t="s">
        <v>446</v>
      </c>
    </row>
    <row r="25" spans="1:32" s="133" customFormat="1" hidden="1" x14ac:dyDescent="0.3">
      <c r="A25" s="137">
        <f t="shared" si="0"/>
        <v>23</v>
      </c>
      <c r="B25" s="137">
        <v>1206</v>
      </c>
      <c r="C25" s="137">
        <v>1206</v>
      </c>
      <c r="D25" s="137" t="s">
        <v>447</v>
      </c>
      <c r="E25" s="137" t="s">
        <v>322</v>
      </c>
      <c r="F25" s="137" t="s">
        <v>444</v>
      </c>
      <c r="G25" s="137" t="s">
        <v>322</v>
      </c>
      <c r="H25" s="137">
        <v>26</v>
      </c>
      <c r="I25" s="138">
        <v>29301</v>
      </c>
      <c r="J25" s="137">
        <v>0</v>
      </c>
      <c r="K25" s="137">
        <v>11720</v>
      </c>
      <c r="L25" s="137">
        <v>1600</v>
      </c>
      <c r="M25" s="137">
        <v>6214</v>
      </c>
      <c r="N25" s="137">
        <v>0</v>
      </c>
      <c r="O25" s="138">
        <v>48835</v>
      </c>
      <c r="P25" s="137">
        <v>29301</v>
      </c>
      <c r="Q25" s="137">
        <v>0</v>
      </c>
      <c r="R25" s="137">
        <v>11720</v>
      </c>
      <c r="S25" s="137">
        <v>1600</v>
      </c>
      <c r="T25" s="137">
        <v>6214</v>
      </c>
      <c r="U25" s="137">
        <v>0</v>
      </c>
      <c r="V25" s="137">
        <v>0</v>
      </c>
      <c r="W25" s="137">
        <v>48835</v>
      </c>
      <c r="X25" s="137">
        <v>0</v>
      </c>
      <c r="Y25" s="137">
        <v>200</v>
      </c>
      <c r="Z25" s="137">
        <v>0</v>
      </c>
      <c r="AA25" s="137">
        <v>0</v>
      </c>
      <c r="AB25" s="137">
        <v>0</v>
      </c>
      <c r="AC25" s="137">
        <v>200</v>
      </c>
      <c r="AD25" s="137">
        <v>48635</v>
      </c>
      <c r="AE25" s="137" t="s">
        <v>448</v>
      </c>
      <c r="AF25" s="137" t="s">
        <v>449</v>
      </c>
    </row>
    <row r="26" spans="1:32" s="133" customFormat="1" hidden="1" x14ac:dyDescent="0.3">
      <c r="A26" s="137">
        <f t="shared" si="0"/>
        <v>24</v>
      </c>
      <c r="B26" s="137">
        <v>1276</v>
      </c>
      <c r="C26" s="137">
        <v>1276</v>
      </c>
      <c r="D26" s="137" t="s">
        <v>450</v>
      </c>
      <c r="E26" s="137" t="s">
        <v>434</v>
      </c>
      <c r="F26" s="137" t="s">
        <v>451</v>
      </c>
      <c r="G26" s="137" t="s">
        <v>335</v>
      </c>
      <c r="H26" s="137">
        <v>26</v>
      </c>
      <c r="I26" s="137">
        <v>53438</v>
      </c>
      <c r="J26" s="137">
        <v>8000</v>
      </c>
      <c r="K26" s="137">
        <v>25244</v>
      </c>
      <c r="L26" s="137">
        <v>1600</v>
      </c>
      <c r="M26" s="137">
        <v>7718</v>
      </c>
      <c r="N26" s="137">
        <v>0</v>
      </c>
      <c r="O26" s="137">
        <v>96000</v>
      </c>
      <c r="P26" s="137">
        <v>53438</v>
      </c>
      <c r="Q26" s="137">
        <v>8000</v>
      </c>
      <c r="R26" s="137">
        <v>25244</v>
      </c>
      <c r="S26" s="137">
        <v>1600</v>
      </c>
      <c r="T26" s="137">
        <v>7718</v>
      </c>
      <c r="U26" s="137">
        <v>0</v>
      </c>
      <c r="V26" s="137">
        <v>3000</v>
      </c>
      <c r="W26" s="137">
        <v>99000</v>
      </c>
      <c r="X26" s="137">
        <v>0</v>
      </c>
      <c r="Y26" s="137">
        <v>0</v>
      </c>
      <c r="Z26" s="137">
        <v>0</v>
      </c>
      <c r="AA26" s="137">
        <v>5000</v>
      </c>
      <c r="AB26" s="137">
        <v>1165</v>
      </c>
      <c r="AC26" s="137">
        <v>6165</v>
      </c>
      <c r="AD26" s="137">
        <v>92835</v>
      </c>
      <c r="AE26" s="137" t="s">
        <v>452</v>
      </c>
      <c r="AF26" s="137" t="s">
        <v>373</v>
      </c>
    </row>
    <row r="27" spans="1:32" s="133" customFormat="1" x14ac:dyDescent="0.3">
      <c r="A27" s="137">
        <f t="shared" si="0"/>
        <v>25</v>
      </c>
      <c r="B27" s="137">
        <v>1409</v>
      </c>
      <c r="C27" s="137">
        <v>1409</v>
      </c>
      <c r="D27" s="137" t="s">
        <v>453</v>
      </c>
      <c r="E27" s="137" t="s">
        <v>383</v>
      </c>
      <c r="F27" s="137" t="s">
        <v>454</v>
      </c>
      <c r="G27" s="137" t="s">
        <v>323</v>
      </c>
      <c r="H27" s="137">
        <v>25</v>
      </c>
      <c r="I27" s="138">
        <v>20724</v>
      </c>
      <c r="J27" s="137">
        <v>0</v>
      </c>
      <c r="K27" s="137">
        <v>9420</v>
      </c>
      <c r="L27" s="137">
        <v>1600</v>
      </c>
      <c r="M27" s="137">
        <v>3424</v>
      </c>
      <c r="N27" s="137">
        <v>0</v>
      </c>
      <c r="O27" s="138">
        <v>35168</v>
      </c>
      <c r="P27" s="137">
        <v>20724</v>
      </c>
      <c r="Q27" s="137">
        <v>0</v>
      </c>
      <c r="R27" s="137">
        <v>9420</v>
      </c>
      <c r="S27" s="137">
        <v>1600</v>
      </c>
      <c r="T27" s="137">
        <v>3424</v>
      </c>
      <c r="U27" s="137">
        <v>0</v>
      </c>
      <c r="V27" s="137">
        <v>0</v>
      </c>
      <c r="W27" s="137">
        <v>35168</v>
      </c>
      <c r="X27" s="137">
        <v>0</v>
      </c>
      <c r="Y27" s="137">
        <v>200</v>
      </c>
      <c r="Z27" s="137">
        <v>0</v>
      </c>
      <c r="AA27" s="137">
        <v>0</v>
      </c>
      <c r="AB27" s="137">
        <v>997</v>
      </c>
      <c r="AC27" s="137">
        <v>1197</v>
      </c>
      <c r="AD27" s="137">
        <v>33971</v>
      </c>
      <c r="AE27" s="137" t="s">
        <v>455</v>
      </c>
      <c r="AF27" s="137" t="s">
        <v>373</v>
      </c>
    </row>
    <row r="28" spans="1:32" s="133" customFormat="1" hidden="1" x14ac:dyDescent="0.3">
      <c r="A28" s="137">
        <f t="shared" si="0"/>
        <v>26</v>
      </c>
      <c r="B28" s="137">
        <v>1424</v>
      </c>
      <c r="C28" s="137">
        <v>1424</v>
      </c>
      <c r="D28" s="137" t="s">
        <v>456</v>
      </c>
      <c r="E28" s="137" t="s">
        <v>370</v>
      </c>
      <c r="F28" s="137" t="s">
        <v>457</v>
      </c>
      <c r="G28" s="137" t="s">
        <v>332</v>
      </c>
      <c r="H28" s="137">
        <v>25</v>
      </c>
      <c r="I28" s="138">
        <v>49500</v>
      </c>
      <c r="J28" s="137">
        <v>0</v>
      </c>
      <c r="K28" s="137">
        <v>19800</v>
      </c>
      <c r="L28" s="137">
        <v>1600</v>
      </c>
      <c r="M28" s="137">
        <v>0</v>
      </c>
      <c r="N28" s="137">
        <v>11600</v>
      </c>
      <c r="O28" s="138">
        <v>82500</v>
      </c>
      <c r="P28" s="137">
        <v>49500</v>
      </c>
      <c r="Q28" s="137">
        <v>0</v>
      </c>
      <c r="R28" s="137">
        <v>19800</v>
      </c>
      <c r="S28" s="137">
        <v>1600</v>
      </c>
      <c r="T28" s="137">
        <v>0</v>
      </c>
      <c r="U28" s="137">
        <v>11600</v>
      </c>
      <c r="V28" s="137">
        <v>0</v>
      </c>
      <c r="W28" s="137">
        <v>82500</v>
      </c>
      <c r="X28" s="137">
        <v>0</v>
      </c>
      <c r="Y28" s="137">
        <v>200</v>
      </c>
      <c r="Z28" s="137">
        <v>0</v>
      </c>
      <c r="AA28" s="137">
        <v>5000</v>
      </c>
      <c r="AB28" s="137">
        <v>840</v>
      </c>
      <c r="AC28" s="137">
        <v>6040</v>
      </c>
      <c r="AD28" s="137">
        <v>76460</v>
      </c>
      <c r="AE28" s="137" t="s">
        <v>458</v>
      </c>
      <c r="AF28" s="137" t="s">
        <v>373</v>
      </c>
    </row>
    <row r="29" spans="1:32" s="133" customFormat="1" hidden="1" x14ac:dyDescent="0.3">
      <c r="A29" s="137">
        <f t="shared" si="0"/>
        <v>27</v>
      </c>
      <c r="B29" s="137">
        <v>1512</v>
      </c>
      <c r="C29" s="137">
        <v>1512</v>
      </c>
      <c r="D29" s="137" t="s">
        <v>459</v>
      </c>
      <c r="E29" s="137" t="s">
        <v>460</v>
      </c>
      <c r="F29" s="137" t="s">
        <v>461</v>
      </c>
      <c r="G29" s="137" t="s">
        <v>335</v>
      </c>
      <c r="H29" s="137">
        <v>26</v>
      </c>
      <c r="I29" s="138">
        <v>24139</v>
      </c>
      <c r="J29" s="137">
        <v>0</v>
      </c>
      <c r="K29" s="137">
        <v>10973</v>
      </c>
      <c r="L29" s="137">
        <v>1600</v>
      </c>
      <c r="M29" s="137">
        <v>4252</v>
      </c>
      <c r="N29" s="137">
        <v>0</v>
      </c>
      <c r="O29" s="138">
        <v>40964</v>
      </c>
      <c r="P29" s="137">
        <v>24139</v>
      </c>
      <c r="Q29" s="137">
        <v>0</v>
      </c>
      <c r="R29" s="137">
        <v>10973</v>
      </c>
      <c r="S29" s="137">
        <v>1600</v>
      </c>
      <c r="T29" s="137">
        <v>4252</v>
      </c>
      <c r="U29" s="137">
        <v>0</v>
      </c>
      <c r="V29" s="137">
        <v>0</v>
      </c>
      <c r="W29" s="137">
        <v>40964</v>
      </c>
      <c r="X29" s="137">
        <v>0</v>
      </c>
      <c r="Y29" s="137">
        <v>200</v>
      </c>
      <c r="Z29" s="137">
        <v>0</v>
      </c>
      <c r="AA29" s="137">
        <v>0</v>
      </c>
      <c r="AB29" s="137">
        <v>0</v>
      </c>
      <c r="AC29" s="137">
        <v>200</v>
      </c>
      <c r="AD29" s="137">
        <v>40764</v>
      </c>
      <c r="AE29" s="137" t="s">
        <v>462</v>
      </c>
      <c r="AF29" s="137" t="s">
        <v>373</v>
      </c>
    </row>
    <row r="30" spans="1:32" s="133" customFormat="1" hidden="1" x14ac:dyDescent="0.3">
      <c r="A30" s="137">
        <f t="shared" si="0"/>
        <v>28</v>
      </c>
      <c r="B30" s="137">
        <v>11001</v>
      </c>
      <c r="C30" s="137">
        <v>11001</v>
      </c>
      <c r="D30" s="137" t="s">
        <v>463</v>
      </c>
      <c r="E30" s="137" t="s">
        <v>370</v>
      </c>
      <c r="F30" s="137" t="s">
        <v>464</v>
      </c>
      <c r="G30" s="137" t="s">
        <v>330</v>
      </c>
      <c r="H30" s="137">
        <v>25</v>
      </c>
      <c r="I30" s="138">
        <v>53580</v>
      </c>
      <c r="J30" s="137">
        <v>0</v>
      </c>
      <c r="K30" s="137">
        <v>35031</v>
      </c>
      <c r="L30" s="137">
        <v>1600</v>
      </c>
      <c r="M30" s="137">
        <v>26948</v>
      </c>
      <c r="N30" s="137">
        <v>10000</v>
      </c>
      <c r="O30" s="138">
        <v>127159</v>
      </c>
      <c r="P30" s="137">
        <v>53580</v>
      </c>
      <c r="Q30" s="137">
        <v>0</v>
      </c>
      <c r="R30" s="137">
        <v>35031</v>
      </c>
      <c r="S30" s="137">
        <v>1600</v>
      </c>
      <c r="T30" s="137">
        <v>26948</v>
      </c>
      <c r="U30" s="137">
        <v>10000</v>
      </c>
      <c r="V30" s="137">
        <v>0</v>
      </c>
      <c r="W30" s="137">
        <v>127159</v>
      </c>
      <c r="X30" s="137">
        <v>0</v>
      </c>
      <c r="Y30" s="137">
        <v>200</v>
      </c>
      <c r="Z30" s="137">
        <v>0</v>
      </c>
      <c r="AA30" s="137">
        <v>10000</v>
      </c>
      <c r="AB30" s="137">
        <v>0</v>
      </c>
      <c r="AC30" s="137">
        <v>10200</v>
      </c>
      <c r="AD30" s="137">
        <v>116959</v>
      </c>
      <c r="AE30" s="137" t="s">
        <v>465</v>
      </c>
      <c r="AF30" s="137" t="s">
        <v>373</v>
      </c>
    </row>
    <row r="31" spans="1:32" s="133" customFormat="1" hidden="1" x14ac:dyDescent="0.3">
      <c r="A31" s="137">
        <f t="shared" si="0"/>
        <v>29</v>
      </c>
      <c r="B31" s="137">
        <v>20021</v>
      </c>
      <c r="C31" s="137">
        <v>20021</v>
      </c>
      <c r="D31" s="137" t="s">
        <v>466</v>
      </c>
      <c r="E31" s="137" t="s">
        <v>403</v>
      </c>
      <c r="F31" s="137" t="s">
        <v>467</v>
      </c>
      <c r="G31" s="137" t="s">
        <v>326</v>
      </c>
      <c r="H31" s="137">
        <v>25</v>
      </c>
      <c r="I31" s="138">
        <v>16000</v>
      </c>
      <c r="J31" s="137">
        <v>0</v>
      </c>
      <c r="K31" s="137">
        <v>6000</v>
      </c>
      <c r="L31" s="137">
        <v>0</v>
      </c>
      <c r="M31" s="137">
        <v>0</v>
      </c>
      <c r="N31" s="137">
        <v>0</v>
      </c>
      <c r="O31" s="138">
        <v>22000</v>
      </c>
      <c r="P31" s="137">
        <v>16000</v>
      </c>
      <c r="Q31" s="137">
        <v>0</v>
      </c>
      <c r="R31" s="137">
        <v>6000</v>
      </c>
      <c r="S31" s="137">
        <v>0</v>
      </c>
      <c r="T31" s="137">
        <v>0</v>
      </c>
      <c r="U31" s="137">
        <v>0</v>
      </c>
      <c r="V31" s="137">
        <v>0</v>
      </c>
      <c r="W31" s="137">
        <v>22000</v>
      </c>
      <c r="X31" s="137">
        <v>0</v>
      </c>
      <c r="Y31" s="137">
        <v>0</v>
      </c>
      <c r="Z31" s="137">
        <v>0</v>
      </c>
      <c r="AA31" s="137">
        <v>0</v>
      </c>
      <c r="AB31" s="137">
        <v>0</v>
      </c>
      <c r="AC31" s="137">
        <v>0</v>
      </c>
      <c r="AD31" s="137">
        <v>22000</v>
      </c>
      <c r="AE31" s="137" t="s">
        <v>468</v>
      </c>
      <c r="AF31" s="137" t="s">
        <v>469</v>
      </c>
    </row>
    <row r="32" spans="1:32" s="133" customFormat="1" hidden="1" x14ac:dyDescent="0.3">
      <c r="A32" s="137">
        <f t="shared" si="0"/>
        <v>30</v>
      </c>
      <c r="B32" s="137">
        <v>20037</v>
      </c>
      <c r="C32" s="137">
        <v>20037</v>
      </c>
      <c r="D32" s="137" t="s">
        <v>470</v>
      </c>
      <c r="E32" s="137" t="s">
        <v>5</v>
      </c>
      <c r="F32" s="137" t="s">
        <v>471</v>
      </c>
      <c r="G32" s="137" t="s">
        <v>335</v>
      </c>
      <c r="H32" s="137">
        <v>26</v>
      </c>
      <c r="I32" s="137">
        <v>65550</v>
      </c>
      <c r="J32" s="137">
        <v>0</v>
      </c>
      <c r="K32" s="137">
        <v>31350</v>
      </c>
      <c r="L32" s="137">
        <v>1600</v>
      </c>
      <c r="M32" s="137">
        <v>16300</v>
      </c>
      <c r="N32" s="137">
        <v>16300</v>
      </c>
      <c r="O32" s="137">
        <v>131100</v>
      </c>
      <c r="P32" s="137">
        <v>65550</v>
      </c>
      <c r="Q32" s="137">
        <v>0</v>
      </c>
      <c r="R32" s="137">
        <v>31350</v>
      </c>
      <c r="S32" s="137">
        <v>1600</v>
      </c>
      <c r="T32" s="137">
        <v>16300</v>
      </c>
      <c r="U32" s="137">
        <v>16300</v>
      </c>
      <c r="V32" s="137">
        <v>0</v>
      </c>
      <c r="W32" s="137">
        <v>131100</v>
      </c>
      <c r="X32" s="137">
        <v>0</v>
      </c>
      <c r="Y32" s="137">
        <v>200</v>
      </c>
      <c r="Z32" s="137">
        <v>0</v>
      </c>
      <c r="AA32" s="137">
        <v>10000</v>
      </c>
      <c r="AB32" s="137">
        <v>472</v>
      </c>
      <c r="AC32" s="137">
        <v>10672</v>
      </c>
      <c r="AD32" s="137">
        <v>120428</v>
      </c>
      <c r="AE32" s="137" t="s">
        <v>472</v>
      </c>
      <c r="AF32" s="137" t="s">
        <v>473</v>
      </c>
    </row>
    <row r="33" spans="1:32" s="133" customFormat="1" hidden="1" x14ac:dyDescent="0.3">
      <c r="A33" s="137">
        <f t="shared" si="0"/>
        <v>31</v>
      </c>
      <c r="B33" s="137">
        <v>20038</v>
      </c>
      <c r="C33" s="137">
        <v>20038</v>
      </c>
      <c r="D33" s="137" t="s">
        <v>474</v>
      </c>
      <c r="E33" s="137" t="s">
        <v>5</v>
      </c>
      <c r="F33" s="137" t="s">
        <v>471</v>
      </c>
      <c r="G33" s="137" t="s">
        <v>335</v>
      </c>
      <c r="H33" s="137">
        <v>26</v>
      </c>
      <c r="I33" s="137">
        <v>53438</v>
      </c>
      <c r="J33" s="137">
        <v>0</v>
      </c>
      <c r="K33" s="137">
        <v>25224</v>
      </c>
      <c r="L33" s="137">
        <v>1600</v>
      </c>
      <c r="M33" s="137">
        <v>9032</v>
      </c>
      <c r="N33" s="137">
        <v>9032</v>
      </c>
      <c r="O33" s="137">
        <v>98326</v>
      </c>
      <c r="P33" s="137">
        <v>53438</v>
      </c>
      <c r="Q33" s="137">
        <v>0</v>
      </c>
      <c r="R33" s="137">
        <v>25224</v>
      </c>
      <c r="S33" s="137">
        <v>1600</v>
      </c>
      <c r="T33" s="137">
        <v>9032</v>
      </c>
      <c r="U33" s="137">
        <v>9032</v>
      </c>
      <c r="V33" s="137">
        <v>0</v>
      </c>
      <c r="W33" s="137">
        <v>98326</v>
      </c>
      <c r="X33" s="137">
        <v>0</v>
      </c>
      <c r="Y33" s="137">
        <v>200</v>
      </c>
      <c r="Z33" s="137">
        <v>0</v>
      </c>
      <c r="AA33" s="137">
        <v>3000</v>
      </c>
      <c r="AB33" s="137">
        <v>0</v>
      </c>
      <c r="AC33" s="137">
        <v>3200</v>
      </c>
      <c r="AD33" s="137">
        <v>95126</v>
      </c>
      <c r="AE33" s="137" t="s">
        <v>475</v>
      </c>
      <c r="AF33" s="137" t="s">
        <v>476</v>
      </c>
    </row>
    <row r="34" spans="1:32" s="133" customFormat="1" hidden="1" x14ac:dyDescent="0.3">
      <c r="A34" s="137">
        <f t="shared" si="0"/>
        <v>32</v>
      </c>
      <c r="B34" s="137">
        <v>20112</v>
      </c>
      <c r="C34" s="137">
        <v>20112</v>
      </c>
      <c r="D34" s="137" t="s">
        <v>477</v>
      </c>
      <c r="E34" s="137" t="s">
        <v>460</v>
      </c>
      <c r="F34" s="137" t="s">
        <v>478</v>
      </c>
      <c r="G34" s="137" t="s">
        <v>320</v>
      </c>
      <c r="H34" s="137">
        <v>22</v>
      </c>
      <c r="I34" s="138">
        <v>16000</v>
      </c>
      <c r="J34" s="137">
        <v>0</v>
      </c>
      <c r="K34" s="137">
        <v>5400</v>
      </c>
      <c r="L34" s="137">
        <v>0</v>
      </c>
      <c r="M34" s="137">
        <v>600</v>
      </c>
      <c r="N34" s="137">
        <v>0</v>
      </c>
      <c r="O34" s="138">
        <v>22000</v>
      </c>
      <c r="P34" s="137">
        <v>14080</v>
      </c>
      <c r="Q34" s="137">
        <v>0</v>
      </c>
      <c r="R34" s="137">
        <v>4752</v>
      </c>
      <c r="S34" s="137">
        <v>0</v>
      </c>
      <c r="T34" s="137">
        <v>528</v>
      </c>
      <c r="U34" s="137">
        <v>0</v>
      </c>
      <c r="V34" s="137">
        <v>0</v>
      </c>
      <c r="W34" s="137">
        <v>19360</v>
      </c>
      <c r="X34" s="137">
        <v>0</v>
      </c>
      <c r="Y34" s="137">
        <v>0</v>
      </c>
      <c r="Z34" s="137">
        <v>0</v>
      </c>
      <c r="AA34" s="137">
        <v>0</v>
      </c>
      <c r="AB34" s="137">
        <v>0</v>
      </c>
      <c r="AC34" s="137">
        <v>0</v>
      </c>
      <c r="AD34" s="137">
        <v>19360</v>
      </c>
      <c r="AE34" s="137" t="s">
        <v>479</v>
      </c>
      <c r="AF34" s="137" t="s">
        <v>480</v>
      </c>
    </row>
    <row r="35" spans="1:32" s="133" customFormat="1" hidden="1" x14ac:dyDescent="0.3">
      <c r="A35" s="137">
        <f t="shared" si="0"/>
        <v>33</v>
      </c>
      <c r="B35" s="137">
        <v>20113</v>
      </c>
      <c r="C35" s="137">
        <v>20113</v>
      </c>
      <c r="D35" s="137" t="s">
        <v>481</v>
      </c>
      <c r="E35" s="137" t="s">
        <v>370</v>
      </c>
      <c r="F35" s="137" t="s">
        <v>482</v>
      </c>
      <c r="G35" s="137" t="s">
        <v>329</v>
      </c>
      <c r="H35" s="137">
        <v>25</v>
      </c>
      <c r="I35" s="138">
        <v>16000</v>
      </c>
      <c r="J35" s="137">
        <v>0</v>
      </c>
      <c r="K35" s="137">
        <v>6400</v>
      </c>
      <c r="L35" s="137">
        <v>0</v>
      </c>
      <c r="M35" s="137">
        <v>600</v>
      </c>
      <c r="N35" s="137">
        <v>0</v>
      </c>
      <c r="O35" s="138">
        <v>23000</v>
      </c>
      <c r="P35" s="137">
        <v>16000</v>
      </c>
      <c r="Q35" s="137">
        <v>0</v>
      </c>
      <c r="R35" s="137">
        <v>6400</v>
      </c>
      <c r="S35" s="137">
        <v>0</v>
      </c>
      <c r="T35" s="137">
        <v>600</v>
      </c>
      <c r="U35" s="137">
        <v>0</v>
      </c>
      <c r="V35" s="137">
        <v>0</v>
      </c>
      <c r="W35" s="137">
        <v>23000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23000</v>
      </c>
      <c r="AE35" s="137" t="s">
        <v>483</v>
      </c>
      <c r="AF35" s="137" t="s">
        <v>484</v>
      </c>
    </row>
    <row r="36" spans="1:32" s="133" customFormat="1" hidden="1" x14ac:dyDescent="0.3">
      <c r="A36" s="137">
        <f t="shared" si="0"/>
        <v>34</v>
      </c>
      <c r="B36" s="137">
        <v>20117</v>
      </c>
      <c r="C36" s="137">
        <v>20117</v>
      </c>
      <c r="D36" s="137" t="s">
        <v>485</v>
      </c>
      <c r="E36" s="137" t="s">
        <v>370</v>
      </c>
      <c r="F36" s="137" t="s">
        <v>486</v>
      </c>
      <c r="G36" s="137" t="s">
        <v>333</v>
      </c>
      <c r="H36" s="137">
        <v>24</v>
      </c>
      <c r="I36" s="138">
        <v>18000</v>
      </c>
      <c r="J36" s="137">
        <v>0</v>
      </c>
      <c r="K36" s="137">
        <v>10400</v>
      </c>
      <c r="L36" s="137">
        <v>1600</v>
      </c>
      <c r="M36" s="137">
        <v>0</v>
      </c>
      <c r="N36" s="137">
        <v>0</v>
      </c>
      <c r="O36" s="138">
        <v>30000</v>
      </c>
      <c r="P36" s="137">
        <v>17280</v>
      </c>
      <c r="Q36" s="137">
        <v>0</v>
      </c>
      <c r="R36" s="137">
        <v>9984</v>
      </c>
      <c r="S36" s="137">
        <v>1536</v>
      </c>
      <c r="T36" s="137">
        <v>0</v>
      </c>
      <c r="U36" s="137">
        <v>0</v>
      </c>
      <c r="V36" s="137">
        <v>0</v>
      </c>
      <c r="W36" s="137">
        <v>28800</v>
      </c>
      <c r="X36" s="137">
        <v>0</v>
      </c>
      <c r="Y36" s="137">
        <v>200</v>
      </c>
      <c r="Z36" s="137">
        <v>0</v>
      </c>
      <c r="AA36" s="137">
        <v>0</v>
      </c>
      <c r="AB36" s="137">
        <v>0</v>
      </c>
      <c r="AC36" s="137">
        <v>200</v>
      </c>
      <c r="AD36" s="137">
        <v>28600</v>
      </c>
      <c r="AE36" s="137" t="s">
        <v>487</v>
      </c>
      <c r="AF36" s="137" t="s">
        <v>488</v>
      </c>
    </row>
    <row r="37" spans="1:32" s="133" customFormat="1" hidden="1" x14ac:dyDescent="0.3">
      <c r="A37" s="137">
        <f t="shared" si="0"/>
        <v>35</v>
      </c>
      <c r="B37" s="137">
        <v>20131</v>
      </c>
      <c r="C37" s="137">
        <v>20131</v>
      </c>
      <c r="D37" s="137" t="s">
        <v>489</v>
      </c>
      <c r="E37" s="137" t="s">
        <v>370</v>
      </c>
      <c r="F37" s="137" t="s">
        <v>426</v>
      </c>
      <c r="G37" s="137" t="s">
        <v>332</v>
      </c>
      <c r="H37" s="137">
        <v>25</v>
      </c>
      <c r="I37" s="138">
        <v>16000</v>
      </c>
      <c r="J37" s="137">
        <v>0</v>
      </c>
      <c r="K37" s="137">
        <v>7500</v>
      </c>
      <c r="L37" s="137">
        <v>0</v>
      </c>
      <c r="M37" s="137">
        <v>0</v>
      </c>
      <c r="N37" s="137">
        <v>0</v>
      </c>
      <c r="O37" s="138">
        <v>23500</v>
      </c>
      <c r="P37" s="137">
        <v>16000</v>
      </c>
      <c r="Q37" s="137">
        <v>0</v>
      </c>
      <c r="R37" s="137">
        <v>7500</v>
      </c>
      <c r="S37" s="137">
        <v>0</v>
      </c>
      <c r="T37" s="137">
        <v>0</v>
      </c>
      <c r="U37" s="137">
        <v>0</v>
      </c>
      <c r="V37" s="137">
        <v>0</v>
      </c>
      <c r="W37" s="137">
        <v>23500</v>
      </c>
      <c r="X37" s="137">
        <v>0</v>
      </c>
      <c r="Y37" s="137">
        <v>0</v>
      </c>
      <c r="Z37" s="137">
        <v>0</v>
      </c>
      <c r="AA37" s="137">
        <v>0</v>
      </c>
      <c r="AB37" s="137">
        <v>0</v>
      </c>
      <c r="AC37" s="137">
        <v>0</v>
      </c>
      <c r="AD37" s="137">
        <v>23500</v>
      </c>
      <c r="AE37" s="137" t="s">
        <v>490</v>
      </c>
      <c r="AF37" s="137" t="s">
        <v>373</v>
      </c>
    </row>
    <row r="38" spans="1:32" s="133" customFormat="1" hidden="1" x14ac:dyDescent="0.3">
      <c r="A38" s="137">
        <f t="shared" si="0"/>
        <v>36</v>
      </c>
      <c r="B38" s="137">
        <v>20136</v>
      </c>
      <c r="C38" s="137">
        <v>20136</v>
      </c>
      <c r="D38" s="137" t="s">
        <v>491</v>
      </c>
      <c r="E38" s="137" t="s">
        <v>370</v>
      </c>
      <c r="F38" s="137" t="s">
        <v>492</v>
      </c>
      <c r="G38" s="137" t="s">
        <v>328</v>
      </c>
      <c r="H38" s="137">
        <v>13</v>
      </c>
      <c r="I38" s="138">
        <v>54000</v>
      </c>
      <c r="J38" s="137">
        <v>0</v>
      </c>
      <c r="K38" s="137">
        <v>25000</v>
      </c>
      <c r="L38" s="137">
        <v>1600</v>
      </c>
      <c r="M38" s="137">
        <v>17000</v>
      </c>
      <c r="N38" s="137">
        <v>12400</v>
      </c>
      <c r="O38" s="138">
        <v>110000</v>
      </c>
      <c r="P38" s="137">
        <v>28080</v>
      </c>
      <c r="Q38" s="137">
        <v>0</v>
      </c>
      <c r="R38" s="137">
        <v>13000</v>
      </c>
      <c r="S38" s="137">
        <v>832</v>
      </c>
      <c r="T38" s="137">
        <v>8840</v>
      </c>
      <c r="U38" s="137">
        <v>6448</v>
      </c>
      <c r="V38" s="137">
        <v>0</v>
      </c>
      <c r="W38" s="137">
        <v>57200</v>
      </c>
      <c r="X38" s="137">
        <v>0</v>
      </c>
      <c r="Y38" s="137">
        <v>200</v>
      </c>
      <c r="Z38" s="137">
        <v>0</v>
      </c>
      <c r="AA38" s="137">
        <v>0</v>
      </c>
      <c r="AB38" s="137">
        <v>0</v>
      </c>
      <c r="AC38" s="137">
        <v>200</v>
      </c>
      <c r="AD38" s="137">
        <v>57000</v>
      </c>
      <c r="AE38" s="137">
        <v>20275584935</v>
      </c>
      <c r="AF38" s="137" t="s">
        <v>493</v>
      </c>
    </row>
    <row r="39" spans="1:32" s="133" customFormat="1" hidden="1" x14ac:dyDescent="0.3">
      <c r="A39" s="137">
        <f t="shared" si="0"/>
        <v>37</v>
      </c>
      <c r="B39" s="137">
        <v>20142</v>
      </c>
      <c r="C39" s="137">
        <v>20142</v>
      </c>
      <c r="D39" s="137" t="s">
        <v>494</v>
      </c>
      <c r="E39" s="137" t="s">
        <v>5</v>
      </c>
      <c r="F39" s="137" t="s">
        <v>495</v>
      </c>
      <c r="G39" s="137" t="s">
        <v>496</v>
      </c>
      <c r="H39" s="137">
        <v>26</v>
      </c>
      <c r="I39" s="137">
        <v>22500</v>
      </c>
      <c r="J39" s="137">
        <v>0</v>
      </c>
      <c r="K39" s="137">
        <v>9000</v>
      </c>
      <c r="L39" s="137">
        <v>1600</v>
      </c>
      <c r="M39" s="137">
        <v>5950</v>
      </c>
      <c r="N39" s="137">
        <v>5950</v>
      </c>
      <c r="O39" s="137">
        <v>45000</v>
      </c>
      <c r="P39" s="137">
        <v>22500</v>
      </c>
      <c r="Q39" s="137">
        <v>0</v>
      </c>
      <c r="R39" s="137">
        <v>9000</v>
      </c>
      <c r="S39" s="137">
        <v>1600</v>
      </c>
      <c r="T39" s="137">
        <v>5950</v>
      </c>
      <c r="U39" s="137">
        <v>5950</v>
      </c>
      <c r="V39" s="137">
        <v>0</v>
      </c>
      <c r="W39" s="137">
        <v>45000</v>
      </c>
      <c r="X39" s="137">
        <v>0</v>
      </c>
      <c r="Y39" s="137">
        <v>200</v>
      </c>
      <c r="Z39" s="137">
        <v>0</v>
      </c>
      <c r="AA39" s="137">
        <v>0</v>
      </c>
      <c r="AB39" s="137">
        <v>0</v>
      </c>
      <c r="AC39" s="137">
        <v>200</v>
      </c>
      <c r="AD39" s="137">
        <v>44800</v>
      </c>
      <c r="AE39" s="137" t="s">
        <v>497</v>
      </c>
      <c r="AF39" s="137" t="s">
        <v>498</v>
      </c>
    </row>
    <row r="40" spans="1:32" s="133" customFormat="1" hidden="1" x14ac:dyDescent="0.3">
      <c r="A40" s="137">
        <f t="shared" si="0"/>
        <v>38</v>
      </c>
      <c r="B40" s="137">
        <v>20151</v>
      </c>
      <c r="C40" s="137">
        <v>20151</v>
      </c>
      <c r="D40" s="137" t="s">
        <v>499</v>
      </c>
      <c r="E40" s="137" t="s">
        <v>5</v>
      </c>
      <c r="F40" s="137" t="s">
        <v>387</v>
      </c>
      <c r="G40" s="137" t="s">
        <v>335</v>
      </c>
      <c r="H40" s="137">
        <v>26</v>
      </c>
      <c r="I40" s="137">
        <v>27500</v>
      </c>
      <c r="J40" s="137">
        <v>0</v>
      </c>
      <c r="K40" s="137">
        <v>11000</v>
      </c>
      <c r="L40" s="137">
        <v>1600</v>
      </c>
      <c r="M40" s="137">
        <v>10100</v>
      </c>
      <c r="N40" s="137">
        <v>0</v>
      </c>
      <c r="O40" s="137">
        <v>50200</v>
      </c>
      <c r="P40" s="137">
        <v>27500</v>
      </c>
      <c r="Q40" s="137">
        <v>0</v>
      </c>
      <c r="R40" s="137">
        <v>11000</v>
      </c>
      <c r="S40" s="137">
        <v>1600</v>
      </c>
      <c r="T40" s="137">
        <v>10100</v>
      </c>
      <c r="U40" s="137">
        <v>0</v>
      </c>
      <c r="V40" s="137">
        <v>0</v>
      </c>
      <c r="W40" s="137">
        <v>50200</v>
      </c>
      <c r="X40" s="137">
        <v>0</v>
      </c>
      <c r="Y40" s="137">
        <v>200</v>
      </c>
      <c r="Z40" s="137">
        <v>0</v>
      </c>
      <c r="AA40" s="137">
        <v>0</v>
      </c>
      <c r="AB40" s="137">
        <v>0</v>
      </c>
      <c r="AC40" s="137">
        <v>200</v>
      </c>
      <c r="AD40" s="137">
        <v>50000</v>
      </c>
      <c r="AE40" s="137" t="s">
        <v>500</v>
      </c>
      <c r="AF40" s="137" t="s">
        <v>501</v>
      </c>
    </row>
    <row r="41" spans="1:32" s="133" customFormat="1" x14ac:dyDescent="0.3">
      <c r="A41" s="137">
        <f t="shared" si="0"/>
        <v>39</v>
      </c>
      <c r="B41" s="137">
        <v>20153</v>
      </c>
      <c r="C41" s="137">
        <v>20153</v>
      </c>
      <c r="D41" s="137" t="s">
        <v>502</v>
      </c>
      <c r="E41" s="137" t="s">
        <v>383</v>
      </c>
      <c r="F41" s="137" t="s">
        <v>454</v>
      </c>
      <c r="G41" s="137" t="s">
        <v>323</v>
      </c>
      <c r="H41" s="137">
        <v>23.5</v>
      </c>
      <c r="I41" s="138">
        <v>16000</v>
      </c>
      <c r="J41" s="137">
        <v>0</v>
      </c>
      <c r="K41" s="137">
        <v>9600</v>
      </c>
      <c r="L41" s="137">
        <v>1600</v>
      </c>
      <c r="M41" s="137">
        <v>800</v>
      </c>
      <c r="N41" s="137">
        <v>0</v>
      </c>
      <c r="O41" s="138">
        <v>28000</v>
      </c>
      <c r="P41" s="137">
        <v>15040</v>
      </c>
      <c r="Q41" s="137">
        <v>0</v>
      </c>
      <c r="R41" s="137">
        <v>9024</v>
      </c>
      <c r="S41" s="137">
        <v>1504</v>
      </c>
      <c r="T41" s="137">
        <v>752</v>
      </c>
      <c r="U41" s="137">
        <v>0</v>
      </c>
      <c r="V41" s="137">
        <v>0</v>
      </c>
      <c r="W41" s="137">
        <v>26320</v>
      </c>
      <c r="X41" s="137">
        <v>0</v>
      </c>
      <c r="Y41" s="137">
        <v>200</v>
      </c>
      <c r="Z41" s="137">
        <v>0</v>
      </c>
      <c r="AA41" s="137">
        <v>0</v>
      </c>
      <c r="AB41" s="137">
        <v>0</v>
      </c>
      <c r="AC41" s="137">
        <v>200</v>
      </c>
      <c r="AD41" s="137">
        <v>26120</v>
      </c>
      <c r="AE41" s="137" t="s">
        <v>503</v>
      </c>
      <c r="AF41" s="137" t="s">
        <v>504</v>
      </c>
    </row>
    <row r="42" spans="1:32" s="133" customFormat="1" hidden="1" x14ac:dyDescent="0.3">
      <c r="A42" s="137">
        <f t="shared" si="0"/>
        <v>40</v>
      </c>
      <c r="B42" s="137">
        <v>20157</v>
      </c>
      <c r="C42" s="137">
        <v>20157</v>
      </c>
      <c r="D42" s="137" t="s">
        <v>505</v>
      </c>
      <c r="E42" s="137" t="s">
        <v>403</v>
      </c>
      <c r="F42" s="137" t="s">
        <v>506</v>
      </c>
      <c r="G42" s="137" t="s">
        <v>327</v>
      </c>
      <c r="H42" s="137">
        <v>25</v>
      </c>
      <c r="I42" s="138">
        <v>24000</v>
      </c>
      <c r="J42" s="137">
        <v>0</v>
      </c>
      <c r="K42" s="137">
        <v>9600</v>
      </c>
      <c r="L42" s="137">
        <v>1600</v>
      </c>
      <c r="M42" s="137">
        <v>4800</v>
      </c>
      <c r="N42" s="137">
        <v>0</v>
      </c>
      <c r="O42" s="138">
        <v>40000</v>
      </c>
      <c r="P42" s="137">
        <v>24000</v>
      </c>
      <c r="Q42" s="137">
        <v>0</v>
      </c>
      <c r="R42" s="137">
        <v>9600</v>
      </c>
      <c r="S42" s="137">
        <v>1600</v>
      </c>
      <c r="T42" s="137">
        <v>4800</v>
      </c>
      <c r="U42" s="137">
        <v>0</v>
      </c>
      <c r="V42" s="137">
        <v>0</v>
      </c>
      <c r="W42" s="137">
        <v>40000</v>
      </c>
      <c r="X42" s="137">
        <v>0</v>
      </c>
      <c r="Y42" s="137">
        <v>200</v>
      </c>
      <c r="Z42" s="137">
        <v>0</v>
      </c>
      <c r="AA42" s="137">
        <v>0</v>
      </c>
      <c r="AB42" s="137">
        <v>0</v>
      </c>
      <c r="AC42" s="137">
        <v>200</v>
      </c>
      <c r="AD42" s="137">
        <v>39800</v>
      </c>
      <c r="AE42" s="137" t="s">
        <v>507</v>
      </c>
      <c r="AF42" s="137" t="s">
        <v>373</v>
      </c>
    </row>
    <row r="43" spans="1:32" s="133" customFormat="1" hidden="1" x14ac:dyDescent="0.3">
      <c r="A43" s="137">
        <f t="shared" si="0"/>
        <v>41</v>
      </c>
      <c r="B43" s="137">
        <v>20159</v>
      </c>
      <c r="C43" s="137">
        <v>20159</v>
      </c>
      <c r="D43" s="137" t="s">
        <v>508</v>
      </c>
      <c r="E43" s="137" t="s">
        <v>322</v>
      </c>
      <c r="F43" s="137" t="s">
        <v>444</v>
      </c>
      <c r="G43" s="137" t="s">
        <v>322</v>
      </c>
      <c r="H43" s="137">
        <v>21</v>
      </c>
      <c r="I43" s="138">
        <v>24923</v>
      </c>
      <c r="J43" s="137">
        <v>0</v>
      </c>
      <c r="K43" s="137">
        <v>5981</v>
      </c>
      <c r="L43" s="137">
        <v>1600</v>
      </c>
      <c r="M43" s="137">
        <v>9034</v>
      </c>
      <c r="N43" s="137">
        <v>0</v>
      </c>
      <c r="O43" s="138">
        <v>41538</v>
      </c>
      <c r="P43" s="137">
        <v>20935</v>
      </c>
      <c r="Q43" s="137">
        <v>0</v>
      </c>
      <c r="R43" s="137">
        <v>5024</v>
      </c>
      <c r="S43" s="137">
        <v>1344</v>
      </c>
      <c r="T43" s="137">
        <v>7589</v>
      </c>
      <c r="U43" s="137">
        <v>0</v>
      </c>
      <c r="V43" s="137">
        <v>0</v>
      </c>
      <c r="W43" s="137">
        <v>34892</v>
      </c>
      <c r="X43" s="137">
        <v>0</v>
      </c>
      <c r="Y43" s="137">
        <v>200</v>
      </c>
      <c r="Z43" s="137">
        <v>15000</v>
      </c>
      <c r="AA43" s="137">
        <v>0</v>
      </c>
      <c r="AB43" s="137">
        <v>0</v>
      </c>
      <c r="AC43" s="137">
        <v>15200</v>
      </c>
      <c r="AD43" s="137">
        <v>19692</v>
      </c>
      <c r="AE43" s="137" t="s">
        <v>509</v>
      </c>
      <c r="AF43" s="137" t="s">
        <v>510</v>
      </c>
    </row>
    <row r="44" spans="1:32" s="133" customFormat="1" hidden="1" x14ac:dyDescent="0.3">
      <c r="A44" s="137">
        <f t="shared" si="0"/>
        <v>42</v>
      </c>
      <c r="B44" s="137">
        <v>20178</v>
      </c>
      <c r="C44" s="137">
        <v>20178</v>
      </c>
      <c r="D44" s="137" t="s">
        <v>511</v>
      </c>
      <c r="E44" s="137" t="s">
        <v>322</v>
      </c>
      <c r="F44" s="137" t="s">
        <v>512</v>
      </c>
      <c r="G44" s="137" t="s">
        <v>322</v>
      </c>
      <c r="H44" s="137">
        <v>25</v>
      </c>
      <c r="I44" s="138">
        <v>17000</v>
      </c>
      <c r="J44" s="137">
        <v>0</v>
      </c>
      <c r="K44" s="137">
        <v>3884</v>
      </c>
      <c r="L44" s="137">
        <v>0</v>
      </c>
      <c r="M44" s="137">
        <v>0</v>
      </c>
      <c r="N44" s="137">
        <v>0</v>
      </c>
      <c r="O44" s="138">
        <v>20884</v>
      </c>
      <c r="P44" s="137">
        <v>16346</v>
      </c>
      <c r="Q44" s="137">
        <v>0</v>
      </c>
      <c r="R44" s="137">
        <v>3735</v>
      </c>
      <c r="S44" s="137">
        <v>0</v>
      </c>
      <c r="T44" s="137">
        <v>0</v>
      </c>
      <c r="U44" s="137">
        <v>0</v>
      </c>
      <c r="V44" s="137">
        <v>0</v>
      </c>
      <c r="W44" s="137">
        <v>20081</v>
      </c>
      <c r="X44" s="137">
        <v>151</v>
      </c>
      <c r="Y44" s="137">
        <v>0</v>
      </c>
      <c r="Z44" s="137">
        <v>0</v>
      </c>
      <c r="AA44" s="137">
        <v>0</v>
      </c>
      <c r="AB44" s="137">
        <v>0</v>
      </c>
      <c r="AC44" s="137">
        <v>151</v>
      </c>
      <c r="AD44" s="137">
        <v>19930</v>
      </c>
      <c r="AE44" s="137">
        <v>7548856397</v>
      </c>
      <c r="AF44" s="137" t="s">
        <v>513</v>
      </c>
    </row>
    <row r="45" spans="1:32" s="133" customFormat="1" hidden="1" x14ac:dyDescent="0.3">
      <c r="A45" s="137">
        <f t="shared" si="0"/>
        <v>43</v>
      </c>
      <c r="B45" s="137">
        <v>20179</v>
      </c>
      <c r="C45" s="137">
        <v>20179</v>
      </c>
      <c r="D45" s="137" t="s">
        <v>514</v>
      </c>
      <c r="E45" s="137" t="s">
        <v>429</v>
      </c>
      <c r="F45" s="137" t="s">
        <v>430</v>
      </c>
      <c r="G45" s="137" t="s">
        <v>335</v>
      </c>
      <c r="H45" s="137">
        <v>26</v>
      </c>
      <c r="I45" s="137">
        <v>29250</v>
      </c>
      <c r="J45" s="137">
        <v>0</v>
      </c>
      <c r="K45" s="137">
        <v>9750</v>
      </c>
      <c r="L45" s="137">
        <v>1600</v>
      </c>
      <c r="M45" s="137">
        <v>4400</v>
      </c>
      <c r="N45" s="137">
        <v>0</v>
      </c>
      <c r="O45" s="137">
        <v>45000</v>
      </c>
      <c r="P45" s="137">
        <v>29250</v>
      </c>
      <c r="Q45" s="137">
        <v>0</v>
      </c>
      <c r="R45" s="137">
        <v>9750</v>
      </c>
      <c r="S45" s="137">
        <v>1600</v>
      </c>
      <c r="T45" s="137">
        <v>4400</v>
      </c>
      <c r="U45" s="137">
        <v>0</v>
      </c>
      <c r="V45" s="137">
        <v>0</v>
      </c>
      <c r="W45" s="137">
        <v>45000</v>
      </c>
      <c r="X45" s="137">
        <v>0</v>
      </c>
      <c r="Y45" s="137">
        <v>200</v>
      </c>
      <c r="Z45" s="137">
        <v>0</v>
      </c>
      <c r="AA45" s="137">
        <v>0</v>
      </c>
      <c r="AB45" s="137">
        <v>0</v>
      </c>
      <c r="AC45" s="137">
        <v>200</v>
      </c>
      <c r="AD45" s="137">
        <v>44800</v>
      </c>
      <c r="AE45" s="137" t="s">
        <v>515</v>
      </c>
      <c r="AF45" s="137" t="s">
        <v>516</v>
      </c>
    </row>
    <row r="46" spans="1:32" s="133" customFormat="1" hidden="1" x14ac:dyDescent="0.3">
      <c r="A46" s="137">
        <f t="shared" si="0"/>
        <v>44</v>
      </c>
      <c r="B46" s="137">
        <v>20180</v>
      </c>
      <c r="C46" s="137">
        <v>20180</v>
      </c>
      <c r="D46" s="137" t="s">
        <v>517</v>
      </c>
      <c r="E46" s="137" t="s">
        <v>370</v>
      </c>
      <c r="F46" s="137" t="s">
        <v>518</v>
      </c>
      <c r="G46" s="137" t="s">
        <v>333</v>
      </c>
      <c r="H46" s="137">
        <v>25</v>
      </c>
      <c r="I46" s="138">
        <v>17000</v>
      </c>
      <c r="J46" s="137">
        <v>0</v>
      </c>
      <c r="K46" s="137">
        <v>10000</v>
      </c>
      <c r="L46" s="137">
        <v>1600</v>
      </c>
      <c r="M46" s="137">
        <v>400</v>
      </c>
      <c r="N46" s="137">
        <v>0</v>
      </c>
      <c r="O46" s="138">
        <v>29000</v>
      </c>
      <c r="P46" s="137">
        <v>17000</v>
      </c>
      <c r="Q46" s="137">
        <v>0</v>
      </c>
      <c r="R46" s="137">
        <v>10000</v>
      </c>
      <c r="S46" s="137">
        <v>1600</v>
      </c>
      <c r="T46" s="137">
        <v>400</v>
      </c>
      <c r="U46" s="137">
        <v>0</v>
      </c>
      <c r="V46" s="137">
        <v>0</v>
      </c>
      <c r="W46" s="137">
        <v>29000</v>
      </c>
      <c r="X46" s="137">
        <v>0</v>
      </c>
      <c r="Y46" s="137">
        <v>200</v>
      </c>
      <c r="Z46" s="137">
        <v>0</v>
      </c>
      <c r="AA46" s="137">
        <v>0</v>
      </c>
      <c r="AB46" s="137">
        <v>0</v>
      </c>
      <c r="AC46" s="137">
        <v>200</v>
      </c>
      <c r="AD46" s="137">
        <v>28800</v>
      </c>
      <c r="AE46" s="137">
        <v>20253426383</v>
      </c>
      <c r="AF46" s="137" t="s">
        <v>519</v>
      </c>
    </row>
    <row r="47" spans="1:32" s="133" customFormat="1" hidden="1" x14ac:dyDescent="0.3">
      <c r="A47" s="137">
        <f t="shared" si="0"/>
        <v>45</v>
      </c>
      <c r="B47" s="137">
        <v>20181</v>
      </c>
      <c r="C47" s="137">
        <v>20181</v>
      </c>
      <c r="D47" s="137" t="s">
        <v>520</v>
      </c>
      <c r="E47" s="137" t="s">
        <v>370</v>
      </c>
      <c r="F47" s="137" t="s">
        <v>482</v>
      </c>
      <c r="G47" s="137" t="s">
        <v>329</v>
      </c>
      <c r="H47" s="137">
        <v>23</v>
      </c>
      <c r="I47" s="138">
        <v>15500</v>
      </c>
      <c r="J47" s="137">
        <v>0</v>
      </c>
      <c r="K47" s="137">
        <v>4700</v>
      </c>
      <c r="L47" s="137">
        <v>0</v>
      </c>
      <c r="M47" s="137">
        <v>0</v>
      </c>
      <c r="N47" s="137">
        <v>0</v>
      </c>
      <c r="O47" s="138">
        <v>20200</v>
      </c>
      <c r="P47" s="137">
        <v>14260</v>
      </c>
      <c r="Q47" s="137">
        <v>0</v>
      </c>
      <c r="R47" s="137">
        <v>4324</v>
      </c>
      <c r="S47" s="137">
        <v>0</v>
      </c>
      <c r="T47" s="137">
        <v>0</v>
      </c>
      <c r="U47" s="137">
        <v>0</v>
      </c>
      <c r="V47" s="137">
        <v>0</v>
      </c>
      <c r="W47" s="137">
        <v>18584</v>
      </c>
      <c r="X47" s="137">
        <v>140</v>
      </c>
      <c r="Y47" s="137">
        <v>0</v>
      </c>
      <c r="Z47" s="137">
        <v>0</v>
      </c>
      <c r="AA47" s="137">
        <v>0</v>
      </c>
      <c r="AB47" s="137">
        <v>0</v>
      </c>
      <c r="AC47" s="137">
        <v>140</v>
      </c>
      <c r="AD47" s="137">
        <v>18444</v>
      </c>
      <c r="AE47" s="137">
        <v>64105171416</v>
      </c>
      <c r="AF47" s="137" t="s">
        <v>521</v>
      </c>
    </row>
    <row r="48" spans="1:32" s="133" customFormat="1" hidden="1" x14ac:dyDescent="0.3">
      <c r="A48" s="137">
        <f t="shared" si="0"/>
        <v>46</v>
      </c>
      <c r="B48" s="137">
        <v>20195</v>
      </c>
      <c r="C48" s="137">
        <v>20195</v>
      </c>
      <c r="D48" s="137" t="s">
        <v>522</v>
      </c>
      <c r="E48" s="137" t="s">
        <v>370</v>
      </c>
      <c r="F48" s="137" t="s">
        <v>482</v>
      </c>
      <c r="G48" s="137" t="s">
        <v>329</v>
      </c>
      <c r="H48" s="137">
        <v>22</v>
      </c>
      <c r="I48" s="138">
        <v>15500</v>
      </c>
      <c r="J48" s="137">
        <v>0</v>
      </c>
      <c r="K48" s="137">
        <v>500</v>
      </c>
      <c r="L48" s="137">
        <v>0</v>
      </c>
      <c r="M48" s="137">
        <v>0</v>
      </c>
      <c r="N48" s="137">
        <v>0</v>
      </c>
      <c r="O48" s="138">
        <v>16000</v>
      </c>
      <c r="P48" s="137">
        <v>13640</v>
      </c>
      <c r="Q48" s="137">
        <v>0</v>
      </c>
      <c r="R48" s="137">
        <v>440</v>
      </c>
      <c r="S48" s="137">
        <v>0</v>
      </c>
      <c r="T48" s="137">
        <v>0</v>
      </c>
      <c r="U48" s="137">
        <v>0</v>
      </c>
      <c r="V48" s="137">
        <v>0</v>
      </c>
      <c r="W48" s="137">
        <v>14080</v>
      </c>
      <c r="X48" s="137">
        <v>106</v>
      </c>
      <c r="Y48" s="137">
        <v>0</v>
      </c>
      <c r="Z48" s="137">
        <v>0</v>
      </c>
      <c r="AA48" s="137">
        <v>0</v>
      </c>
      <c r="AB48" s="137">
        <v>0</v>
      </c>
      <c r="AC48" s="137">
        <v>106</v>
      </c>
      <c r="AD48" s="137">
        <v>13974</v>
      </c>
      <c r="AE48" s="137">
        <v>45711807907</v>
      </c>
      <c r="AF48" s="137" t="s">
        <v>523</v>
      </c>
    </row>
    <row r="49" spans="1:32" s="133" customFormat="1" hidden="1" x14ac:dyDescent="0.3">
      <c r="A49" s="137">
        <f t="shared" si="0"/>
        <v>47</v>
      </c>
      <c r="B49" s="137">
        <v>20196</v>
      </c>
      <c r="C49" s="137">
        <v>20196</v>
      </c>
      <c r="D49" s="137" t="s">
        <v>524</v>
      </c>
      <c r="E49" s="137" t="s">
        <v>418</v>
      </c>
      <c r="F49" s="137" t="s">
        <v>525</v>
      </c>
      <c r="G49" s="137" t="s">
        <v>325</v>
      </c>
      <c r="H49" s="137">
        <v>25</v>
      </c>
      <c r="I49" s="138">
        <v>35000</v>
      </c>
      <c r="J49" s="137">
        <v>0</v>
      </c>
      <c r="K49" s="137">
        <v>14000</v>
      </c>
      <c r="L49" s="137">
        <v>1600</v>
      </c>
      <c r="M49" s="137">
        <v>9700</v>
      </c>
      <c r="N49" s="137">
        <v>9700</v>
      </c>
      <c r="O49" s="138">
        <v>70000</v>
      </c>
      <c r="P49" s="137">
        <v>35000</v>
      </c>
      <c r="Q49" s="137">
        <v>0</v>
      </c>
      <c r="R49" s="137">
        <v>14000</v>
      </c>
      <c r="S49" s="137">
        <v>1600</v>
      </c>
      <c r="T49" s="137">
        <v>9700</v>
      </c>
      <c r="U49" s="137">
        <v>9700</v>
      </c>
      <c r="V49" s="137">
        <v>0</v>
      </c>
      <c r="W49" s="137">
        <v>70000</v>
      </c>
      <c r="X49" s="137">
        <v>0</v>
      </c>
      <c r="Y49" s="137">
        <v>200</v>
      </c>
      <c r="Z49" s="137">
        <v>0</v>
      </c>
      <c r="AA49" s="137">
        <v>0</v>
      </c>
      <c r="AB49" s="137">
        <v>0</v>
      </c>
      <c r="AC49" s="137">
        <v>200</v>
      </c>
      <c r="AD49" s="137">
        <v>69800</v>
      </c>
      <c r="AE49" s="137" t="s">
        <v>526</v>
      </c>
      <c r="AF49" s="137" t="s">
        <v>527</v>
      </c>
    </row>
    <row r="50" spans="1:32" s="133" customFormat="1" hidden="1" x14ac:dyDescent="0.3">
      <c r="A50" s="137">
        <f t="shared" si="0"/>
        <v>48</v>
      </c>
      <c r="B50" s="139">
        <v>20197</v>
      </c>
      <c r="C50" s="139">
        <v>20197</v>
      </c>
      <c r="D50" s="139" t="s">
        <v>528</v>
      </c>
      <c r="E50" s="137" t="s">
        <v>418</v>
      </c>
      <c r="F50" s="137" t="s">
        <v>478</v>
      </c>
      <c r="G50" s="137" t="s">
        <v>320</v>
      </c>
      <c r="H50" s="137">
        <v>15</v>
      </c>
      <c r="I50" s="138">
        <v>15500</v>
      </c>
      <c r="J50" s="137">
        <v>0</v>
      </c>
      <c r="K50" s="137">
        <v>2500</v>
      </c>
      <c r="L50" s="137">
        <v>0</v>
      </c>
      <c r="M50" s="137">
        <v>0</v>
      </c>
      <c r="N50" s="137">
        <v>0</v>
      </c>
      <c r="O50" s="138">
        <v>18000</v>
      </c>
      <c r="P50" s="137">
        <v>9300</v>
      </c>
      <c r="Q50" s="137">
        <v>0</v>
      </c>
      <c r="R50" s="137">
        <v>1500</v>
      </c>
      <c r="S50" s="137">
        <v>0</v>
      </c>
      <c r="T50" s="137">
        <v>0</v>
      </c>
      <c r="U50" s="137">
        <v>0</v>
      </c>
      <c r="V50" s="137">
        <v>0</v>
      </c>
      <c r="W50" s="137">
        <v>10800</v>
      </c>
      <c r="X50" s="137">
        <v>81</v>
      </c>
      <c r="Y50" s="137">
        <v>0</v>
      </c>
      <c r="Z50" s="137">
        <v>0</v>
      </c>
      <c r="AA50" s="137">
        <v>0</v>
      </c>
      <c r="AB50" s="137">
        <v>0</v>
      </c>
      <c r="AC50" s="137">
        <v>81</v>
      </c>
      <c r="AD50" s="137">
        <v>10719</v>
      </c>
      <c r="AE50" s="137" t="s">
        <v>529</v>
      </c>
      <c r="AF50" s="137" t="s">
        <v>530</v>
      </c>
    </row>
    <row r="51" spans="1:32" s="133" customFormat="1" hidden="1" x14ac:dyDescent="0.3">
      <c r="A51" s="137">
        <f t="shared" si="0"/>
        <v>49</v>
      </c>
      <c r="B51" s="137">
        <v>20198</v>
      </c>
      <c r="C51" s="137">
        <v>20198</v>
      </c>
      <c r="D51" s="137" t="s">
        <v>531</v>
      </c>
      <c r="E51" s="137" t="s">
        <v>418</v>
      </c>
      <c r="F51" s="137" t="s">
        <v>478</v>
      </c>
      <c r="G51" s="137" t="s">
        <v>320</v>
      </c>
      <c r="H51" s="137">
        <v>25</v>
      </c>
      <c r="I51" s="138">
        <v>17000</v>
      </c>
      <c r="J51" s="137">
        <v>0</v>
      </c>
      <c r="K51" s="137">
        <v>4050</v>
      </c>
      <c r="L51" s="137">
        <v>0</v>
      </c>
      <c r="M51" s="137">
        <v>0</v>
      </c>
      <c r="N51" s="137">
        <v>0</v>
      </c>
      <c r="O51" s="138">
        <v>21050</v>
      </c>
      <c r="P51" s="137">
        <v>17000</v>
      </c>
      <c r="Q51" s="137">
        <v>0</v>
      </c>
      <c r="R51" s="137">
        <v>4050</v>
      </c>
      <c r="S51" s="137">
        <v>0</v>
      </c>
      <c r="T51" s="137">
        <v>0</v>
      </c>
      <c r="U51" s="137">
        <v>0</v>
      </c>
      <c r="V51" s="137">
        <v>0</v>
      </c>
      <c r="W51" s="137">
        <v>21050</v>
      </c>
      <c r="X51" s="137">
        <v>0</v>
      </c>
      <c r="Y51" s="137">
        <v>0</v>
      </c>
      <c r="Z51" s="137">
        <v>0</v>
      </c>
      <c r="AA51" s="137">
        <v>0</v>
      </c>
      <c r="AB51" s="137">
        <v>0</v>
      </c>
      <c r="AC51" s="137">
        <v>0</v>
      </c>
      <c r="AD51" s="137">
        <v>21050</v>
      </c>
      <c r="AE51" s="137" t="s">
        <v>532</v>
      </c>
      <c r="AF51" s="137" t="s">
        <v>533</v>
      </c>
    </row>
    <row r="52" spans="1:32" s="133" customFormat="1" hidden="1" x14ac:dyDescent="0.3">
      <c r="A52" s="137">
        <f t="shared" si="0"/>
        <v>50</v>
      </c>
      <c r="B52" s="137">
        <v>20212</v>
      </c>
      <c r="C52" s="137">
        <v>20212</v>
      </c>
      <c r="D52" s="137" t="s">
        <v>534</v>
      </c>
      <c r="E52" s="137" t="s">
        <v>5</v>
      </c>
      <c r="F52" s="137" t="s">
        <v>387</v>
      </c>
      <c r="G52" s="137" t="s">
        <v>335</v>
      </c>
      <c r="H52" s="137">
        <v>26</v>
      </c>
      <c r="I52" s="137">
        <v>37164</v>
      </c>
      <c r="J52" s="137">
        <v>0</v>
      </c>
      <c r="K52" s="137">
        <v>17060</v>
      </c>
      <c r="L52" s="137">
        <v>1600</v>
      </c>
      <c r="M52" s="137">
        <v>6206</v>
      </c>
      <c r="N52" s="137">
        <v>6206</v>
      </c>
      <c r="O52" s="137">
        <v>68236</v>
      </c>
      <c r="P52" s="137">
        <v>37164</v>
      </c>
      <c r="Q52" s="137">
        <v>0</v>
      </c>
      <c r="R52" s="137">
        <v>17060</v>
      </c>
      <c r="S52" s="137">
        <v>1600</v>
      </c>
      <c r="T52" s="137">
        <v>6206</v>
      </c>
      <c r="U52" s="137">
        <v>6206</v>
      </c>
      <c r="V52" s="137">
        <v>0</v>
      </c>
      <c r="W52" s="137">
        <v>68236</v>
      </c>
      <c r="X52" s="137">
        <v>0</v>
      </c>
      <c r="Y52" s="137">
        <v>200</v>
      </c>
      <c r="Z52" s="137">
        <v>0</v>
      </c>
      <c r="AA52" s="137">
        <v>0</v>
      </c>
      <c r="AB52" s="137">
        <v>0</v>
      </c>
      <c r="AC52" s="137">
        <v>200</v>
      </c>
      <c r="AD52" s="137">
        <v>68036</v>
      </c>
      <c r="AE52" s="137" t="s">
        <v>535</v>
      </c>
      <c r="AF52" s="137" t="s">
        <v>536</v>
      </c>
    </row>
    <row r="53" spans="1:32" s="133" customFormat="1" hidden="1" x14ac:dyDescent="0.3">
      <c r="A53" s="137">
        <f t="shared" si="0"/>
        <v>51</v>
      </c>
      <c r="B53" s="137">
        <v>20213</v>
      </c>
      <c r="C53" s="137">
        <v>20213</v>
      </c>
      <c r="D53" s="137" t="s">
        <v>537</v>
      </c>
      <c r="E53" s="137" t="s">
        <v>370</v>
      </c>
      <c r="F53" s="137" t="s">
        <v>538</v>
      </c>
      <c r="G53" s="137" t="s">
        <v>334</v>
      </c>
      <c r="H53" s="137">
        <v>25</v>
      </c>
      <c r="I53" s="138">
        <v>18115</v>
      </c>
      <c r="J53" s="137">
        <v>0</v>
      </c>
      <c r="K53" s="137">
        <v>8098</v>
      </c>
      <c r="L53" s="137">
        <v>1600</v>
      </c>
      <c r="M53" s="137">
        <v>0</v>
      </c>
      <c r="N53" s="137">
        <v>2679</v>
      </c>
      <c r="O53" s="138">
        <v>30492</v>
      </c>
      <c r="P53" s="137">
        <v>18115</v>
      </c>
      <c r="Q53" s="137">
        <v>0</v>
      </c>
      <c r="R53" s="137">
        <v>8098</v>
      </c>
      <c r="S53" s="137">
        <v>1600</v>
      </c>
      <c r="T53" s="137">
        <v>0</v>
      </c>
      <c r="U53" s="137">
        <v>2679</v>
      </c>
      <c r="V53" s="137">
        <v>0</v>
      </c>
      <c r="W53" s="137">
        <v>30492</v>
      </c>
      <c r="X53" s="137">
        <v>0</v>
      </c>
      <c r="Y53" s="137">
        <v>200</v>
      </c>
      <c r="Z53" s="137">
        <v>0</v>
      </c>
      <c r="AA53" s="137">
        <v>0</v>
      </c>
      <c r="AB53" s="137">
        <v>0</v>
      </c>
      <c r="AC53" s="137">
        <v>200</v>
      </c>
      <c r="AD53" s="137">
        <v>30292</v>
      </c>
      <c r="AE53" s="137" t="s">
        <v>539</v>
      </c>
      <c r="AF53" s="137" t="s">
        <v>373</v>
      </c>
    </row>
    <row r="54" spans="1:32" s="133" customFormat="1" hidden="1" x14ac:dyDescent="0.3">
      <c r="A54" s="137">
        <f t="shared" si="0"/>
        <v>52</v>
      </c>
      <c r="B54" s="137">
        <v>20215</v>
      </c>
      <c r="C54" s="137">
        <v>20215</v>
      </c>
      <c r="D54" s="137" t="s">
        <v>540</v>
      </c>
      <c r="E54" s="137" t="s">
        <v>370</v>
      </c>
      <c r="F54" s="137" t="s">
        <v>541</v>
      </c>
      <c r="G54" s="137" t="s">
        <v>324</v>
      </c>
      <c r="H54" s="137">
        <v>24</v>
      </c>
      <c r="I54" s="138">
        <v>22500</v>
      </c>
      <c r="J54" s="137">
        <v>0</v>
      </c>
      <c r="K54" s="137">
        <v>9000</v>
      </c>
      <c r="L54" s="137">
        <v>1600</v>
      </c>
      <c r="M54" s="137">
        <v>5950</v>
      </c>
      <c r="N54" s="137">
        <v>6585</v>
      </c>
      <c r="O54" s="138">
        <v>45635</v>
      </c>
      <c r="P54" s="137">
        <v>21600</v>
      </c>
      <c r="Q54" s="137">
        <v>0</v>
      </c>
      <c r="R54" s="137">
        <v>8640</v>
      </c>
      <c r="S54" s="137">
        <v>1536</v>
      </c>
      <c r="T54" s="137">
        <v>5712</v>
      </c>
      <c r="U54" s="137">
        <v>6322</v>
      </c>
      <c r="V54" s="137">
        <v>0</v>
      </c>
      <c r="W54" s="137">
        <v>43810</v>
      </c>
      <c r="X54" s="137">
        <v>0</v>
      </c>
      <c r="Y54" s="137">
        <v>200</v>
      </c>
      <c r="Z54" s="137">
        <v>0</v>
      </c>
      <c r="AA54" s="137">
        <v>0</v>
      </c>
      <c r="AB54" s="137">
        <v>0</v>
      </c>
      <c r="AC54" s="137">
        <v>200</v>
      </c>
      <c r="AD54" s="137">
        <v>43610</v>
      </c>
      <c r="AE54" s="140">
        <v>218010113457</v>
      </c>
      <c r="AF54" s="137" t="s">
        <v>542</v>
      </c>
    </row>
    <row r="55" spans="1:32" s="133" customFormat="1" hidden="1" x14ac:dyDescent="0.3">
      <c r="A55" s="137">
        <f t="shared" si="0"/>
        <v>53</v>
      </c>
      <c r="B55" s="137">
        <v>20216</v>
      </c>
      <c r="C55" s="137">
        <v>20216</v>
      </c>
      <c r="D55" s="137" t="s">
        <v>543</v>
      </c>
      <c r="E55" s="137" t="s">
        <v>370</v>
      </c>
      <c r="F55" s="137" t="s">
        <v>544</v>
      </c>
      <c r="G55" s="137" t="s">
        <v>333</v>
      </c>
      <c r="H55" s="137">
        <v>25</v>
      </c>
      <c r="I55" s="138">
        <v>32500</v>
      </c>
      <c r="J55" s="137">
        <v>8950</v>
      </c>
      <c r="K55" s="137">
        <v>13000</v>
      </c>
      <c r="L55" s="137">
        <v>1600</v>
      </c>
      <c r="M55" s="137">
        <v>9150</v>
      </c>
      <c r="N55" s="137">
        <v>0</v>
      </c>
      <c r="O55" s="138">
        <v>65200</v>
      </c>
      <c r="P55" s="137">
        <v>32500</v>
      </c>
      <c r="Q55" s="137">
        <v>8950</v>
      </c>
      <c r="R55" s="137">
        <v>13000</v>
      </c>
      <c r="S55" s="137">
        <v>1600</v>
      </c>
      <c r="T55" s="137">
        <v>9150</v>
      </c>
      <c r="U55" s="137">
        <v>0</v>
      </c>
      <c r="V55" s="137">
        <v>0</v>
      </c>
      <c r="W55" s="137">
        <v>65200</v>
      </c>
      <c r="X55" s="137">
        <v>0</v>
      </c>
      <c r="Y55" s="137">
        <v>200</v>
      </c>
      <c r="Z55" s="137">
        <v>0</v>
      </c>
      <c r="AA55" s="137">
        <v>0</v>
      </c>
      <c r="AB55" s="137">
        <v>0</v>
      </c>
      <c r="AC55" s="137">
        <v>200</v>
      </c>
      <c r="AD55" s="137">
        <v>65000</v>
      </c>
      <c r="AE55" s="137">
        <v>20021327489</v>
      </c>
      <c r="AF55" s="137" t="s">
        <v>545</v>
      </c>
    </row>
    <row r="56" spans="1:32" s="133" customFormat="1" hidden="1" x14ac:dyDescent="0.3">
      <c r="A56" s="137">
        <f t="shared" si="0"/>
        <v>54</v>
      </c>
      <c r="B56" s="137">
        <v>20237</v>
      </c>
      <c r="C56" s="137">
        <v>20237</v>
      </c>
      <c r="D56" s="137" t="s">
        <v>546</v>
      </c>
      <c r="E56" s="137" t="s">
        <v>403</v>
      </c>
      <c r="F56" s="137" t="s">
        <v>547</v>
      </c>
      <c r="G56" s="137" t="s">
        <v>325</v>
      </c>
      <c r="H56" s="137">
        <v>25</v>
      </c>
      <c r="I56" s="138">
        <v>18000</v>
      </c>
      <c r="J56" s="137">
        <v>0</v>
      </c>
      <c r="K56" s="137">
        <v>5000</v>
      </c>
      <c r="L56" s="137">
        <v>0</v>
      </c>
      <c r="M56" s="137">
        <v>0</v>
      </c>
      <c r="N56" s="137">
        <v>0</v>
      </c>
      <c r="O56" s="138">
        <v>23000</v>
      </c>
      <c r="P56" s="137">
        <v>18000</v>
      </c>
      <c r="Q56" s="137">
        <v>0</v>
      </c>
      <c r="R56" s="137">
        <v>5000</v>
      </c>
      <c r="S56" s="137">
        <v>0</v>
      </c>
      <c r="T56" s="137">
        <v>0</v>
      </c>
      <c r="U56" s="137">
        <v>0</v>
      </c>
      <c r="V56" s="137">
        <v>0</v>
      </c>
      <c r="W56" s="137">
        <v>23000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23000</v>
      </c>
      <c r="AE56" s="137">
        <v>10168049054</v>
      </c>
      <c r="AF56" s="137" t="s">
        <v>548</v>
      </c>
    </row>
    <row r="57" spans="1:32" s="133" customFormat="1" hidden="1" x14ac:dyDescent="0.3">
      <c r="A57" s="137">
        <f t="shared" si="0"/>
        <v>55</v>
      </c>
      <c r="B57" s="141">
        <v>20247</v>
      </c>
      <c r="C57" s="141">
        <v>20247</v>
      </c>
      <c r="D57" s="141" t="s">
        <v>549</v>
      </c>
      <c r="E57" s="137" t="s">
        <v>403</v>
      </c>
      <c r="F57" s="137" t="s">
        <v>550</v>
      </c>
      <c r="G57" s="137" t="s">
        <v>330</v>
      </c>
      <c r="H57" s="137">
        <v>25</v>
      </c>
      <c r="I57" s="138">
        <v>20000</v>
      </c>
      <c r="J57" s="137">
        <v>0</v>
      </c>
      <c r="K57" s="137">
        <v>8000</v>
      </c>
      <c r="L57" s="137">
        <v>1600</v>
      </c>
      <c r="M57" s="137">
        <v>10400</v>
      </c>
      <c r="N57" s="137">
        <v>0</v>
      </c>
      <c r="O57" s="138">
        <v>40000</v>
      </c>
      <c r="P57" s="137">
        <v>20000</v>
      </c>
      <c r="Q57" s="137">
        <v>0</v>
      </c>
      <c r="R57" s="137">
        <v>8000</v>
      </c>
      <c r="S57" s="137">
        <v>1600</v>
      </c>
      <c r="T57" s="137">
        <v>10400</v>
      </c>
      <c r="U57" s="137">
        <v>0</v>
      </c>
      <c r="V57" s="137">
        <v>0</v>
      </c>
      <c r="W57" s="137">
        <v>40000</v>
      </c>
      <c r="X57" s="137">
        <v>0</v>
      </c>
      <c r="Y57" s="137">
        <v>200</v>
      </c>
      <c r="Z57" s="137">
        <v>0</v>
      </c>
      <c r="AA57" s="137">
        <v>0</v>
      </c>
      <c r="AB57" s="137">
        <v>0</v>
      </c>
      <c r="AC57" s="137">
        <v>200</v>
      </c>
      <c r="AD57" s="137">
        <v>39800</v>
      </c>
      <c r="AE57" s="137" t="s">
        <v>551</v>
      </c>
      <c r="AF57" s="137" t="s">
        <v>373</v>
      </c>
    </row>
    <row r="58" spans="1:32" s="133" customFormat="1" hidden="1" x14ac:dyDescent="0.3">
      <c r="A58" s="137">
        <f t="shared" si="0"/>
        <v>56</v>
      </c>
      <c r="B58" s="141">
        <v>20248</v>
      </c>
      <c r="C58" s="141">
        <v>20248</v>
      </c>
      <c r="D58" s="141" t="s">
        <v>552</v>
      </c>
      <c r="E58" s="137" t="s">
        <v>370</v>
      </c>
      <c r="F58" s="137" t="s">
        <v>395</v>
      </c>
      <c r="G58" s="137" t="s">
        <v>332</v>
      </c>
      <c r="H58" s="137">
        <v>25</v>
      </c>
      <c r="I58" s="138">
        <v>20450</v>
      </c>
      <c r="J58" s="137">
        <v>0</v>
      </c>
      <c r="K58" s="137">
        <v>8930</v>
      </c>
      <c r="L58" s="137">
        <v>1600</v>
      </c>
      <c r="M58" s="137">
        <v>3520</v>
      </c>
      <c r="N58" s="137">
        <v>0</v>
      </c>
      <c r="O58" s="138">
        <v>34500</v>
      </c>
      <c r="P58" s="137">
        <v>20450</v>
      </c>
      <c r="Q58" s="137">
        <v>0</v>
      </c>
      <c r="R58" s="137">
        <v>8930</v>
      </c>
      <c r="S58" s="137">
        <v>1600</v>
      </c>
      <c r="T58" s="137">
        <v>3520</v>
      </c>
      <c r="U58" s="137">
        <v>0</v>
      </c>
      <c r="V58" s="137">
        <v>0</v>
      </c>
      <c r="W58" s="137">
        <v>34500</v>
      </c>
      <c r="X58" s="137">
        <v>0</v>
      </c>
      <c r="Y58" s="137">
        <v>200</v>
      </c>
      <c r="Z58" s="137">
        <v>0</v>
      </c>
      <c r="AA58" s="137">
        <v>0</v>
      </c>
      <c r="AB58" s="137">
        <v>0</v>
      </c>
      <c r="AC58" s="137">
        <v>200</v>
      </c>
      <c r="AD58" s="137">
        <v>34300</v>
      </c>
      <c r="AE58" s="137" t="s">
        <v>553</v>
      </c>
      <c r="AF58" s="137" t="s">
        <v>373</v>
      </c>
    </row>
    <row r="59" spans="1:32" s="133" customFormat="1" hidden="1" x14ac:dyDescent="0.3">
      <c r="A59" s="137">
        <f t="shared" si="0"/>
        <v>57</v>
      </c>
      <c r="B59" s="141">
        <v>20250</v>
      </c>
      <c r="C59" s="141">
        <v>20250</v>
      </c>
      <c r="D59" s="141" t="s">
        <v>554</v>
      </c>
      <c r="E59" s="137" t="s">
        <v>370</v>
      </c>
      <c r="F59" s="137" t="s">
        <v>555</v>
      </c>
      <c r="G59" s="137" t="s">
        <v>328</v>
      </c>
      <c r="H59" s="137">
        <v>20</v>
      </c>
      <c r="I59" s="138">
        <v>30000</v>
      </c>
      <c r="J59" s="137">
        <v>0</v>
      </c>
      <c r="K59" s="137">
        <v>12000</v>
      </c>
      <c r="L59" s="137">
        <v>1600</v>
      </c>
      <c r="M59" s="137">
        <v>6400</v>
      </c>
      <c r="N59" s="137">
        <v>0</v>
      </c>
      <c r="O59" s="138">
        <v>50000</v>
      </c>
      <c r="P59" s="137">
        <v>24000</v>
      </c>
      <c r="Q59" s="137">
        <v>0</v>
      </c>
      <c r="R59" s="137">
        <v>9600</v>
      </c>
      <c r="S59" s="137">
        <v>1280</v>
      </c>
      <c r="T59" s="137">
        <v>5120</v>
      </c>
      <c r="U59" s="137">
        <v>0</v>
      </c>
      <c r="V59" s="137">
        <v>0</v>
      </c>
      <c r="W59" s="137">
        <v>40000</v>
      </c>
      <c r="X59" s="137">
        <v>0</v>
      </c>
      <c r="Y59" s="137">
        <v>200</v>
      </c>
      <c r="Z59" s="137">
        <v>0</v>
      </c>
      <c r="AA59" s="137">
        <v>0</v>
      </c>
      <c r="AB59" s="137">
        <v>0</v>
      </c>
      <c r="AC59" s="137">
        <v>200</v>
      </c>
      <c r="AD59" s="137">
        <v>39800</v>
      </c>
      <c r="AE59" s="142" t="s">
        <v>556</v>
      </c>
      <c r="AF59" s="142" t="s">
        <v>557</v>
      </c>
    </row>
    <row r="60" spans="1:32" s="133" customFormat="1" hidden="1" x14ac:dyDescent="0.3">
      <c r="A60" s="137">
        <f t="shared" si="0"/>
        <v>58</v>
      </c>
      <c r="B60" s="141">
        <v>20251</v>
      </c>
      <c r="C60" s="141">
        <v>20251</v>
      </c>
      <c r="D60" s="141" t="s">
        <v>558</v>
      </c>
      <c r="E60" s="137" t="s">
        <v>370</v>
      </c>
      <c r="F60" s="137" t="s">
        <v>559</v>
      </c>
      <c r="G60" s="137" t="s">
        <v>333</v>
      </c>
      <c r="H60" s="137">
        <v>23</v>
      </c>
      <c r="I60" s="138">
        <v>33992</v>
      </c>
      <c r="J60" s="137">
        <v>0</v>
      </c>
      <c r="K60" s="137">
        <v>13597</v>
      </c>
      <c r="L60" s="137">
        <v>1600</v>
      </c>
      <c r="M60" s="137">
        <v>5811</v>
      </c>
      <c r="N60" s="137">
        <v>0</v>
      </c>
      <c r="O60" s="138">
        <v>55000</v>
      </c>
      <c r="P60" s="137">
        <v>31273</v>
      </c>
      <c r="Q60" s="137">
        <v>0</v>
      </c>
      <c r="R60" s="137">
        <v>12509</v>
      </c>
      <c r="S60" s="137">
        <v>1472</v>
      </c>
      <c r="T60" s="137">
        <v>5346</v>
      </c>
      <c r="U60" s="137">
        <v>0</v>
      </c>
      <c r="V60" s="137">
        <v>0</v>
      </c>
      <c r="W60" s="137">
        <v>50600</v>
      </c>
      <c r="X60" s="137">
        <v>0</v>
      </c>
      <c r="Y60" s="137">
        <v>200</v>
      </c>
      <c r="Z60" s="137">
        <v>0</v>
      </c>
      <c r="AA60" s="137">
        <v>0</v>
      </c>
      <c r="AB60" s="137">
        <v>0</v>
      </c>
      <c r="AC60" s="137">
        <v>200</v>
      </c>
      <c r="AD60" s="137">
        <v>50400</v>
      </c>
      <c r="AE60" s="143" t="s">
        <v>560</v>
      </c>
      <c r="AF60" s="137" t="s">
        <v>561</v>
      </c>
    </row>
    <row r="61" spans="1:32" s="133" customFormat="1" hidden="1" x14ac:dyDescent="0.3">
      <c r="A61" s="137">
        <f t="shared" si="0"/>
        <v>59</v>
      </c>
      <c r="B61" s="141">
        <v>20265</v>
      </c>
      <c r="C61" s="141">
        <v>20265</v>
      </c>
      <c r="D61" s="141" t="s">
        <v>562</v>
      </c>
      <c r="E61" s="137" t="s">
        <v>370</v>
      </c>
      <c r="F61" s="137" t="s">
        <v>555</v>
      </c>
      <c r="G61" s="137" t="s">
        <v>328</v>
      </c>
      <c r="H61" s="137">
        <v>25</v>
      </c>
      <c r="I61" s="138">
        <v>35000</v>
      </c>
      <c r="J61" s="137">
        <v>0</v>
      </c>
      <c r="K61" s="137">
        <v>14000</v>
      </c>
      <c r="L61" s="137">
        <v>1600</v>
      </c>
      <c r="M61" s="137">
        <v>9700</v>
      </c>
      <c r="N61" s="137">
        <v>9700</v>
      </c>
      <c r="O61" s="138">
        <v>70000</v>
      </c>
      <c r="P61" s="137">
        <v>35000</v>
      </c>
      <c r="Q61" s="137">
        <v>0</v>
      </c>
      <c r="R61" s="137">
        <v>14000</v>
      </c>
      <c r="S61" s="137">
        <v>1600</v>
      </c>
      <c r="T61" s="137">
        <v>9700</v>
      </c>
      <c r="U61" s="137">
        <v>9700</v>
      </c>
      <c r="V61" s="137">
        <v>0</v>
      </c>
      <c r="W61" s="137">
        <v>70000</v>
      </c>
      <c r="X61" s="137">
        <v>0</v>
      </c>
      <c r="Y61" s="137">
        <v>200</v>
      </c>
      <c r="Z61" s="137">
        <v>0</v>
      </c>
      <c r="AA61" s="137">
        <v>0</v>
      </c>
      <c r="AB61" s="137">
        <v>0</v>
      </c>
      <c r="AC61" s="137">
        <v>200</v>
      </c>
      <c r="AD61" s="137">
        <v>69800</v>
      </c>
      <c r="AE61" s="137" t="s">
        <v>563</v>
      </c>
      <c r="AF61" s="137" t="s">
        <v>564</v>
      </c>
    </row>
    <row r="62" spans="1:32" s="133" customFormat="1" hidden="1" x14ac:dyDescent="0.3">
      <c r="A62" s="137"/>
      <c r="B62" s="137"/>
      <c r="C62" s="137"/>
      <c r="D62" s="144" t="s">
        <v>565</v>
      </c>
      <c r="E62" s="144"/>
      <c r="F62" s="137"/>
      <c r="G62" s="137"/>
      <c r="H62" s="144">
        <f>SUM(H3:H61)</f>
        <v>1446.5</v>
      </c>
      <c r="I62" s="144">
        <f t="shared" ref="I62:AD62" si="1">SUM(I3:I61)</f>
        <v>1612804</v>
      </c>
      <c r="J62" s="144">
        <f t="shared" si="1"/>
        <v>47488</v>
      </c>
      <c r="K62" s="144">
        <f t="shared" si="1"/>
        <v>661893</v>
      </c>
      <c r="L62" s="144">
        <f t="shared" si="1"/>
        <v>72000</v>
      </c>
      <c r="M62" s="144">
        <f t="shared" si="1"/>
        <v>290477</v>
      </c>
      <c r="N62" s="144">
        <f t="shared" si="1"/>
        <v>149891</v>
      </c>
      <c r="O62" s="144">
        <f t="shared" si="1"/>
        <v>2834553</v>
      </c>
      <c r="P62" s="144">
        <f t="shared" si="1"/>
        <v>1559723</v>
      </c>
      <c r="Q62" s="144">
        <f t="shared" si="1"/>
        <v>47488</v>
      </c>
      <c r="R62" s="144">
        <f t="shared" si="1"/>
        <v>641863</v>
      </c>
      <c r="S62" s="144">
        <f t="shared" si="1"/>
        <v>70304</v>
      </c>
      <c r="T62" s="144">
        <f t="shared" si="1"/>
        <v>278769</v>
      </c>
      <c r="U62" s="144">
        <f t="shared" si="1"/>
        <v>143676</v>
      </c>
      <c r="V62" s="144">
        <f t="shared" si="1"/>
        <v>4805</v>
      </c>
      <c r="W62" s="144">
        <f t="shared" si="1"/>
        <v>2746628</v>
      </c>
      <c r="X62" s="144">
        <f t="shared" si="1"/>
        <v>789</v>
      </c>
      <c r="Y62" s="144">
        <f t="shared" si="1"/>
        <v>8800</v>
      </c>
      <c r="Z62" s="144">
        <f t="shared" si="1"/>
        <v>41000</v>
      </c>
      <c r="AA62" s="144">
        <f t="shared" si="1"/>
        <v>42000</v>
      </c>
      <c r="AB62" s="144">
        <f t="shared" si="1"/>
        <v>26419</v>
      </c>
      <c r="AC62" s="144">
        <f t="shared" si="1"/>
        <v>119008</v>
      </c>
      <c r="AD62" s="144">
        <f t="shared" si="1"/>
        <v>2627620</v>
      </c>
      <c r="AE62" s="137"/>
      <c r="AF62" s="137"/>
    </row>
    <row r="63" spans="1:32" s="133" customFormat="1" x14ac:dyDescent="0.3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</row>
    <row r="67" spans="4:4" x14ac:dyDescent="0.3">
      <c r="D67" t="s">
        <v>566</v>
      </c>
    </row>
    <row r="68" spans="4:4" x14ac:dyDescent="0.3">
      <c r="D68" t="s">
        <v>567</v>
      </c>
    </row>
  </sheetData>
  <autoFilter ref="A2:AF62" xr:uid="{F5A0A493-A1F4-4573-B5DE-7A6A905D33B7}">
    <filterColumn colId="6">
      <filters>
        <filter val="DESPATCH"/>
      </filters>
    </filterColumn>
  </autoFilter>
  <mergeCells count="1">
    <mergeCell ref="A1:AF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</vt:lpstr>
      <vt:lpstr>BS</vt:lpstr>
      <vt:lpstr>CFS</vt:lpstr>
      <vt:lpstr>P&amp;L Schedule</vt:lpstr>
      <vt:lpstr>S&amp;D Exp</vt:lpstr>
      <vt:lpstr>Channel Wise</vt:lpstr>
      <vt:lpstr>CC</vt:lpstr>
      <vt:lpstr>Pivot_Sep_TGP</vt:lpstr>
      <vt:lpstr>TGP SEP24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Nair</dc:creator>
  <cp:lastModifiedBy>Anika Nair</cp:lastModifiedBy>
  <dcterms:created xsi:type="dcterms:W3CDTF">2024-11-13T07:25:38Z</dcterms:created>
  <dcterms:modified xsi:type="dcterms:W3CDTF">2024-12-24T04:55:57Z</dcterms:modified>
</cp:coreProperties>
</file>