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1DA2EAA-372B-44F3-A53F-C37DD918B1D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CF Valuation - EXAMPLE" sheetId="7" r:id="rId1"/>
    <sheet name="DCF Valuation - BLANK" sheetId="9" state="hidden" r:id="rId2"/>
  </sheets>
  <externalReferences>
    <externalReference r:id="rId3"/>
  </externalReference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'DCF Valuation - BLANK'!$B$1:$M$38</definedName>
    <definedName name="_xlnm.Print_Area" localSheetId="0">'DCF Valuation - EXAMPLE'!$B$2:$M$39</definedName>
    <definedName name="Type">'[1]Risk Assessment &amp; Control'!#REF!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9" l="1"/>
  <c r="E16" i="9"/>
  <c r="F16" i="9"/>
  <c r="G16" i="9"/>
  <c r="H16" i="9"/>
  <c r="I16" i="9"/>
  <c r="J16" i="9"/>
  <c r="K16" i="9"/>
  <c r="L16" i="9"/>
  <c r="M16" i="9"/>
  <c r="D17" i="9"/>
  <c r="E17" i="9"/>
  <c r="F17" i="9"/>
  <c r="G17" i="9"/>
  <c r="H17" i="9"/>
  <c r="I17" i="9"/>
  <c r="J17" i="9"/>
  <c r="K17" i="9"/>
  <c r="L17" i="9"/>
  <c r="M17" i="9"/>
  <c r="M18" i="9"/>
  <c r="M19" i="9"/>
  <c r="M20" i="9"/>
  <c r="M21" i="9"/>
  <c r="M22" i="9"/>
  <c r="M23" i="9"/>
  <c r="M24" i="9"/>
  <c r="M25" i="9"/>
  <c r="C37" i="9"/>
  <c r="E37" i="9"/>
  <c r="C38" i="9"/>
  <c r="E38" i="9"/>
  <c r="C15" i="9"/>
  <c r="D15" i="9"/>
  <c r="E15" i="9"/>
  <c r="F15" i="9"/>
  <c r="G15" i="9"/>
  <c r="H15" i="9"/>
  <c r="I15" i="9"/>
  <c r="J15" i="9"/>
  <c r="K15" i="9"/>
  <c r="L15" i="9"/>
  <c r="M15" i="9"/>
  <c r="M28" i="9"/>
  <c r="C28" i="9"/>
  <c r="M29" i="9"/>
  <c r="F38" i="9"/>
  <c r="D18" i="9"/>
  <c r="D19" i="9"/>
  <c r="D20" i="9"/>
  <c r="D21" i="9"/>
  <c r="D22" i="9"/>
  <c r="D23" i="9"/>
  <c r="C17" i="9"/>
  <c r="D24" i="9"/>
  <c r="D25" i="9"/>
  <c r="C32" i="9"/>
  <c r="D28" i="9"/>
  <c r="D29" i="9"/>
  <c r="D32" i="9"/>
  <c r="E18" i="9"/>
  <c r="E19" i="9"/>
  <c r="E20" i="9"/>
  <c r="E21" i="9"/>
  <c r="E22" i="9"/>
  <c r="E23" i="9"/>
  <c r="E24" i="9"/>
  <c r="E25" i="9"/>
  <c r="E28" i="9"/>
  <c r="E29" i="9"/>
  <c r="E32" i="9"/>
  <c r="F18" i="9"/>
  <c r="F19" i="9"/>
  <c r="F20" i="9"/>
  <c r="F21" i="9"/>
  <c r="F22" i="9"/>
  <c r="F23" i="9"/>
  <c r="F24" i="9"/>
  <c r="F25" i="9"/>
  <c r="F28" i="9"/>
  <c r="F29" i="9"/>
  <c r="F32" i="9"/>
  <c r="G18" i="9"/>
  <c r="G19" i="9"/>
  <c r="G20" i="9"/>
  <c r="G21" i="9"/>
  <c r="G22" i="9"/>
  <c r="G23" i="9"/>
  <c r="G24" i="9"/>
  <c r="G25" i="9"/>
  <c r="G28" i="9"/>
  <c r="G29" i="9"/>
  <c r="G32" i="9"/>
  <c r="H18" i="9"/>
  <c r="H19" i="9"/>
  <c r="H20" i="9"/>
  <c r="H21" i="9"/>
  <c r="H22" i="9"/>
  <c r="H23" i="9"/>
  <c r="H24" i="9"/>
  <c r="H25" i="9"/>
  <c r="H28" i="9"/>
  <c r="H29" i="9"/>
  <c r="H32" i="9"/>
  <c r="I18" i="9"/>
  <c r="I19" i="9"/>
  <c r="I20" i="9"/>
  <c r="I21" i="9"/>
  <c r="I22" i="9"/>
  <c r="I23" i="9"/>
  <c r="I24" i="9"/>
  <c r="I25" i="9"/>
  <c r="I28" i="9"/>
  <c r="I29" i="9"/>
  <c r="I32" i="9"/>
  <c r="J18" i="9"/>
  <c r="J19" i="9"/>
  <c r="J20" i="9"/>
  <c r="J21" i="9"/>
  <c r="J22" i="9"/>
  <c r="J23" i="9"/>
  <c r="J24" i="9"/>
  <c r="J25" i="9"/>
  <c r="J28" i="9"/>
  <c r="J29" i="9"/>
  <c r="J32" i="9"/>
  <c r="K18" i="9"/>
  <c r="K19" i="9"/>
  <c r="K20" i="9"/>
  <c r="K21" i="9"/>
  <c r="K22" i="9"/>
  <c r="K23" i="9"/>
  <c r="K24" i="9"/>
  <c r="K25" i="9"/>
  <c r="K28" i="9"/>
  <c r="K29" i="9"/>
  <c r="K32" i="9"/>
  <c r="L18" i="9"/>
  <c r="L19" i="9"/>
  <c r="L20" i="9"/>
  <c r="L21" i="9"/>
  <c r="L22" i="9"/>
  <c r="L23" i="9"/>
  <c r="L24" i="9"/>
  <c r="L25" i="9"/>
  <c r="L28" i="9"/>
  <c r="L29" i="9"/>
  <c r="L32" i="9"/>
  <c r="M32" i="9"/>
  <c r="D38" i="9"/>
  <c r="G38" i="9"/>
  <c r="I38" i="9"/>
  <c r="H38" i="9"/>
  <c r="F37" i="9"/>
  <c r="C31" i="9"/>
  <c r="D31" i="9"/>
  <c r="E31" i="9"/>
  <c r="F31" i="9"/>
  <c r="G31" i="9"/>
  <c r="H31" i="9"/>
  <c r="I31" i="9"/>
  <c r="J31" i="9"/>
  <c r="K31" i="9"/>
  <c r="L31" i="9"/>
  <c r="M31" i="9"/>
  <c r="D37" i="9"/>
  <c r="G37" i="9"/>
  <c r="I37" i="9"/>
  <c r="H37" i="9"/>
  <c r="C36" i="9"/>
  <c r="E36" i="9"/>
  <c r="F36" i="9"/>
  <c r="C30" i="9"/>
  <c r="D30" i="9"/>
  <c r="E30" i="9"/>
  <c r="F30" i="9"/>
  <c r="G30" i="9"/>
  <c r="H30" i="9"/>
  <c r="I30" i="9"/>
  <c r="J30" i="9"/>
  <c r="K30" i="9"/>
  <c r="L30" i="9"/>
  <c r="M30" i="9"/>
  <c r="D36" i="9"/>
  <c r="G36" i="9"/>
  <c r="I36" i="9"/>
  <c r="H36" i="9"/>
  <c r="C20" i="9"/>
  <c r="C21" i="9"/>
  <c r="C22" i="9"/>
  <c r="C19" i="9"/>
  <c r="C23" i="9"/>
  <c r="C25" i="9"/>
  <c r="C18" i="9"/>
  <c r="K7" i="9"/>
  <c r="D17" i="7"/>
  <c r="E17" i="7"/>
  <c r="F17" i="7"/>
  <c r="G17" i="7"/>
  <c r="H17" i="7"/>
  <c r="I17" i="7"/>
  <c r="J17" i="7"/>
  <c r="K17" i="7"/>
  <c r="L17" i="7"/>
  <c r="M17" i="7"/>
  <c r="D18" i="7"/>
  <c r="E18" i="7"/>
  <c r="F18" i="7"/>
  <c r="G18" i="7"/>
  <c r="H18" i="7"/>
  <c r="I18" i="7"/>
  <c r="J18" i="7"/>
  <c r="K18" i="7"/>
  <c r="L18" i="7"/>
  <c r="M18" i="7"/>
  <c r="M19" i="7"/>
  <c r="M20" i="7"/>
  <c r="M21" i="7"/>
  <c r="M22" i="7"/>
  <c r="M23" i="7"/>
  <c r="M24" i="7"/>
  <c r="M25" i="7"/>
  <c r="M26" i="7"/>
  <c r="C38" i="7"/>
  <c r="E38" i="7"/>
  <c r="C16" i="7"/>
  <c r="D16" i="7"/>
  <c r="E16" i="7"/>
  <c r="F16" i="7"/>
  <c r="G16" i="7"/>
  <c r="H16" i="7"/>
  <c r="I16" i="7"/>
  <c r="J16" i="7"/>
  <c r="K16" i="7"/>
  <c r="L16" i="7"/>
  <c r="M16" i="7"/>
  <c r="M29" i="7"/>
  <c r="C29" i="7"/>
  <c r="M30" i="7"/>
  <c r="F38" i="7"/>
  <c r="D19" i="7"/>
  <c r="D20" i="7"/>
  <c r="D21" i="7"/>
  <c r="D22" i="7"/>
  <c r="D23" i="7"/>
  <c r="D24" i="7"/>
  <c r="C18" i="7"/>
  <c r="D25" i="7"/>
  <c r="D26" i="7"/>
  <c r="C32" i="7"/>
  <c r="D29" i="7"/>
  <c r="D30" i="7"/>
  <c r="D32" i="7"/>
  <c r="E19" i="7"/>
  <c r="E20" i="7"/>
  <c r="E21" i="7"/>
  <c r="E22" i="7"/>
  <c r="E23" i="7"/>
  <c r="E24" i="7"/>
  <c r="E25" i="7"/>
  <c r="E26" i="7"/>
  <c r="E29" i="7"/>
  <c r="E30" i="7"/>
  <c r="E32" i="7"/>
  <c r="F19" i="7"/>
  <c r="F20" i="7"/>
  <c r="F21" i="7"/>
  <c r="F22" i="7"/>
  <c r="F23" i="7"/>
  <c r="F24" i="7"/>
  <c r="F25" i="7"/>
  <c r="F26" i="7"/>
  <c r="F29" i="7"/>
  <c r="F30" i="7"/>
  <c r="F32" i="7"/>
  <c r="G19" i="7"/>
  <c r="G20" i="7"/>
  <c r="G21" i="7"/>
  <c r="G22" i="7"/>
  <c r="G23" i="7"/>
  <c r="G24" i="7"/>
  <c r="G25" i="7"/>
  <c r="G26" i="7"/>
  <c r="G29" i="7"/>
  <c r="G30" i="7"/>
  <c r="G32" i="7"/>
  <c r="H19" i="7"/>
  <c r="H20" i="7"/>
  <c r="H21" i="7"/>
  <c r="H22" i="7"/>
  <c r="H23" i="7"/>
  <c r="H24" i="7"/>
  <c r="H25" i="7"/>
  <c r="H26" i="7"/>
  <c r="H29" i="7"/>
  <c r="H30" i="7"/>
  <c r="H32" i="7"/>
  <c r="I19" i="7"/>
  <c r="I20" i="7"/>
  <c r="I21" i="7"/>
  <c r="I22" i="7"/>
  <c r="I23" i="7"/>
  <c r="I24" i="7"/>
  <c r="I25" i="7"/>
  <c r="I26" i="7"/>
  <c r="I29" i="7"/>
  <c r="I30" i="7"/>
  <c r="I32" i="7"/>
  <c r="J19" i="7"/>
  <c r="J20" i="7"/>
  <c r="J21" i="7"/>
  <c r="J22" i="7"/>
  <c r="J23" i="7"/>
  <c r="J24" i="7"/>
  <c r="J25" i="7"/>
  <c r="J26" i="7"/>
  <c r="J29" i="7"/>
  <c r="J30" i="7"/>
  <c r="J32" i="7"/>
  <c r="K19" i="7"/>
  <c r="K20" i="7"/>
  <c r="K21" i="7"/>
  <c r="K22" i="7"/>
  <c r="K23" i="7"/>
  <c r="K24" i="7"/>
  <c r="K25" i="7"/>
  <c r="K26" i="7"/>
  <c r="K29" i="7"/>
  <c r="K30" i="7"/>
  <c r="K32" i="7"/>
  <c r="L19" i="7"/>
  <c r="L20" i="7"/>
  <c r="L21" i="7"/>
  <c r="L22" i="7"/>
  <c r="L23" i="7"/>
  <c r="L24" i="7"/>
  <c r="L25" i="7"/>
  <c r="L26" i="7"/>
  <c r="L29" i="7"/>
  <c r="L30" i="7"/>
  <c r="L32" i="7"/>
  <c r="M32" i="7"/>
  <c r="D38" i="7"/>
  <c r="G38" i="7"/>
  <c r="K8" i="7"/>
  <c r="C19" i="7"/>
  <c r="C20" i="7"/>
  <c r="C21" i="7"/>
  <c r="C22" i="7"/>
  <c r="C23" i="7"/>
  <c r="C24" i="7"/>
  <c r="C26" i="7"/>
  <c r="C31" i="7"/>
  <c r="D31" i="7"/>
  <c r="E31" i="7"/>
  <c r="F31" i="7"/>
  <c r="G31" i="7"/>
  <c r="H31" i="7"/>
  <c r="I31" i="7"/>
  <c r="J31" i="7"/>
  <c r="K31" i="7"/>
  <c r="L31" i="7"/>
  <c r="M31" i="7"/>
  <c r="C33" i="7"/>
  <c r="D33" i="7"/>
  <c r="E33" i="7"/>
  <c r="F33" i="7"/>
  <c r="G33" i="7"/>
  <c r="H33" i="7"/>
  <c r="I33" i="7"/>
  <c r="J33" i="7"/>
  <c r="K33" i="7"/>
  <c r="L33" i="7"/>
  <c r="M33" i="7"/>
  <c r="C37" i="7"/>
  <c r="D37" i="7"/>
  <c r="E37" i="7"/>
  <c r="F37" i="7"/>
  <c r="G37" i="7"/>
  <c r="H37" i="7"/>
  <c r="I37" i="7"/>
  <c r="H38" i="7"/>
  <c r="I38" i="7"/>
  <c r="C39" i="7"/>
  <c r="D39" i="7"/>
  <c r="E39" i="7"/>
  <c r="F39" i="7"/>
  <c r="G39" i="7"/>
  <c r="H39" i="7"/>
  <c r="I39" i="7"/>
</calcChain>
</file>

<file path=xl/sharedStrings.xml><?xml version="1.0" encoding="utf-8"?>
<sst xmlns="http://schemas.openxmlformats.org/spreadsheetml/2006/main" count="89" uniqueCount="41">
  <si>
    <t>EXAMPLE</t>
  </si>
  <si>
    <t>EBIT</t>
  </si>
  <si>
    <t>EBITDA</t>
  </si>
  <si>
    <t>DCF VALUATION</t>
  </si>
  <si>
    <t>User to complete non-shaded fields only.</t>
  </si>
  <si>
    <t>Percent Value in Terminal</t>
  </si>
  <si>
    <t>Percent Value in Projection Period</t>
  </si>
  <si>
    <t>Company Value</t>
  </si>
  <si>
    <t>Terminal Cash Flow</t>
  </si>
  <si>
    <t>Terminal Value @ Rate</t>
  </si>
  <si>
    <t>FCF over Projection Period</t>
  </si>
  <si>
    <t>Rate</t>
  </si>
  <si>
    <t>Monthly Discount FCF @ rate</t>
  </si>
  <si>
    <t>Years from Date of Valuation</t>
  </si>
  <si>
    <t>Free Cash Flow for Firm (FCFF)</t>
  </si>
  <si>
    <t>Change in Working Capital</t>
  </si>
  <si>
    <t>Capital Expenditure</t>
  </si>
  <si>
    <t>Net Operating Profit After Tax (NOPAT)</t>
  </si>
  <si>
    <t>Income Tax</t>
  </si>
  <si>
    <t>Depreciation &amp; Amortization</t>
  </si>
  <si>
    <t>Revenue (in $ Million)</t>
  </si>
  <si>
    <t>Revenue %</t>
  </si>
  <si>
    <t>WACC Sensitivity</t>
  </si>
  <si>
    <t>Working Capital</t>
  </si>
  <si>
    <t>Capital Expenditures</t>
  </si>
  <si>
    <t>Long Term Revenue Growth Rate</t>
  </si>
  <si>
    <t>Short Term Revenue Growth Rate</t>
  </si>
  <si>
    <t>Tax Rate</t>
  </si>
  <si>
    <t>Revenue</t>
  </si>
  <si>
    <t>$ Million</t>
  </si>
  <si>
    <t>COMPANY NAME</t>
  </si>
  <si>
    <t>DATE OF VALUATION</t>
  </si>
  <si>
    <t>DISCOUNTED CASH FLOW VALUATION TEMPLATE</t>
  </si>
  <si>
    <t>%</t>
  </si>
  <si>
    <r>
      <t xml:space="preserve">TOTAL COMPANY VALUE </t>
    </r>
    <r>
      <rPr>
        <sz val="9"/>
        <color rgb="FF000000"/>
        <rFont val="Century Gothic"/>
        <family val="1"/>
      </rPr>
      <t>(in $ Million)</t>
    </r>
  </si>
  <si>
    <t xml:space="preserve">OPERATING INPUT DATA </t>
  </si>
  <si>
    <t>RATE INPUT DATA</t>
  </si>
  <si>
    <r>
      <t>DISCOUNTED CASH FLOW SUMMARY</t>
    </r>
    <r>
      <rPr>
        <sz val="12"/>
        <rFont val="Century Gothic"/>
        <family val="1"/>
      </rPr>
      <t xml:space="preserve">  (in $ Million)</t>
    </r>
  </si>
  <si>
    <t>FREE CASH FLOW TO FIRM (FCFF) PROJECTION</t>
  </si>
  <si>
    <t xml:space="preserve">Weighted Average Cost of Capital (WACC) </t>
  </si>
  <si>
    <t>Ergos Agritech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</si>
</sst>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-* #,##0.00_-;\-* #,##0.00_-;_-* &quot;-&quot;??_-;_-@_-"/>
    <numFmt numFmtId="166" formatCode="[$-F800]dddd\,\ mmmm\ dd\,\ yyyy"/>
    <numFmt numFmtId="167" formatCode="mm/dd/yy;@"/>
  </numFmts>
  <fonts count="2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10"/>
      <color indexed="8"/>
      <name val="Century Gothic"/>
      <family val="1"/>
    </font>
    <font>
      <b/>
      <sz val="10"/>
      <color theme="1"/>
      <name val="Century Gothic"/>
      <family val="1"/>
    </font>
    <font>
      <sz val="10"/>
      <name val="Century Gothic"/>
      <family val="1"/>
    </font>
    <font>
      <b/>
      <sz val="10"/>
      <name val="Century Gothic"/>
      <family val="1"/>
    </font>
    <font>
      <b/>
      <sz val="10"/>
      <color indexed="8"/>
      <name val="Century Gothic"/>
      <family val="1"/>
    </font>
    <font>
      <sz val="16"/>
      <color indexed="8"/>
      <name val="Century Gothic"/>
      <family val="1"/>
    </font>
    <font>
      <sz val="16"/>
      <name val="Century Gothic"/>
      <family val="1"/>
    </font>
    <font>
      <sz val="16"/>
      <color theme="0" tint="-0.499984740745262"/>
      <name val="Century Gothic"/>
      <family val="1"/>
    </font>
    <font>
      <sz val="9"/>
      <color rgb="FF000000"/>
      <name val="Century Gothic"/>
      <family val="1"/>
    </font>
    <font>
      <b/>
      <sz val="11"/>
      <name val="Century Gothic"/>
      <family val="1"/>
    </font>
    <font>
      <sz val="12"/>
      <name val="Century Gothic"/>
      <family val="1"/>
    </font>
    <font>
      <b/>
      <i/>
      <sz val="10"/>
      <color theme="4"/>
      <name val="Century Gothic"/>
      <family val="1"/>
    </font>
    <font>
      <b/>
      <sz val="9"/>
      <color indexed="8"/>
      <name val="Century Gothic"/>
      <family val="1"/>
    </font>
    <font>
      <sz val="11"/>
      <color theme="1"/>
      <name val="Century Gothic"/>
      <family val="1"/>
    </font>
    <font>
      <sz val="16"/>
      <color theme="0"/>
      <name val="Century Gothic"/>
      <family val="1"/>
    </font>
  </fonts>
  <fills count="9">
    <fill>
      <patternFill patternType="none"/>
    </fill>
    <fill>
      <patternFill patternType="gray125"/>
    </fill>
    <fill>
      <patternFill patternType="none">
        <fgColor rgb="FFE5E5E5"/>
      </patternFill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rgb="FFE5E5E5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5">
    <xf numFmtId="0" fontId="0" fillId="0" borderId="0"/>
    <xf numFmtId="0" fontId="2" fillId="2" borderId="0"/>
    <xf numFmtId="165" fontId="2" fillId="2" borderId="0" applyFont="0" applyFill="0" applyBorder="0" applyAlignment="0" applyProtection="0"/>
    <xf numFmtId="0" fontId="1" fillId="2" borderId="0" applyNumberFormat="0" applyFill="0" applyBorder="0" applyAlignment="0" applyProtection="0"/>
    <xf numFmtId="9" fontId="2" fillId="2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6" fillId="3" borderId="0" xfId="0" applyFont="1" applyFill="1" applyAlignment="1">
      <alignment vertical="center"/>
    </xf>
    <xf numFmtId="0" fontId="4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Protection="1">
      <protection locked="0"/>
    </xf>
    <xf numFmtId="0" fontId="7" fillId="0" borderId="0" xfId="0" applyFont="1" applyAlignment="1">
      <alignment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indent="1"/>
    </xf>
    <xf numFmtId="0" fontId="14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0" fontId="5" fillId="2" borderId="0" xfId="0" applyNumberFormat="1" applyFont="1" applyFill="1" applyAlignment="1">
      <alignment horizontal="right" vertical="center"/>
    </xf>
    <xf numFmtId="2" fontId="5" fillId="2" borderId="0" xfId="0" applyNumberFormat="1" applyFont="1" applyFill="1" applyAlignment="1">
      <alignment horizontal="right" vertical="center"/>
    </xf>
    <xf numFmtId="0" fontId="10" fillId="2" borderId="0" xfId="0" applyFont="1" applyFill="1" applyAlignment="1">
      <alignment horizontal="left" vertical="center" wrapText="1"/>
    </xf>
    <xf numFmtId="164" fontId="7" fillId="3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horizontal="right" vertical="center"/>
    </xf>
    <xf numFmtId="164" fontId="8" fillId="2" borderId="0" xfId="0" applyNumberFormat="1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0" fillId="5" borderId="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left" vertical="center" indent="1"/>
    </xf>
    <xf numFmtId="0" fontId="8" fillId="5" borderId="1" xfId="0" applyFont="1" applyFill="1" applyBorder="1" applyAlignment="1">
      <alignment horizontal="right" vertical="center" indent="1"/>
    </xf>
    <xf numFmtId="2" fontId="10" fillId="5" borderId="1" xfId="0" applyNumberFormat="1" applyFont="1" applyFill="1" applyBorder="1" applyAlignment="1">
      <alignment horizontal="center" vertical="center" wrapText="1"/>
    </xf>
    <xf numFmtId="167" fontId="10" fillId="5" borderId="1" xfId="0" applyNumberFormat="1" applyFont="1" applyFill="1" applyBorder="1" applyAlignment="1">
      <alignment horizontal="center" vertical="center" wrapText="1"/>
    </xf>
    <xf numFmtId="167" fontId="10" fillId="6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 vertical="center" indent="1"/>
    </xf>
    <xf numFmtId="10" fontId="9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0" fontId="9" fillId="7" borderId="1" xfId="0" applyNumberFormat="1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67" fontId="10" fillId="6" borderId="8" xfId="0" applyNumberFormat="1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left" vertical="center" indent="1"/>
    </xf>
    <xf numFmtId="0" fontId="10" fillId="0" borderId="9" xfId="0" applyFont="1" applyBorder="1" applyAlignment="1">
      <alignment horizontal="left" vertical="center" indent="1"/>
    </xf>
    <xf numFmtId="0" fontId="10" fillId="5" borderId="1" xfId="0" applyFont="1" applyFill="1" applyBorder="1" applyAlignment="1">
      <alignment horizontal="center" vertical="center" wrapText="1"/>
    </xf>
    <xf numFmtId="10" fontId="10" fillId="4" borderId="1" xfId="0" applyNumberFormat="1" applyFont="1" applyFill="1" applyBorder="1" applyAlignment="1">
      <alignment horizontal="center" vertical="center"/>
    </xf>
    <xf numFmtId="10" fontId="5" fillId="4" borderId="1" xfId="4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right" vertical="center" indent="1"/>
    </xf>
    <xf numFmtId="2" fontId="8" fillId="0" borderId="6" xfId="4" applyNumberFormat="1" applyFont="1" applyFill="1" applyBorder="1" applyAlignment="1">
      <alignment horizontal="right" vertical="center" indent="1"/>
    </xf>
    <xf numFmtId="2" fontId="8" fillId="0" borderId="7" xfId="4" applyNumberFormat="1" applyFont="1" applyFill="1" applyBorder="1" applyAlignment="1">
      <alignment horizontal="right" vertical="center" indent="1"/>
    </xf>
    <xf numFmtId="0" fontId="10" fillId="5" borderId="6" xfId="0" applyFont="1" applyFill="1" applyBorder="1" applyAlignment="1">
      <alignment horizontal="right" vertical="center" wrapText="1" indent="1"/>
    </xf>
    <xf numFmtId="10" fontId="8" fillId="0" borderId="6" xfId="4" applyNumberFormat="1" applyFont="1" applyFill="1" applyBorder="1" applyAlignment="1">
      <alignment horizontal="right" vertical="center" indent="1"/>
    </xf>
    <xf numFmtId="10" fontId="8" fillId="0" borderId="7" xfId="4" applyNumberFormat="1" applyFont="1" applyFill="1" applyBorder="1" applyAlignment="1">
      <alignment horizontal="right" vertical="center" indent="1"/>
    </xf>
    <xf numFmtId="167" fontId="10" fillId="5" borderId="6" xfId="0" applyNumberFormat="1" applyFont="1" applyFill="1" applyBorder="1" applyAlignment="1">
      <alignment horizontal="center" vertical="center" wrapText="1"/>
    </xf>
    <xf numFmtId="2" fontId="10" fillId="5" borderId="6" xfId="0" applyNumberFormat="1" applyFont="1" applyFill="1" applyBorder="1" applyAlignment="1">
      <alignment horizontal="center" vertical="center" wrapText="1"/>
    </xf>
    <xf numFmtId="167" fontId="10" fillId="6" borderId="6" xfId="0" applyNumberFormat="1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10" fontId="5" fillId="4" borderId="6" xfId="4" applyNumberFormat="1" applyFont="1" applyFill="1" applyBorder="1" applyAlignment="1">
      <alignment horizontal="center" vertical="center"/>
    </xf>
    <xf numFmtId="10" fontId="9" fillId="8" borderId="1" xfId="0" applyNumberFormat="1" applyFont="1" applyFill="1" applyBorder="1" applyAlignment="1">
      <alignment horizontal="center" vertical="center" wrapText="1"/>
    </xf>
    <xf numFmtId="10" fontId="9" fillId="8" borderId="6" xfId="0" applyNumberFormat="1" applyFont="1" applyFill="1" applyBorder="1" applyAlignment="1">
      <alignment horizontal="center" vertical="center" wrapText="1"/>
    </xf>
    <xf numFmtId="2" fontId="5" fillId="4" borderId="6" xfId="0" applyNumberFormat="1" applyFont="1" applyFill="1" applyBorder="1" applyAlignment="1">
      <alignment horizontal="center" vertical="center"/>
    </xf>
    <xf numFmtId="1" fontId="5" fillId="7" borderId="6" xfId="0" applyNumberFormat="1" applyFont="1" applyFill="1" applyBorder="1" applyAlignment="1">
      <alignment horizontal="center" vertical="center"/>
    </xf>
    <xf numFmtId="2" fontId="5" fillId="7" borderId="6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left" vertical="center" wrapText="1" indent="1"/>
    </xf>
    <xf numFmtId="166" fontId="20" fillId="0" borderId="2" xfId="0" applyNumberFormat="1" applyFont="1" applyBorder="1" applyAlignment="1">
      <alignment horizontal="left" vertical="center" wrapText="1" indent="1"/>
    </xf>
    <xf numFmtId="166" fontId="20" fillId="0" borderId="7" xfId="0" applyNumberFormat="1" applyFont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2" fontId="16" fillId="4" borderId="1" xfId="4" applyNumberFormat="1" applyFont="1" applyFill="1" applyBorder="1" applyAlignment="1">
      <alignment horizontal="center" vertical="center"/>
    </xf>
    <xf numFmtId="2" fontId="16" fillId="4" borderId="6" xfId="4" applyNumberFormat="1" applyFont="1" applyFill="1" applyBorder="1" applyAlignment="1">
      <alignment horizontal="center" vertical="center"/>
    </xf>
    <xf numFmtId="2" fontId="16" fillId="4" borderId="2" xfId="4" applyNumberFormat="1" applyFont="1" applyFill="1" applyBorder="1" applyAlignment="1">
      <alignment horizontal="center" vertical="center"/>
    </xf>
    <xf numFmtId="2" fontId="16" fillId="4" borderId="7" xfId="4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indent="1"/>
    </xf>
    <xf numFmtId="0" fontId="10" fillId="5" borderId="3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5" fillId="4" borderId="3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0" fontId="5" fillId="8" borderId="3" xfId="0" applyFont="1" applyFill="1" applyBorder="1" applyAlignment="1">
      <alignment horizontal="left" vertical="center" indent="1"/>
    </xf>
    <xf numFmtId="0" fontId="5" fillId="8" borderId="2" xfId="0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21" fillId="0" borderId="0" xfId="0" applyFont="1" applyAlignment="1" applyProtection="1">
      <alignment vertical="top"/>
      <protection locked="0"/>
    </xf>
  </cellXfs>
  <cellStyles count="5">
    <cellStyle name="Comma 2" xfId="2" xr:uid="{7647EC55-54E6-7748-8066-9AD8F5A2C972}"/>
    <cellStyle name="Hyperlink 2" xfId="3" xr:uid="{DEE1E26C-06B2-0A4D-A272-258A718AD1BE}"/>
    <cellStyle name="Normal" xfId="0" builtinId="0"/>
    <cellStyle name="Normal 2" xfId="1" xr:uid="{3F51050F-2C9F-6F43-AF22-C0D795454C90}"/>
    <cellStyle name="Percent 2" xfId="4" xr:uid="{9BD08DE8-2F5E-5E4B-A1F1-CC660E4AD1B3}"/>
  </cellStyles>
  <dxfs count="2">
    <dxf>
      <font>
        <color rgb="FF9C0006"/>
      </font>
    </dxf>
    <dxf>
      <font>
        <color rgb="FF9C0006"/>
      </font>
    </dxf>
  </dxfs>
  <tableStyles count="0" defaultTableStyle="TableStyleMedium9" defaultPivotStyle="PivotStyleMedium7"/>
  <colors>
    <mruColors>
      <color rgb="FFEAEEF3"/>
      <color rgb="FFF8F8F8"/>
      <color rgb="FFF7F9FB"/>
      <color rgb="FF00EAF0"/>
      <color rgb="FFD5EDBC"/>
      <color rgb="FF44C5D8"/>
      <color rgb="FFE7EFDA"/>
      <color rgb="FFF36B52"/>
      <color rgb="FFDAF0F3"/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53D2-DEE0-CE4A-BB3E-6D793A3386BD}">
  <sheetPr>
    <tabColor theme="3" tint="0.59999389629810485"/>
    <outlinePr summaryBelow="0"/>
    <pageSetUpPr fitToPage="1"/>
  </sheetPr>
  <dimension ref="B1:M40"/>
  <sheetViews>
    <sheetView showGridLines="0" tabSelected="1" workbookViewId="0">
      <pane ySplit="2" topLeftCell="A3" activePane="bottomLeft" state="frozen"/>
      <selection pane="bottomLeft" activeCell="G6" sqref="G6"/>
    </sheetView>
  </sheetViews>
  <sheetFormatPr defaultColWidth="8.77734375" defaultRowHeight="14.4" x14ac:dyDescent="0.3"/>
  <cols>
    <col min="1" max="1" width="3.33203125" customWidth="1"/>
    <col min="2" max="2" width="35.77734375" customWidth="1"/>
    <col min="3" max="13" width="12.77734375" customWidth="1"/>
    <col min="14" max="14" width="3.33203125" customWidth="1"/>
  </cols>
  <sheetData>
    <row r="1" spans="2:13" ht="12.6" customHeight="1" x14ac:dyDescent="0.3">
      <c r="C1" s="1"/>
      <c r="D1" s="1"/>
      <c r="E1" s="1"/>
      <c r="F1" s="1"/>
    </row>
    <row r="2" spans="2:13" s="2" customFormat="1" ht="42" customHeight="1" x14ac:dyDescent="0.3">
      <c r="B2" s="3" t="s">
        <v>32</v>
      </c>
    </row>
    <row r="3" spans="2:13" s="5" customFormat="1" ht="25.05" customHeight="1" x14ac:dyDescent="0.25">
      <c r="B3" s="81" t="s">
        <v>0</v>
      </c>
      <c r="C3" s="4"/>
      <c r="D3" s="4"/>
      <c r="E3" s="4"/>
    </row>
    <row r="4" spans="2:13" s="10" customFormat="1" ht="15" customHeight="1" x14ac:dyDescent="0.3">
      <c r="B4" s="23" t="s">
        <v>30</v>
      </c>
      <c r="C4" s="6"/>
      <c r="D4" s="6"/>
      <c r="E4" s="6"/>
      <c r="F4" s="6"/>
      <c r="G4" s="23" t="s">
        <v>31</v>
      </c>
      <c r="H4" s="6"/>
      <c r="I4" s="6"/>
      <c r="J4" s="6"/>
      <c r="K4" s="6"/>
    </row>
    <row r="5" spans="2:13" s="10" customFormat="1" ht="34.950000000000003" customHeight="1" thickBot="1" x14ac:dyDescent="0.35">
      <c r="B5" s="64" t="s">
        <v>40</v>
      </c>
      <c r="C5" s="64"/>
      <c r="D5" s="64"/>
      <c r="E5" s="65"/>
      <c r="F5" s="6"/>
      <c r="G5" s="66">
        <v>45841</v>
      </c>
      <c r="H5" s="66"/>
      <c r="I5" s="66"/>
      <c r="J5" s="67"/>
      <c r="K5" s="6"/>
    </row>
    <row r="6" spans="2:13" s="10" customFormat="1" ht="19.95" customHeight="1" x14ac:dyDescent="0.3">
      <c r="B6" s="6"/>
      <c r="C6" s="6"/>
      <c r="D6" s="13"/>
      <c r="E6" s="13"/>
      <c r="F6" s="13"/>
      <c r="G6" s="6"/>
      <c r="H6" s="6"/>
      <c r="I6" s="6"/>
      <c r="J6" s="6"/>
      <c r="K6" s="6"/>
      <c r="L6" s="15"/>
      <c r="M6" s="14"/>
    </row>
    <row r="7" spans="2:13" s="10" customFormat="1" ht="19.95" customHeight="1" x14ac:dyDescent="0.3">
      <c r="B7" s="26" t="s">
        <v>35</v>
      </c>
      <c r="C7" s="48" t="s">
        <v>29</v>
      </c>
      <c r="E7" s="73" t="s">
        <v>36</v>
      </c>
      <c r="F7" s="73"/>
      <c r="G7" s="74"/>
      <c r="H7" s="51" t="s">
        <v>33</v>
      </c>
      <c r="K7" s="68" t="s">
        <v>34</v>
      </c>
      <c r="L7" s="68"/>
      <c r="M7" s="68"/>
    </row>
    <row r="8" spans="2:13" s="10" customFormat="1" ht="22.05" customHeight="1" x14ac:dyDescent="0.3">
      <c r="B8" s="27" t="s">
        <v>28</v>
      </c>
      <c r="C8" s="49">
        <v>80</v>
      </c>
      <c r="E8" s="75" t="s">
        <v>27</v>
      </c>
      <c r="F8" s="75"/>
      <c r="G8" s="76"/>
      <c r="H8" s="52">
        <v>0.2</v>
      </c>
      <c r="K8" s="69">
        <f>G38</f>
        <v>93.040169044874602</v>
      </c>
      <c r="L8" s="69"/>
      <c r="M8" s="70"/>
    </row>
    <row r="9" spans="2:13" s="10" customFormat="1" ht="22.05" customHeight="1" thickBot="1" x14ac:dyDescent="0.35">
      <c r="B9" s="27" t="s">
        <v>2</v>
      </c>
      <c r="C9" s="49">
        <v>3</v>
      </c>
      <c r="E9" s="75" t="s">
        <v>26</v>
      </c>
      <c r="F9" s="75"/>
      <c r="G9" s="76"/>
      <c r="H9" s="52">
        <v>5.5E-2</v>
      </c>
      <c r="K9" s="71"/>
      <c r="L9" s="71"/>
      <c r="M9" s="72"/>
    </row>
    <row r="10" spans="2:13" s="10" customFormat="1" ht="22.05" customHeight="1" x14ac:dyDescent="0.3">
      <c r="B10" s="27" t="s">
        <v>19</v>
      </c>
      <c r="C10" s="49">
        <v>2</v>
      </c>
      <c r="E10" s="77" t="s">
        <v>25</v>
      </c>
      <c r="F10" s="77"/>
      <c r="G10" s="78"/>
      <c r="H10" s="52">
        <v>2.5000000000000001E-2</v>
      </c>
      <c r="K10" s="24"/>
      <c r="L10" s="24"/>
    </row>
    <row r="11" spans="2:13" s="10" customFormat="1" ht="22.05" customHeight="1" x14ac:dyDescent="0.3">
      <c r="B11" s="27" t="s">
        <v>24</v>
      </c>
      <c r="C11" s="49">
        <v>2.75</v>
      </c>
      <c r="E11" s="77" t="s">
        <v>39</v>
      </c>
      <c r="F11" s="77"/>
      <c r="G11" s="78"/>
      <c r="H11" s="52">
        <v>0.1</v>
      </c>
      <c r="K11" s="24"/>
      <c r="L11" s="24"/>
    </row>
    <row r="12" spans="2:13" s="10" customFormat="1" ht="22.05" customHeight="1" thickBot="1" x14ac:dyDescent="0.35">
      <c r="B12" s="28" t="s">
        <v>23</v>
      </c>
      <c r="C12" s="50">
        <v>0.2</v>
      </c>
      <c r="E12" s="77" t="s">
        <v>22</v>
      </c>
      <c r="F12" s="77"/>
      <c r="G12" s="78"/>
      <c r="H12" s="52">
        <v>0.01</v>
      </c>
      <c r="K12" s="24"/>
      <c r="L12" s="24"/>
    </row>
    <row r="13" spans="2:13" s="10" customFormat="1" ht="22.05" customHeight="1" thickBot="1" x14ac:dyDescent="0.35">
      <c r="B13" s="25"/>
      <c r="C13" s="6"/>
      <c r="D13" s="13"/>
      <c r="E13" s="79" t="s">
        <v>15</v>
      </c>
      <c r="F13" s="79"/>
      <c r="G13" s="80"/>
      <c r="H13" s="53">
        <v>8.5000000000000006E-3</v>
      </c>
      <c r="K13" s="24"/>
      <c r="L13" s="24"/>
    </row>
    <row r="14" spans="2:13" s="10" customFormat="1" ht="19.95" customHeight="1" x14ac:dyDescent="0.3">
      <c r="B14" s="16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2:13" s="8" customFormat="1" ht="25.05" customHeight="1" x14ac:dyDescent="0.3">
      <c r="B15" s="9" t="s">
        <v>38</v>
      </c>
      <c r="C15" s="9"/>
      <c r="D15" s="9"/>
      <c r="E15" s="9"/>
      <c r="F15" s="9"/>
      <c r="G15" s="9"/>
      <c r="H15" s="9"/>
      <c r="I15" s="9"/>
      <c r="J15" s="9"/>
    </row>
    <row r="16" spans="2:13" s="10" customFormat="1" ht="19.95" customHeight="1" x14ac:dyDescent="0.3">
      <c r="B16" s="43"/>
      <c r="C16" s="31">
        <f>G5</f>
        <v>45841</v>
      </c>
      <c r="D16" s="31">
        <f t="shared" ref="D16:M16" si="0">DATE(YEAR(C16)+1,MONTH(C16),DAY(C16))</f>
        <v>46206</v>
      </c>
      <c r="E16" s="31">
        <f t="shared" si="0"/>
        <v>46571</v>
      </c>
      <c r="F16" s="31">
        <f t="shared" si="0"/>
        <v>46937</v>
      </c>
      <c r="G16" s="31">
        <f t="shared" si="0"/>
        <v>47302</v>
      </c>
      <c r="H16" s="31">
        <f t="shared" si="0"/>
        <v>47667</v>
      </c>
      <c r="I16" s="31">
        <f t="shared" si="0"/>
        <v>48032</v>
      </c>
      <c r="J16" s="31">
        <f t="shared" si="0"/>
        <v>48398</v>
      </c>
      <c r="K16" s="31">
        <f t="shared" si="0"/>
        <v>48763</v>
      </c>
      <c r="L16" s="31">
        <f t="shared" si="0"/>
        <v>49128</v>
      </c>
      <c r="M16" s="54">
        <f t="shared" si="0"/>
        <v>49493</v>
      </c>
    </row>
    <row r="17" spans="2:13" s="10" customFormat="1" ht="22.05" customHeight="1" x14ac:dyDescent="0.3">
      <c r="B17" s="27" t="s">
        <v>21</v>
      </c>
      <c r="C17" s="34"/>
      <c r="D17" s="59">
        <f>H9</f>
        <v>5.5E-2</v>
      </c>
      <c r="E17" s="59">
        <f t="shared" ref="E17:M17" si="1">D17-($H$9-$H$10)/9</f>
        <v>5.1666666666666666E-2</v>
      </c>
      <c r="F17" s="59">
        <f t="shared" si="1"/>
        <v>4.8333333333333332E-2</v>
      </c>
      <c r="G17" s="59">
        <f t="shared" si="1"/>
        <v>4.4999999999999998E-2</v>
      </c>
      <c r="H17" s="59">
        <f t="shared" si="1"/>
        <v>4.1666666666666664E-2</v>
      </c>
      <c r="I17" s="59">
        <f t="shared" si="1"/>
        <v>3.833333333333333E-2</v>
      </c>
      <c r="J17" s="59">
        <f t="shared" si="1"/>
        <v>3.4999999999999996E-2</v>
      </c>
      <c r="K17" s="59">
        <f t="shared" si="1"/>
        <v>3.1666666666666662E-2</v>
      </c>
      <c r="L17" s="59">
        <f t="shared" si="1"/>
        <v>2.8333333333333328E-2</v>
      </c>
      <c r="M17" s="60">
        <f t="shared" si="1"/>
        <v>2.4999999999999994E-2</v>
      </c>
    </row>
    <row r="18" spans="2:13" s="10" customFormat="1" ht="22.05" customHeight="1" x14ac:dyDescent="0.3">
      <c r="B18" s="27" t="s">
        <v>20</v>
      </c>
      <c r="C18" s="35">
        <f>C8</f>
        <v>80</v>
      </c>
      <c r="D18" s="35">
        <f>(H9+1)*C8</f>
        <v>84.399999999999991</v>
      </c>
      <c r="E18" s="35">
        <f t="shared" ref="E18:M18" si="2">(E17+1)*D18</f>
        <v>88.760666666666665</v>
      </c>
      <c r="F18" s="35">
        <f t="shared" si="2"/>
        <v>93.050765555555557</v>
      </c>
      <c r="G18" s="35">
        <f t="shared" si="2"/>
        <v>97.23805000555555</v>
      </c>
      <c r="H18" s="35">
        <f t="shared" si="2"/>
        <v>101.2896354224537</v>
      </c>
      <c r="I18" s="35">
        <f t="shared" si="2"/>
        <v>105.17240478031442</v>
      </c>
      <c r="J18" s="35">
        <f t="shared" si="2"/>
        <v>108.85343894762542</v>
      </c>
      <c r="K18" s="35">
        <f t="shared" si="2"/>
        <v>112.30046451430023</v>
      </c>
      <c r="L18" s="35">
        <f t="shared" si="2"/>
        <v>115.48231100887207</v>
      </c>
      <c r="M18" s="61">
        <f t="shared" si="2"/>
        <v>118.36936878409387</v>
      </c>
    </row>
    <row r="19" spans="2:13" s="10" customFormat="1" ht="22.05" customHeight="1" x14ac:dyDescent="0.3">
      <c r="B19" s="27" t="s">
        <v>2</v>
      </c>
      <c r="C19" s="35">
        <f>C9</f>
        <v>3</v>
      </c>
      <c r="D19" s="35">
        <f t="shared" ref="D19:M19" si="3">D18*($C$9/$C$8)</f>
        <v>3.1649999999999996</v>
      </c>
      <c r="E19" s="35">
        <f t="shared" si="3"/>
        <v>3.328525</v>
      </c>
      <c r="F19" s="35">
        <f t="shared" si="3"/>
        <v>3.4894037083333331</v>
      </c>
      <c r="G19" s="35">
        <f t="shared" si="3"/>
        <v>3.6464268752083329</v>
      </c>
      <c r="H19" s="35">
        <f t="shared" si="3"/>
        <v>3.7983613283420135</v>
      </c>
      <c r="I19" s="35">
        <f t="shared" si="3"/>
        <v>3.9439651792617907</v>
      </c>
      <c r="J19" s="35">
        <f t="shared" si="3"/>
        <v>4.0820039605359533</v>
      </c>
      <c r="K19" s="35">
        <f t="shared" si="3"/>
        <v>4.2112674192862585</v>
      </c>
      <c r="L19" s="35">
        <f t="shared" si="3"/>
        <v>4.3305866628327028</v>
      </c>
      <c r="M19" s="61">
        <f t="shared" si="3"/>
        <v>4.4388513294035201</v>
      </c>
    </row>
    <row r="20" spans="2:13" s="10" customFormat="1" ht="22.05" customHeight="1" x14ac:dyDescent="0.3">
      <c r="B20" s="27" t="s">
        <v>19</v>
      </c>
      <c r="C20" s="35">
        <f>C10</f>
        <v>2</v>
      </c>
      <c r="D20" s="35">
        <f t="shared" ref="D20:M20" si="4">D18*($C$8/$C$10/100)</f>
        <v>33.76</v>
      </c>
      <c r="E20" s="35">
        <f t="shared" si="4"/>
        <v>35.504266666666666</v>
      </c>
      <c r="F20" s="35">
        <f t="shared" si="4"/>
        <v>37.220306222222227</v>
      </c>
      <c r="G20" s="35">
        <f t="shared" si="4"/>
        <v>38.895220002222224</v>
      </c>
      <c r="H20" s="35">
        <f t="shared" si="4"/>
        <v>40.515854168981484</v>
      </c>
      <c r="I20" s="35">
        <f t="shared" si="4"/>
        <v>42.068961912125772</v>
      </c>
      <c r="J20" s="35">
        <f t="shared" si="4"/>
        <v>43.541375579050168</v>
      </c>
      <c r="K20" s="35">
        <f t="shared" si="4"/>
        <v>44.920185805720095</v>
      </c>
      <c r="L20" s="35">
        <f t="shared" si="4"/>
        <v>46.19292440354883</v>
      </c>
      <c r="M20" s="61">
        <f t="shared" si="4"/>
        <v>47.34774751363755</v>
      </c>
    </row>
    <row r="21" spans="2:13" s="10" customFormat="1" ht="22.05" customHeight="1" x14ac:dyDescent="0.3">
      <c r="B21" s="27" t="s">
        <v>1</v>
      </c>
      <c r="C21" s="35">
        <f>C9-C10</f>
        <v>1</v>
      </c>
      <c r="D21" s="35">
        <f t="shared" ref="D21:M21" si="5">D19-D20</f>
        <v>-30.594999999999999</v>
      </c>
      <c r="E21" s="35">
        <f t="shared" si="5"/>
        <v>-32.175741666666667</v>
      </c>
      <c r="F21" s="35">
        <f t="shared" si="5"/>
        <v>-33.730902513888893</v>
      </c>
      <c r="G21" s="35">
        <f t="shared" si="5"/>
        <v>-35.24879312701389</v>
      </c>
      <c r="H21" s="35">
        <f t="shared" si="5"/>
        <v>-36.717492840639473</v>
      </c>
      <c r="I21" s="35">
        <f t="shared" si="5"/>
        <v>-38.124996732863984</v>
      </c>
      <c r="J21" s="35">
        <f t="shared" si="5"/>
        <v>-39.459371618514211</v>
      </c>
      <c r="K21" s="35">
        <f t="shared" si="5"/>
        <v>-40.708918386433837</v>
      </c>
      <c r="L21" s="35">
        <f t="shared" si="5"/>
        <v>-41.862337740716129</v>
      </c>
      <c r="M21" s="61">
        <f t="shared" si="5"/>
        <v>-42.908896184234031</v>
      </c>
    </row>
    <row r="22" spans="2:13" s="10" customFormat="1" ht="22.05" customHeight="1" x14ac:dyDescent="0.3">
      <c r="B22" s="27" t="s">
        <v>18</v>
      </c>
      <c r="C22" s="35">
        <f t="shared" ref="C22:M22" si="6">C21*$H$8</f>
        <v>0.2</v>
      </c>
      <c r="D22" s="35">
        <f t="shared" si="6"/>
        <v>-6.1189999999999998</v>
      </c>
      <c r="E22" s="35">
        <f t="shared" si="6"/>
        <v>-6.4351483333333341</v>
      </c>
      <c r="F22" s="35">
        <f t="shared" si="6"/>
        <v>-6.7461805027777793</v>
      </c>
      <c r="G22" s="35">
        <f t="shared" si="6"/>
        <v>-7.0497586254027782</v>
      </c>
      <c r="H22" s="35">
        <f t="shared" si="6"/>
        <v>-7.3434985681278953</v>
      </c>
      <c r="I22" s="35">
        <f t="shared" si="6"/>
        <v>-7.624999346572797</v>
      </c>
      <c r="J22" s="35">
        <f t="shared" si="6"/>
        <v>-7.8918743237028428</v>
      </c>
      <c r="K22" s="35">
        <f t="shared" si="6"/>
        <v>-8.1417836772867673</v>
      </c>
      <c r="L22" s="35">
        <f t="shared" si="6"/>
        <v>-8.3724675481432254</v>
      </c>
      <c r="M22" s="61">
        <f t="shared" si="6"/>
        <v>-8.5817792368468062</v>
      </c>
    </row>
    <row r="23" spans="2:13" s="10" customFormat="1" ht="22.05" customHeight="1" x14ac:dyDescent="0.3">
      <c r="B23" s="27" t="s">
        <v>17</v>
      </c>
      <c r="C23" s="35">
        <f t="shared" ref="C23:M23" si="7">C21-C22</f>
        <v>0.8</v>
      </c>
      <c r="D23" s="35">
        <f t="shared" si="7"/>
        <v>-24.475999999999999</v>
      </c>
      <c r="E23" s="35">
        <f t="shared" si="7"/>
        <v>-25.740593333333333</v>
      </c>
      <c r="F23" s="35">
        <f t="shared" si="7"/>
        <v>-26.984722011111113</v>
      </c>
      <c r="G23" s="35">
        <f t="shared" si="7"/>
        <v>-28.199034501611113</v>
      </c>
      <c r="H23" s="35">
        <f t="shared" si="7"/>
        <v>-29.373994272511577</v>
      </c>
      <c r="I23" s="35">
        <f t="shared" si="7"/>
        <v>-30.499997386291188</v>
      </c>
      <c r="J23" s="35">
        <f t="shared" si="7"/>
        <v>-31.567497294811368</v>
      </c>
      <c r="K23" s="35">
        <f t="shared" si="7"/>
        <v>-32.567134709147069</v>
      </c>
      <c r="L23" s="35">
        <f t="shared" si="7"/>
        <v>-33.489870192572901</v>
      </c>
      <c r="M23" s="61">
        <f t="shared" si="7"/>
        <v>-34.327116947387225</v>
      </c>
    </row>
    <row r="24" spans="2:13" s="10" customFormat="1" ht="22.05" customHeight="1" x14ac:dyDescent="0.3">
      <c r="B24" s="27" t="s">
        <v>16</v>
      </c>
      <c r="C24" s="35">
        <f>C11</f>
        <v>2.75</v>
      </c>
      <c r="D24" s="35">
        <f t="shared" ref="D24:M24" si="8">($C$11/$C$8)*D18</f>
        <v>2.9012500000000001</v>
      </c>
      <c r="E24" s="35">
        <f t="shared" si="8"/>
        <v>3.0511479166666668</v>
      </c>
      <c r="F24" s="35">
        <f t="shared" si="8"/>
        <v>3.1986200659722224</v>
      </c>
      <c r="G24" s="35">
        <f t="shared" si="8"/>
        <v>3.3425579689409721</v>
      </c>
      <c r="H24" s="35">
        <f t="shared" si="8"/>
        <v>3.481831217646846</v>
      </c>
      <c r="I24" s="35">
        <f t="shared" si="8"/>
        <v>3.6153014143233086</v>
      </c>
      <c r="J24" s="35">
        <f t="shared" si="8"/>
        <v>3.7418369638246243</v>
      </c>
      <c r="K24" s="35">
        <f t="shared" si="8"/>
        <v>3.8603284676790706</v>
      </c>
      <c r="L24" s="35">
        <f t="shared" si="8"/>
        <v>3.969704440929978</v>
      </c>
      <c r="M24" s="61">
        <f t="shared" si="8"/>
        <v>4.0689470519532271</v>
      </c>
    </row>
    <row r="25" spans="2:13" s="10" customFormat="1" ht="22.05" customHeight="1" x14ac:dyDescent="0.3">
      <c r="B25" s="27" t="s">
        <v>15</v>
      </c>
      <c r="C25" s="35"/>
      <c r="D25" s="35">
        <f t="shared" ref="D25:M25" si="9">(C18*$H$13)-(D18*$H$13)</f>
        <v>-3.7399999999999878E-2</v>
      </c>
      <c r="E25" s="35">
        <f t="shared" si="9"/>
        <v>-3.7065666666666774E-2</v>
      </c>
      <c r="F25" s="35">
        <f t="shared" si="9"/>
        <v>-3.6465840555555573E-2</v>
      </c>
      <c r="G25" s="35">
        <f t="shared" si="9"/>
        <v>-3.559191782499993E-2</v>
      </c>
      <c r="H25" s="35">
        <f t="shared" si="9"/>
        <v>-3.4438476043634259E-2</v>
      </c>
      <c r="I25" s="35">
        <f t="shared" si="9"/>
        <v>-3.3003539541816229E-2</v>
      </c>
      <c r="J25" s="35">
        <f t="shared" si="9"/>
        <v>-3.1288790422143498E-2</v>
      </c>
      <c r="K25" s="35">
        <f t="shared" si="9"/>
        <v>-2.9299717316735863E-2</v>
      </c>
      <c r="L25" s="35">
        <f t="shared" si="9"/>
        <v>-2.7045695203860687E-2</v>
      </c>
      <c r="M25" s="61">
        <f t="shared" si="9"/>
        <v>-2.4539991089385205E-2</v>
      </c>
    </row>
    <row r="26" spans="2:13" s="10" customFormat="1" ht="19.95" customHeight="1" x14ac:dyDescent="0.3">
      <c r="B26" s="29" t="s">
        <v>14</v>
      </c>
      <c r="C26" s="30">
        <f t="shared" ref="C26:M26" si="10">C23+C20+(-C24)+C25</f>
        <v>4.9999999999999822E-2</v>
      </c>
      <c r="D26" s="30">
        <f t="shared" si="10"/>
        <v>6.3453499999999989</v>
      </c>
      <c r="E26" s="30">
        <f t="shared" si="10"/>
        <v>6.6754597499999999</v>
      </c>
      <c r="F26" s="30">
        <f t="shared" si="10"/>
        <v>7.0004983045833358</v>
      </c>
      <c r="G26" s="30">
        <f t="shared" si="10"/>
        <v>7.3180356138451392</v>
      </c>
      <c r="H26" s="30">
        <f t="shared" si="10"/>
        <v>7.625590202779426</v>
      </c>
      <c r="I26" s="30">
        <f t="shared" si="10"/>
        <v>7.920659571969459</v>
      </c>
      <c r="J26" s="30">
        <f t="shared" si="10"/>
        <v>8.2007525299920321</v>
      </c>
      <c r="K26" s="30">
        <f t="shared" si="10"/>
        <v>8.4634229115772186</v>
      </c>
      <c r="L26" s="30">
        <f t="shared" si="10"/>
        <v>8.706304074842091</v>
      </c>
      <c r="M26" s="55">
        <f t="shared" si="10"/>
        <v>8.9271435232077128</v>
      </c>
    </row>
    <row r="27" spans="2:13" s="10" customFormat="1" ht="19.95" customHeight="1" x14ac:dyDescent="0.3">
      <c r="B27" s="16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2:13" s="8" customFormat="1" ht="25.05" customHeight="1" x14ac:dyDescent="0.3">
      <c r="B28" s="9" t="s">
        <v>3</v>
      </c>
      <c r="C28" s="9"/>
      <c r="D28" s="9"/>
      <c r="E28" s="9"/>
      <c r="F28" s="9"/>
      <c r="G28" s="9"/>
      <c r="H28" s="9"/>
      <c r="I28" s="9"/>
      <c r="J28" s="9"/>
    </row>
    <row r="29" spans="2:13" s="10" customFormat="1" ht="19.95" customHeight="1" x14ac:dyDescent="0.3">
      <c r="B29" s="43"/>
      <c r="C29" s="41">
        <f t="shared" ref="C29:M29" si="11">C16</f>
        <v>45841</v>
      </c>
      <c r="D29" s="32">
        <f t="shared" si="11"/>
        <v>46206</v>
      </c>
      <c r="E29" s="32">
        <f t="shared" si="11"/>
        <v>46571</v>
      </c>
      <c r="F29" s="32">
        <f t="shared" si="11"/>
        <v>46937</v>
      </c>
      <c r="G29" s="32">
        <f t="shared" si="11"/>
        <v>47302</v>
      </c>
      <c r="H29" s="32">
        <f t="shared" si="11"/>
        <v>47667</v>
      </c>
      <c r="I29" s="32">
        <f t="shared" si="11"/>
        <v>48032</v>
      </c>
      <c r="J29" s="32">
        <f t="shared" si="11"/>
        <v>48398</v>
      </c>
      <c r="K29" s="32">
        <f t="shared" si="11"/>
        <v>48763</v>
      </c>
      <c r="L29" s="32">
        <f t="shared" si="11"/>
        <v>49128</v>
      </c>
      <c r="M29" s="56">
        <f t="shared" si="11"/>
        <v>49493</v>
      </c>
    </row>
    <row r="30" spans="2:13" s="10" customFormat="1" ht="22.05" customHeight="1" x14ac:dyDescent="0.3">
      <c r="B30" s="42" t="s">
        <v>13</v>
      </c>
      <c r="C30" s="36"/>
      <c r="D30" s="37">
        <f t="shared" ref="D30:M30" si="12">(D29-$C$29)/365</f>
        <v>1</v>
      </c>
      <c r="E30" s="37">
        <f t="shared" si="12"/>
        <v>2</v>
      </c>
      <c r="F30" s="37">
        <f t="shared" si="12"/>
        <v>3.0027397260273974</v>
      </c>
      <c r="G30" s="37">
        <f t="shared" si="12"/>
        <v>4.0027397260273974</v>
      </c>
      <c r="H30" s="37">
        <f t="shared" si="12"/>
        <v>5.0027397260273974</v>
      </c>
      <c r="I30" s="37">
        <f t="shared" si="12"/>
        <v>6.0027397260273974</v>
      </c>
      <c r="J30" s="37">
        <f t="shared" si="12"/>
        <v>7.0054794520547947</v>
      </c>
      <c r="K30" s="37">
        <f t="shared" si="12"/>
        <v>8.0054794520547947</v>
      </c>
      <c r="L30" s="37">
        <f t="shared" si="12"/>
        <v>9.0054794520547947</v>
      </c>
      <c r="M30" s="62">
        <f t="shared" si="12"/>
        <v>10.005479452054795</v>
      </c>
    </row>
    <row r="31" spans="2:13" s="10" customFormat="1" ht="22.05" customHeight="1" x14ac:dyDescent="0.3">
      <c r="B31" s="33" t="s">
        <v>12</v>
      </c>
      <c r="C31" s="38">
        <f>$H$11-$H$12</f>
        <v>9.0000000000000011E-2</v>
      </c>
      <c r="D31" s="39">
        <f t="shared" ref="D31:M31" si="13">D26/(1+$C$31)^D30</f>
        <v>5.8214220183486223</v>
      </c>
      <c r="E31" s="39">
        <f t="shared" si="13"/>
        <v>5.6186009174311922</v>
      </c>
      <c r="F31" s="39">
        <f t="shared" si="13"/>
        <v>5.404392997450687</v>
      </c>
      <c r="G31" s="39">
        <f t="shared" si="13"/>
        <v>5.1830570430906828</v>
      </c>
      <c r="H31" s="39">
        <f t="shared" si="13"/>
        <v>4.9549403960519713</v>
      </c>
      <c r="I31" s="39">
        <f t="shared" si="13"/>
        <v>4.7217155659627545</v>
      </c>
      <c r="J31" s="39">
        <f t="shared" si="13"/>
        <v>4.4839746051963756</v>
      </c>
      <c r="K31" s="39">
        <f t="shared" si="13"/>
        <v>4.245501342964797</v>
      </c>
      <c r="L31" s="39">
        <f t="shared" si="13"/>
        <v>4.0067318011747375</v>
      </c>
      <c r="M31" s="63">
        <f t="shared" si="13"/>
        <v>3.7691416652257805</v>
      </c>
    </row>
    <row r="32" spans="2:13" s="10" customFormat="1" ht="22.05" customHeight="1" x14ac:dyDescent="0.3">
      <c r="B32" s="33" t="s">
        <v>12</v>
      </c>
      <c r="C32" s="40">
        <f>$H$11</f>
        <v>0.1</v>
      </c>
      <c r="D32" s="39">
        <f t="shared" ref="D32:M32" si="14">D26/(1+$C$32)^D30</f>
        <v>5.7684999999999986</v>
      </c>
      <c r="E32" s="39">
        <f t="shared" si="14"/>
        <v>5.5169088842975196</v>
      </c>
      <c r="F32" s="39">
        <f t="shared" si="14"/>
        <v>5.2582047683306339</v>
      </c>
      <c r="G32" s="39">
        <f t="shared" si="14"/>
        <v>4.9970117821133107</v>
      </c>
      <c r="H32" s="39">
        <f t="shared" si="14"/>
        <v>4.7336553264456391</v>
      </c>
      <c r="I32" s="39">
        <f t="shared" si="14"/>
        <v>4.469838503677682</v>
      </c>
      <c r="J32" s="39">
        <f t="shared" si="14"/>
        <v>4.20608554476207</v>
      </c>
      <c r="K32" s="39">
        <f t="shared" si="14"/>
        <v>3.946187824881529</v>
      </c>
      <c r="L32" s="39">
        <f t="shared" si="14"/>
        <v>3.6903950198191131</v>
      </c>
      <c r="M32" s="63">
        <f t="shared" si="14"/>
        <v>3.4400032766282136</v>
      </c>
    </row>
    <row r="33" spans="2:13" s="10" customFormat="1" ht="22.05" customHeight="1" x14ac:dyDescent="0.3">
      <c r="B33" s="33" t="s">
        <v>12</v>
      </c>
      <c r="C33" s="40">
        <f>$H$11+$H$12</f>
        <v>0.11</v>
      </c>
      <c r="D33" s="39">
        <f t="shared" ref="D33:M33" si="15">D26/(1+$C$33)^D30</f>
        <v>5.7165315315315297</v>
      </c>
      <c r="E33" s="39">
        <f t="shared" si="15"/>
        <v>5.4179528853177494</v>
      </c>
      <c r="F33" s="39">
        <f t="shared" si="15"/>
        <v>5.1172407054771307</v>
      </c>
      <c r="G33" s="39">
        <f t="shared" si="15"/>
        <v>4.8192386253858395</v>
      </c>
      <c r="H33" s="39">
        <f t="shared" si="15"/>
        <v>4.524122920631334</v>
      </c>
      <c r="I33" s="39">
        <f t="shared" si="15"/>
        <v>4.2334974503839646</v>
      </c>
      <c r="J33" s="39">
        <f t="shared" si="15"/>
        <v>3.9477033484306636</v>
      </c>
      <c r="K33" s="39">
        <f t="shared" si="15"/>
        <v>3.6704039824587715</v>
      </c>
      <c r="L33" s="39">
        <f t="shared" si="15"/>
        <v>3.4015642384179658</v>
      </c>
      <c r="M33" s="63">
        <f t="shared" si="15"/>
        <v>3.1422040503696773</v>
      </c>
    </row>
    <row r="34" spans="2:13" s="10" customFormat="1" ht="19.95" customHeight="1" x14ac:dyDescent="0.3">
      <c r="B34" s="16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2:13" s="8" customFormat="1" ht="25.05" customHeight="1" x14ac:dyDescent="0.3">
      <c r="C35" s="9" t="s">
        <v>37</v>
      </c>
      <c r="D35" s="9"/>
      <c r="E35" s="9"/>
      <c r="F35" s="9"/>
      <c r="G35" s="9"/>
      <c r="H35" s="9"/>
      <c r="I35" s="9"/>
      <c r="J35" s="9"/>
    </row>
    <row r="36" spans="2:13" s="10" customFormat="1" ht="49.95" customHeight="1" x14ac:dyDescent="0.3">
      <c r="C36" s="44" t="s">
        <v>11</v>
      </c>
      <c r="D36" s="44" t="s">
        <v>10</v>
      </c>
      <c r="E36" s="44" t="s">
        <v>9</v>
      </c>
      <c r="F36" s="44" t="s">
        <v>8</v>
      </c>
      <c r="G36" s="44" t="s">
        <v>7</v>
      </c>
      <c r="H36" s="44" t="s">
        <v>6</v>
      </c>
      <c r="I36" s="57" t="s">
        <v>5</v>
      </c>
      <c r="J36" s="19"/>
      <c r="K36" s="19"/>
      <c r="L36" s="19"/>
      <c r="M36" s="20"/>
    </row>
    <row r="37" spans="2:13" s="10" customFormat="1" ht="22.05" customHeight="1" x14ac:dyDescent="0.3">
      <c r="C37" s="45">
        <f>$H$11-$H$12</f>
        <v>9.0000000000000011E-2</v>
      </c>
      <c r="D37" s="35">
        <f>SUM(D31:M31)</f>
        <v>48.209478352897598</v>
      </c>
      <c r="E37" s="35">
        <f>$M$26*((1+$M$17))/(C37-$M$17)</f>
        <v>140.77418632750619</v>
      </c>
      <c r="F37" s="35">
        <f>E37/((1+C37)^$M$30)</f>
        <v>59.436464720868059</v>
      </c>
      <c r="G37" s="35">
        <f>F37+D37</f>
        <v>107.64594307376566</v>
      </c>
      <c r="H37" s="46">
        <f>D37/G37</f>
        <v>0.44785225505304438</v>
      </c>
      <c r="I37" s="58">
        <f>F37/G37</f>
        <v>0.55214774494695551</v>
      </c>
      <c r="J37" s="21"/>
      <c r="K37" s="21"/>
      <c r="L37" s="21"/>
      <c r="M37" s="22"/>
    </row>
    <row r="38" spans="2:13" s="10" customFormat="1" ht="22.05" customHeight="1" x14ac:dyDescent="0.3">
      <c r="C38" s="47">
        <f>$H$11</f>
        <v>0.1</v>
      </c>
      <c r="D38" s="35">
        <f>SUM(D32:M32)</f>
        <v>46.026790930955706</v>
      </c>
      <c r="E38" s="35">
        <f>$M$26*((1+$M$17))/(C38-$M$17)</f>
        <v>122.00429481717204</v>
      </c>
      <c r="F38" s="35">
        <f>E38/((1+C38)^$M$30)</f>
        <v>47.013378113918904</v>
      </c>
      <c r="G38" s="35">
        <f>F38+D38</f>
        <v>93.040169044874602</v>
      </c>
      <c r="H38" s="46">
        <f>D38/G38</f>
        <v>0.49469805787601617</v>
      </c>
      <c r="I38" s="58">
        <f>F38/G38</f>
        <v>0.50530194212398394</v>
      </c>
      <c r="J38" s="21"/>
      <c r="K38" s="21"/>
      <c r="L38" s="21"/>
      <c r="M38" s="22"/>
    </row>
    <row r="39" spans="2:13" s="10" customFormat="1" ht="22.05" customHeight="1" x14ac:dyDescent="0.3">
      <c r="C39" s="47">
        <f>$H$11+$H$12</f>
        <v>0.11</v>
      </c>
      <c r="D39" s="35">
        <f>SUM(D33:M33)</f>
        <v>43.990459738404631</v>
      </c>
      <c r="E39" s="35">
        <f>$M$26*((1+$M$17))/(C39-$M$17)</f>
        <v>107.65084836809298</v>
      </c>
      <c r="F39" s="35">
        <f>E39/((1+C39)^$M$30)</f>
        <v>37.89128413681081</v>
      </c>
      <c r="G39" s="35">
        <f>F39+D39</f>
        <v>81.881743875215449</v>
      </c>
      <c r="H39" s="46">
        <f>D39/G39</f>
        <v>0.53724380620720968</v>
      </c>
      <c r="I39" s="58">
        <f>F39/G39</f>
        <v>0.4627561937927902</v>
      </c>
      <c r="J39" s="21"/>
      <c r="K39" s="21"/>
      <c r="L39" s="21"/>
      <c r="M39" s="22"/>
    </row>
    <row r="40" spans="2:13" x14ac:dyDescent="0.3">
      <c r="B40" s="11"/>
      <c r="C40" s="7"/>
      <c r="D40" s="7"/>
      <c r="E40" s="7"/>
      <c r="F40" s="7"/>
      <c r="G40" s="7"/>
      <c r="H40" s="7"/>
      <c r="I40" s="7"/>
      <c r="J40" s="7"/>
    </row>
  </sheetData>
  <mergeCells count="11">
    <mergeCell ref="E10:G10"/>
    <mergeCell ref="E11:G11"/>
    <mergeCell ref="E12:G12"/>
    <mergeCell ref="E13:G13"/>
    <mergeCell ref="B5:E5"/>
    <mergeCell ref="G5:J5"/>
    <mergeCell ref="K7:M7"/>
    <mergeCell ref="K8:M9"/>
    <mergeCell ref="E7:G7"/>
    <mergeCell ref="E8:G8"/>
    <mergeCell ref="E9:G9"/>
  </mergeCells>
  <conditionalFormatting sqref="C26:M26">
    <cfRule type="cellIs" dxfId="1" priority="1" operator="lessThan">
      <formula>0</formula>
    </cfRule>
  </conditionalFormatting>
  <pageMargins left="0.3" right="0.3" top="0.3" bottom="0.3" header="0" footer="0"/>
  <pageSetup scale="70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9160-48A3-4442-95C7-DFCA24A9D54A}">
  <sheetPr>
    <tabColor theme="3" tint="0.79998168889431442"/>
    <outlinePr summaryBelow="0"/>
    <pageSetUpPr fitToPage="1"/>
  </sheetPr>
  <dimension ref="B1:M39"/>
  <sheetViews>
    <sheetView showGridLines="0" workbookViewId="0">
      <selection activeCell="B4" sqref="B4:E4"/>
    </sheetView>
  </sheetViews>
  <sheetFormatPr defaultColWidth="8.77734375" defaultRowHeight="14.4" x14ac:dyDescent="0.3"/>
  <cols>
    <col min="1" max="1" width="3.33203125" customWidth="1"/>
    <col min="2" max="2" width="35.77734375" customWidth="1"/>
    <col min="3" max="13" width="12.77734375" customWidth="1"/>
    <col min="14" max="14" width="3.33203125" customWidth="1"/>
  </cols>
  <sheetData>
    <row r="1" spans="2:13" s="2" customFormat="1" ht="42" customHeight="1" x14ac:dyDescent="0.3">
      <c r="B1" s="3" t="s">
        <v>32</v>
      </c>
    </row>
    <row r="2" spans="2:13" s="5" customFormat="1" ht="25.05" customHeight="1" x14ac:dyDescent="0.25">
      <c r="B2" s="12" t="s">
        <v>4</v>
      </c>
      <c r="C2" s="4"/>
      <c r="D2" s="4"/>
      <c r="E2" s="4"/>
    </row>
    <row r="3" spans="2:13" s="10" customFormat="1" ht="15" customHeight="1" x14ac:dyDescent="0.3">
      <c r="B3" s="23" t="s">
        <v>30</v>
      </c>
      <c r="C3" s="6"/>
      <c r="D3" s="6"/>
      <c r="E3" s="6"/>
      <c r="F3" s="6"/>
      <c r="G3" s="23" t="s">
        <v>31</v>
      </c>
      <c r="H3" s="6"/>
      <c r="I3" s="6"/>
      <c r="J3" s="6"/>
      <c r="K3" s="6"/>
    </row>
    <row r="4" spans="2:13" s="10" customFormat="1" ht="34.950000000000003" customHeight="1" thickBot="1" x14ac:dyDescent="0.35">
      <c r="B4" s="64"/>
      <c r="C4" s="64"/>
      <c r="D4" s="64"/>
      <c r="E4" s="65"/>
      <c r="F4" s="6"/>
      <c r="G4" s="66">
        <v>45660</v>
      </c>
      <c r="H4" s="66"/>
      <c r="I4" s="66"/>
      <c r="J4" s="67"/>
      <c r="K4" s="6"/>
    </row>
    <row r="5" spans="2:13" s="10" customFormat="1" ht="19.95" customHeight="1" x14ac:dyDescent="0.3">
      <c r="B5" s="6"/>
      <c r="C5" s="6"/>
      <c r="D5" s="13"/>
      <c r="E5" s="13"/>
      <c r="F5" s="13"/>
      <c r="G5" s="6"/>
      <c r="H5" s="6"/>
      <c r="I5" s="6"/>
      <c r="J5" s="6"/>
      <c r="K5" s="6"/>
      <c r="L5" s="15"/>
      <c r="M5" s="14"/>
    </row>
    <row r="6" spans="2:13" s="10" customFormat="1" ht="19.95" customHeight="1" x14ac:dyDescent="0.3">
      <c r="B6" s="26" t="s">
        <v>35</v>
      </c>
      <c r="C6" s="48" t="s">
        <v>29</v>
      </c>
      <c r="E6" s="73" t="s">
        <v>36</v>
      </c>
      <c r="F6" s="73"/>
      <c r="G6" s="74"/>
      <c r="H6" s="51" t="s">
        <v>33</v>
      </c>
      <c r="K6" s="68" t="s">
        <v>34</v>
      </c>
      <c r="L6" s="68"/>
      <c r="M6" s="68"/>
    </row>
    <row r="7" spans="2:13" s="10" customFormat="1" ht="22.05" customHeight="1" x14ac:dyDescent="0.3">
      <c r="B7" s="27" t="s">
        <v>28</v>
      </c>
      <c r="C7" s="49">
        <v>1.1000000000000001</v>
      </c>
      <c r="E7" s="75" t="s">
        <v>27</v>
      </c>
      <c r="F7" s="75"/>
      <c r="G7" s="76"/>
      <c r="H7" s="52">
        <v>0.06</v>
      </c>
      <c r="K7" s="69">
        <f>G37</f>
        <v>29.693059349319626</v>
      </c>
      <c r="L7" s="69"/>
      <c r="M7" s="70"/>
    </row>
    <row r="8" spans="2:13" s="10" customFormat="1" ht="22.05" customHeight="1" thickBot="1" x14ac:dyDescent="0.35">
      <c r="B8" s="27" t="s">
        <v>2</v>
      </c>
      <c r="C8" s="49">
        <v>1.2</v>
      </c>
      <c r="E8" s="75" t="s">
        <v>26</v>
      </c>
      <c r="F8" s="75"/>
      <c r="G8" s="76"/>
      <c r="H8" s="52">
        <v>0.05</v>
      </c>
      <c r="K8" s="71"/>
      <c r="L8" s="71"/>
      <c r="M8" s="72"/>
    </row>
    <row r="9" spans="2:13" s="10" customFormat="1" ht="22.05" customHeight="1" x14ac:dyDescent="0.3">
      <c r="B9" s="27" t="s">
        <v>19</v>
      </c>
      <c r="C9" s="49">
        <v>1.3</v>
      </c>
      <c r="E9" s="77" t="s">
        <v>25</v>
      </c>
      <c r="F9" s="77"/>
      <c r="G9" s="78"/>
      <c r="H9" s="52">
        <v>0.04</v>
      </c>
      <c r="K9" s="24"/>
      <c r="L9" s="24"/>
    </row>
    <row r="10" spans="2:13" s="10" customFormat="1" ht="22.05" customHeight="1" x14ac:dyDescent="0.3">
      <c r="B10" s="27" t="s">
        <v>24</v>
      </c>
      <c r="C10" s="49">
        <v>1.4</v>
      </c>
      <c r="E10" s="77" t="s">
        <v>39</v>
      </c>
      <c r="F10" s="77"/>
      <c r="G10" s="78"/>
      <c r="H10" s="52">
        <v>0.03</v>
      </c>
      <c r="K10" s="24"/>
      <c r="L10" s="24"/>
    </row>
    <row r="11" spans="2:13" s="10" customFormat="1" ht="22.05" customHeight="1" thickBot="1" x14ac:dyDescent="0.35">
      <c r="B11" s="28" t="s">
        <v>23</v>
      </c>
      <c r="C11" s="50">
        <v>1.5</v>
      </c>
      <c r="E11" s="77" t="s">
        <v>22</v>
      </c>
      <c r="F11" s="77"/>
      <c r="G11" s="78"/>
      <c r="H11" s="52">
        <v>0.02</v>
      </c>
      <c r="K11" s="24"/>
      <c r="L11" s="24"/>
    </row>
    <row r="12" spans="2:13" s="10" customFormat="1" ht="22.05" customHeight="1" thickBot="1" x14ac:dyDescent="0.35">
      <c r="B12" s="25"/>
      <c r="C12" s="6"/>
      <c r="D12" s="13"/>
      <c r="E12" s="79" t="s">
        <v>15</v>
      </c>
      <c r="F12" s="79"/>
      <c r="G12" s="80"/>
      <c r="H12" s="53">
        <v>0.01</v>
      </c>
      <c r="K12" s="24"/>
      <c r="L12" s="24"/>
    </row>
    <row r="13" spans="2:13" s="10" customFormat="1" ht="19.95" customHeight="1" x14ac:dyDescent="0.3">
      <c r="B13" s="16"/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2:13" s="8" customFormat="1" ht="25.05" customHeight="1" x14ac:dyDescent="0.3">
      <c r="B14" s="9" t="s">
        <v>38</v>
      </c>
      <c r="C14" s="9"/>
      <c r="D14" s="9"/>
      <c r="E14" s="9"/>
      <c r="F14" s="9"/>
      <c r="G14" s="9"/>
      <c r="H14" s="9"/>
      <c r="I14" s="9"/>
      <c r="J14" s="9"/>
    </row>
    <row r="15" spans="2:13" s="10" customFormat="1" ht="19.95" customHeight="1" x14ac:dyDescent="0.3">
      <c r="B15" s="43"/>
      <c r="C15" s="31">
        <f>G4</f>
        <v>45660</v>
      </c>
      <c r="D15" s="31">
        <f t="shared" ref="D15:M15" si="0">DATE(YEAR(C15)+1,MONTH(C15),DAY(C15))</f>
        <v>46025</v>
      </c>
      <c r="E15" s="31">
        <f t="shared" si="0"/>
        <v>46390</v>
      </c>
      <c r="F15" s="31">
        <f t="shared" si="0"/>
        <v>46755</v>
      </c>
      <c r="G15" s="31">
        <f t="shared" si="0"/>
        <v>47121</v>
      </c>
      <c r="H15" s="31">
        <f t="shared" si="0"/>
        <v>47486</v>
      </c>
      <c r="I15" s="31">
        <f t="shared" si="0"/>
        <v>47851</v>
      </c>
      <c r="J15" s="31">
        <f t="shared" si="0"/>
        <v>48216</v>
      </c>
      <c r="K15" s="31">
        <f t="shared" si="0"/>
        <v>48582</v>
      </c>
      <c r="L15" s="31">
        <f t="shared" si="0"/>
        <v>48947</v>
      </c>
      <c r="M15" s="54">
        <f t="shared" si="0"/>
        <v>49312</v>
      </c>
    </row>
    <row r="16" spans="2:13" s="10" customFormat="1" ht="22.05" customHeight="1" x14ac:dyDescent="0.3">
      <c r="B16" s="27" t="s">
        <v>21</v>
      </c>
      <c r="C16" s="34"/>
      <c r="D16" s="59">
        <f>H8</f>
        <v>0.05</v>
      </c>
      <c r="E16" s="59">
        <f t="shared" ref="E16:M16" si="1">D16-($H$8-$H$9)/9</f>
        <v>4.8888888888888891E-2</v>
      </c>
      <c r="F16" s="59">
        <f t="shared" si="1"/>
        <v>4.777777777777778E-2</v>
      </c>
      <c r="G16" s="59">
        <f t="shared" si="1"/>
        <v>4.6666666666666669E-2</v>
      </c>
      <c r="H16" s="59">
        <f t="shared" si="1"/>
        <v>4.5555555555555557E-2</v>
      </c>
      <c r="I16" s="59">
        <f t="shared" si="1"/>
        <v>4.4444444444444446E-2</v>
      </c>
      <c r="J16" s="59">
        <f t="shared" si="1"/>
        <v>4.3333333333333335E-2</v>
      </c>
      <c r="K16" s="59">
        <f t="shared" si="1"/>
        <v>4.2222222222222223E-2</v>
      </c>
      <c r="L16" s="59">
        <f t="shared" si="1"/>
        <v>4.1111111111111112E-2</v>
      </c>
      <c r="M16" s="60">
        <f t="shared" si="1"/>
        <v>0.04</v>
      </c>
    </row>
    <row r="17" spans="2:13" s="10" customFormat="1" ht="22.05" customHeight="1" x14ac:dyDescent="0.3">
      <c r="B17" s="27" t="s">
        <v>20</v>
      </c>
      <c r="C17" s="35">
        <f>C7</f>
        <v>1.1000000000000001</v>
      </c>
      <c r="D17" s="35">
        <f>(H8+1)*C7</f>
        <v>1.1550000000000002</v>
      </c>
      <c r="E17" s="35">
        <f t="shared" ref="E17:M17" si="2">(E16+1)*D17</f>
        <v>1.2114666666666671</v>
      </c>
      <c r="F17" s="35">
        <f t="shared" si="2"/>
        <v>1.2693478518518522</v>
      </c>
      <c r="G17" s="35">
        <f t="shared" si="2"/>
        <v>1.328584084938272</v>
      </c>
      <c r="H17" s="35">
        <f t="shared" si="2"/>
        <v>1.3891084710299044</v>
      </c>
      <c r="I17" s="35">
        <f t="shared" si="2"/>
        <v>1.4508466252979002</v>
      </c>
      <c r="J17" s="35">
        <f t="shared" si="2"/>
        <v>1.513716645727476</v>
      </c>
      <c r="K17" s="35">
        <f t="shared" si="2"/>
        <v>1.5776291263248583</v>
      </c>
      <c r="L17" s="35">
        <f t="shared" si="2"/>
        <v>1.6424872126293246</v>
      </c>
      <c r="M17" s="61">
        <f t="shared" si="2"/>
        <v>1.7081867011344978</v>
      </c>
    </row>
    <row r="18" spans="2:13" s="10" customFormat="1" ht="22.05" customHeight="1" x14ac:dyDescent="0.3">
      <c r="B18" s="27" t="s">
        <v>2</v>
      </c>
      <c r="C18" s="35">
        <f>C8</f>
        <v>1.2</v>
      </c>
      <c r="D18" s="35">
        <f t="shared" ref="D18:M18" si="3">D17*($C$8/$C$7)</f>
        <v>1.2600000000000002</v>
      </c>
      <c r="E18" s="35">
        <f t="shared" si="3"/>
        <v>1.3216000000000003</v>
      </c>
      <c r="F18" s="35">
        <f t="shared" si="3"/>
        <v>1.3847431111111113</v>
      </c>
      <c r="G18" s="35">
        <f t="shared" si="3"/>
        <v>1.4493644562962966</v>
      </c>
      <c r="H18" s="35">
        <f t="shared" si="3"/>
        <v>1.5153910593053501</v>
      </c>
      <c r="I18" s="35">
        <f t="shared" si="3"/>
        <v>1.5827417730522546</v>
      </c>
      <c r="J18" s="35">
        <f t="shared" si="3"/>
        <v>1.6513272498845191</v>
      </c>
      <c r="K18" s="35">
        <f t="shared" si="3"/>
        <v>1.7210499559907544</v>
      </c>
      <c r="L18" s="35">
        <f t="shared" si="3"/>
        <v>1.7918042319592631</v>
      </c>
      <c r="M18" s="61">
        <f t="shared" si="3"/>
        <v>1.8634764012376337</v>
      </c>
    </row>
    <row r="19" spans="2:13" s="10" customFormat="1" ht="22.05" customHeight="1" x14ac:dyDescent="0.3">
      <c r="B19" s="27" t="s">
        <v>19</v>
      </c>
      <c r="C19" s="35">
        <f>C9</f>
        <v>1.3</v>
      </c>
      <c r="D19" s="35">
        <f t="shared" ref="D19:M19" si="4">D17*($C$7/$C$9/100)</f>
        <v>9.7730769230769243E-3</v>
      </c>
      <c r="E19" s="35">
        <f t="shared" si="4"/>
        <v>1.0250871794871799E-2</v>
      </c>
      <c r="F19" s="35">
        <f t="shared" si="4"/>
        <v>1.0740635669515672E-2</v>
      </c>
      <c r="G19" s="35">
        <f t="shared" si="4"/>
        <v>1.1241865334093069E-2</v>
      </c>
      <c r="H19" s="35">
        <f t="shared" si="4"/>
        <v>1.1753994754868421E-2</v>
      </c>
      <c r="I19" s="35">
        <f t="shared" si="4"/>
        <v>1.2276394521751463E-2</v>
      </c>
      <c r="J19" s="35">
        <f t="shared" si="4"/>
        <v>1.2808371617694027E-2</v>
      </c>
      <c r="K19" s="35">
        <f t="shared" si="4"/>
        <v>1.3349169530441109E-2</v>
      </c>
      <c r="L19" s="35">
        <f t="shared" si="4"/>
        <v>1.3897968722248131E-2</v>
      </c>
      <c r="M19" s="61">
        <f t="shared" si="4"/>
        <v>1.4453887471138058E-2</v>
      </c>
    </row>
    <row r="20" spans="2:13" s="10" customFormat="1" ht="22.05" customHeight="1" x14ac:dyDescent="0.3">
      <c r="B20" s="27" t="s">
        <v>1</v>
      </c>
      <c r="C20" s="35">
        <f>C8-C9</f>
        <v>-0.10000000000000009</v>
      </c>
      <c r="D20" s="35">
        <f t="shared" ref="D20:M20" si="5">D18-D19</f>
        <v>1.2502269230769234</v>
      </c>
      <c r="E20" s="35">
        <f t="shared" si="5"/>
        <v>1.3113491282051286</v>
      </c>
      <c r="F20" s="35">
        <f t="shared" si="5"/>
        <v>1.3740024754415956</v>
      </c>
      <c r="G20" s="35">
        <f t="shared" si="5"/>
        <v>1.4381225909622035</v>
      </c>
      <c r="H20" s="35">
        <f t="shared" si="5"/>
        <v>1.5036370645504817</v>
      </c>
      <c r="I20" s="35">
        <f t="shared" si="5"/>
        <v>1.5704653785305032</v>
      </c>
      <c r="J20" s="35">
        <f t="shared" si="5"/>
        <v>1.638518878266825</v>
      </c>
      <c r="K20" s="35">
        <f t="shared" si="5"/>
        <v>1.7077007864603133</v>
      </c>
      <c r="L20" s="35">
        <f t="shared" si="5"/>
        <v>1.7779062632370151</v>
      </c>
      <c r="M20" s="61">
        <f t="shared" si="5"/>
        <v>1.8490225137664957</v>
      </c>
    </row>
    <row r="21" spans="2:13" s="10" customFormat="1" ht="22.05" customHeight="1" x14ac:dyDescent="0.3">
      <c r="B21" s="27" t="s">
        <v>18</v>
      </c>
      <c r="C21" s="35">
        <f t="shared" ref="C21:M21" si="6">C20*$H$7</f>
        <v>-6.0000000000000053E-3</v>
      </c>
      <c r="D21" s="35">
        <f t="shared" si="6"/>
        <v>7.5013615384615401E-2</v>
      </c>
      <c r="E21" s="35">
        <f t="shared" si="6"/>
        <v>7.8680947692307712E-2</v>
      </c>
      <c r="F21" s="35">
        <f t="shared" si="6"/>
        <v>8.2440148526495727E-2</v>
      </c>
      <c r="G21" s="35">
        <f t="shared" si="6"/>
        <v>8.6287355457732209E-2</v>
      </c>
      <c r="H21" s="35">
        <f t="shared" si="6"/>
        <v>9.0218223873028899E-2</v>
      </c>
      <c r="I21" s="35">
        <f t="shared" si="6"/>
        <v>9.4227922711830184E-2</v>
      </c>
      <c r="J21" s="35">
        <f t="shared" si="6"/>
        <v>9.8311132696009496E-2</v>
      </c>
      <c r="K21" s="35">
        <f t="shared" si="6"/>
        <v>0.1024620471876188</v>
      </c>
      <c r="L21" s="35">
        <f t="shared" si="6"/>
        <v>0.1066743757942209</v>
      </c>
      <c r="M21" s="61">
        <f t="shared" si="6"/>
        <v>0.11094135082598974</v>
      </c>
    </row>
    <row r="22" spans="2:13" s="10" customFormat="1" ht="22.05" customHeight="1" x14ac:dyDescent="0.3">
      <c r="B22" s="27" t="s">
        <v>17</v>
      </c>
      <c r="C22" s="35">
        <f t="shared" ref="C22:M22" si="7">C20-C21</f>
        <v>-9.4000000000000083E-2</v>
      </c>
      <c r="D22" s="35">
        <f t="shared" si="7"/>
        <v>1.1752133076923079</v>
      </c>
      <c r="E22" s="35">
        <f t="shared" si="7"/>
        <v>1.232668180512821</v>
      </c>
      <c r="F22" s="35">
        <f t="shared" si="7"/>
        <v>1.2915623269150998</v>
      </c>
      <c r="G22" s="35">
        <f t="shared" si="7"/>
        <v>1.3518352355044714</v>
      </c>
      <c r="H22" s="35">
        <f t="shared" si="7"/>
        <v>1.4134188406774528</v>
      </c>
      <c r="I22" s="35">
        <f t="shared" si="7"/>
        <v>1.476237455818673</v>
      </c>
      <c r="J22" s="35">
        <f t="shared" si="7"/>
        <v>1.5402077455708154</v>
      </c>
      <c r="K22" s="35">
        <f t="shared" si="7"/>
        <v>1.6052387392726946</v>
      </c>
      <c r="L22" s="35">
        <f t="shared" si="7"/>
        <v>1.6712318874427941</v>
      </c>
      <c r="M22" s="61">
        <f t="shared" si="7"/>
        <v>1.738081162940506</v>
      </c>
    </row>
    <row r="23" spans="2:13" s="10" customFormat="1" ht="22.05" customHeight="1" x14ac:dyDescent="0.3">
      <c r="B23" s="27" t="s">
        <v>16</v>
      </c>
      <c r="C23" s="35">
        <f>C10</f>
        <v>1.4</v>
      </c>
      <c r="D23" s="35">
        <f t="shared" ref="D23:M23" si="8">($C$10/$C$7)*D17</f>
        <v>1.47</v>
      </c>
      <c r="E23" s="35">
        <f t="shared" si="8"/>
        <v>1.5418666666666669</v>
      </c>
      <c r="F23" s="35">
        <f t="shared" si="8"/>
        <v>1.6155336296296297</v>
      </c>
      <c r="G23" s="35">
        <f t="shared" si="8"/>
        <v>1.6909251990123457</v>
      </c>
      <c r="H23" s="35">
        <f t="shared" si="8"/>
        <v>1.7679562358562417</v>
      </c>
      <c r="I23" s="35">
        <f t="shared" si="8"/>
        <v>1.8465320685609636</v>
      </c>
      <c r="J23" s="35">
        <f t="shared" si="8"/>
        <v>1.9265484581986054</v>
      </c>
      <c r="K23" s="35">
        <f t="shared" si="8"/>
        <v>2.0078916153225466</v>
      </c>
      <c r="L23" s="35">
        <f t="shared" si="8"/>
        <v>2.0904382706191402</v>
      </c>
      <c r="M23" s="61">
        <f t="shared" si="8"/>
        <v>2.174055801443906</v>
      </c>
    </row>
    <row r="24" spans="2:13" s="10" customFormat="1" ht="22.05" customHeight="1" x14ac:dyDescent="0.3">
      <c r="B24" s="27" t="s">
        <v>15</v>
      </c>
      <c r="C24" s="35"/>
      <c r="D24" s="35">
        <f t="shared" ref="D24:M24" si="9">(C17*$H$12)-(D17*$H$12)</f>
        <v>-5.5000000000000188E-4</v>
      </c>
      <c r="E24" s="35">
        <f t="shared" si="9"/>
        <v>-5.6466666666666818E-4</v>
      </c>
      <c r="F24" s="35">
        <f t="shared" si="9"/>
        <v>-5.7881185185185147E-4</v>
      </c>
      <c r="G24" s="35">
        <f t="shared" si="9"/>
        <v>-5.9236233086419794E-4</v>
      </c>
      <c r="H24" s="35">
        <f t="shared" si="9"/>
        <v>-6.0524386091632444E-4</v>
      </c>
      <c r="I24" s="35">
        <f t="shared" si="9"/>
        <v>-6.1738154267995671E-4</v>
      </c>
      <c r="J24" s="35">
        <f t="shared" si="9"/>
        <v>-6.2870020429575853E-4</v>
      </c>
      <c r="K24" s="35">
        <f t="shared" si="9"/>
        <v>-6.3912480597382373E-4</v>
      </c>
      <c r="L24" s="35">
        <f t="shared" si="9"/>
        <v>-6.4858086304466281E-4</v>
      </c>
      <c r="M24" s="61">
        <f t="shared" si="9"/>
        <v>-6.5699488505173084E-4</v>
      </c>
    </row>
    <row r="25" spans="2:13" s="10" customFormat="1" ht="19.95" customHeight="1" x14ac:dyDescent="0.3">
      <c r="B25" s="29" t="s">
        <v>14</v>
      </c>
      <c r="C25" s="30">
        <f t="shared" ref="C25:M25" si="10">C22+C19+(-C23)+C24</f>
        <v>-0.19399999999999995</v>
      </c>
      <c r="D25" s="30">
        <f t="shared" si="10"/>
        <v>-0.28556361538461522</v>
      </c>
      <c r="E25" s="30">
        <f t="shared" si="10"/>
        <v>-0.29951228102564087</v>
      </c>
      <c r="F25" s="30">
        <f t="shared" si="10"/>
        <v>-0.31380947889686606</v>
      </c>
      <c r="G25" s="30">
        <f t="shared" si="10"/>
        <v>-0.32844046050464543</v>
      </c>
      <c r="H25" s="30">
        <f t="shared" si="10"/>
        <v>-0.34338864428483684</v>
      </c>
      <c r="I25" s="30">
        <f t="shared" si="10"/>
        <v>-0.35863559976321913</v>
      </c>
      <c r="J25" s="30">
        <f t="shared" si="10"/>
        <v>-0.3741610412143917</v>
      </c>
      <c r="K25" s="30">
        <f t="shared" si="10"/>
        <v>-0.38994283132538476</v>
      </c>
      <c r="L25" s="30">
        <f t="shared" si="10"/>
        <v>-0.4059569953171428</v>
      </c>
      <c r="M25" s="55">
        <f t="shared" si="10"/>
        <v>-0.42217774591731377</v>
      </c>
    </row>
    <row r="26" spans="2:13" s="10" customFormat="1" ht="19.95" customHeight="1" x14ac:dyDescent="0.3">
      <c r="B26" s="16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2:13" s="8" customFormat="1" ht="25.05" customHeight="1" x14ac:dyDescent="0.3">
      <c r="B27" s="9" t="s">
        <v>3</v>
      </c>
      <c r="C27" s="9"/>
      <c r="D27" s="9"/>
      <c r="E27" s="9"/>
      <c r="F27" s="9"/>
      <c r="G27" s="9"/>
      <c r="H27" s="9"/>
      <c r="I27" s="9"/>
      <c r="J27" s="9"/>
    </row>
    <row r="28" spans="2:13" s="10" customFormat="1" ht="19.95" customHeight="1" x14ac:dyDescent="0.3">
      <c r="B28" s="43"/>
      <c r="C28" s="41">
        <f t="shared" ref="C28:M28" si="11">C15</f>
        <v>45660</v>
      </c>
      <c r="D28" s="32">
        <f t="shared" si="11"/>
        <v>46025</v>
      </c>
      <c r="E28" s="32">
        <f t="shared" si="11"/>
        <v>46390</v>
      </c>
      <c r="F28" s="32">
        <f t="shared" si="11"/>
        <v>46755</v>
      </c>
      <c r="G28" s="32">
        <f t="shared" si="11"/>
        <v>47121</v>
      </c>
      <c r="H28" s="32">
        <f t="shared" si="11"/>
        <v>47486</v>
      </c>
      <c r="I28" s="32">
        <f t="shared" si="11"/>
        <v>47851</v>
      </c>
      <c r="J28" s="32">
        <f t="shared" si="11"/>
        <v>48216</v>
      </c>
      <c r="K28" s="32">
        <f t="shared" si="11"/>
        <v>48582</v>
      </c>
      <c r="L28" s="32">
        <f t="shared" si="11"/>
        <v>48947</v>
      </c>
      <c r="M28" s="56">
        <f t="shared" si="11"/>
        <v>49312</v>
      </c>
    </row>
    <row r="29" spans="2:13" s="10" customFormat="1" ht="22.05" customHeight="1" x14ac:dyDescent="0.3">
      <c r="B29" s="42" t="s">
        <v>13</v>
      </c>
      <c r="C29" s="36"/>
      <c r="D29" s="37">
        <f t="shared" ref="D29:M29" si="12">(D28-$C$28)/365</f>
        <v>1</v>
      </c>
      <c r="E29" s="37">
        <f t="shared" si="12"/>
        <v>2</v>
      </c>
      <c r="F29" s="37">
        <f t="shared" si="12"/>
        <v>3</v>
      </c>
      <c r="G29" s="37">
        <f t="shared" si="12"/>
        <v>4.0027397260273974</v>
      </c>
      <c r="H29" s="37">
        <f t="shared" si="12"/>
        <v>5.0027397260273974</v>
      </c>
      <c r="I29" s="37">
        <f t="shared" si="12"/>
        <v>6.0027397260273974</v>
      </c>
      <c r="J29" s="37">
        <f t="shared" si="12"/>
        <v>7.0027397260273974</v>
      </c>
      <c r="K29" s="37">
        <f t="shared" si="12"/>
        <v>8.0054794520547947</v>
      </c>
      <c r="L29" s="37">
        <f t="shared" si="12"/>
        <v>9.0054794520547947</v>
      </c>
      <c r="M29" s="62">
        <f t="shared" si="12"/>
        <v>10.005479452054795</v>
      </c>
    </row>
    <row r="30" spans="2:13" s="10" customFormat="1" ht="22.05" customHeight="1" x14ac:dyDescent="0.3">
      <c r="B30" s="33" t="s">
        <v>12</v>
      </c>
      <c r="C30" s="38">
        <f>$H$10-$H$11</f>
        <v>9.9999999999999985E-3</v>
      </c>
      <c r="D30" s="39">
        <f t="shared" ref="D30:M30" si="13">D25/(1+$C$30)^D29</f>
        <v>-0.28273625285605469</v>
      </c>
      <c r="E30" s="39">
        <f t="shared" si="13"/>
        <v>-0.29361070583829124</v>
      </c>
      <c r="F30" s="39">
        <f t="shared" si="13"/>
        <v>-0.30458038854360625</v>
      </c>
      <c r="G30" s="39">
        <f t="shared" si="13"/>
        <v>-0.31561622268977918</v>
      </c>
      <c r="H30" s="39">
        <f t="shared" si="13"/>
        <v>-0.32671360583086412</v>
      </c>
      <c r="I30" s="39">
        <f t="shared" si="13"/>
        <v>-0.33784174785909515</v>
      </c>
      <c r="J30" s="39">
        <f t="shared" si="13"/>
        <v>-0.3489772448473733</v>
      </c>
      <c r="K30" s="39">
        <f t="shared" si="13"/>
        <v>-0.36008602918060545</v>
      </c>
      <c r="L30" s="39">
        <f t="shared" si="13"/>
        <v>-0.3711624105446768</v>
      </c>
      <c r="M30" s="63">
        <f t="shared" si="13"/>
        <v>-0.38217116849823363</v>
      </c>
    </row>
    <row r="31" spans="2:13" s="10" customFormat="1" ht="22.05" customHeight="1" x14ac:dyDescent="0.3">
      <c r="B31" s="33" t="s">
        <v>12</v>
      </c>
      <c r="C31" s="40">
        <f>$H$10</f>
        <v>0.03</v>
      </c>
      <c r="D31" s="39">
        <f t="shared" ref="D31:M31" si="14">D25/(1+$C$31)^D29</f>
        <v>-0.27724622852875264</v>
      </c>
      <c r="E31" s="39">
        <f t="shared" si="14"/>
        <v>-0.28231905083008851</v>
      </c>
      <c r="F31" s="39">
        <f t="shared" si="14"/>
        <v>-0.28718012723842834</v>
      </c>
      <c r="G31" s="39">
        <f t="shared" si="14"/>
        <v>-0.29179146405907236</v>
      </c>
      <c r="H31" s="39">
        <f t="shared" si="14"/>
        <v>-0.29618607400390451</v>
      </c>
      <c r="I31" s="39">
        <f t="shared" si="14"/>
        <v>-0.30032734628771579</v>
      </c>
      <c r="J31" s="39">
        <f t="shared" si="14"/>
        <v>-0.30420253024972504</v>
      </c>
      <c r="K31" s="39">
        <f t="shared" si="14"/>
        <v>-0.3077746188295109</v>
      </c>
      <c r="L31" s="39">
        <f t="shared" si="14"/>
        <v>-0.31108184504801784</v>
      </c>
      <c r="M31" s="63">
        <f t="shared" si="14"/>
        <v>-0.3140890158679111</v>
      </c>
    </row>
    <row r="32" spans="2:13" s="10" customFormat="1" ht="22.05" customHeight="1" x14ac:dyDescent="0.3">
      <c r="B32" s="33" t="s">
        <v>12</v>
      </c>
      <c r="C32" s="40">
        <f>$H$10+$H$11</f>
        <v>0.05</v>
      </c>
      <c r="D32" s="39">
        <f t="shared" ref="D32:M32" si="15">D25/(1+$C$32)^D29</f>
        <v>-0.27196534798534783</v>
      </c>
      <c r="E32" s="39">
        <f t="shared" si="15"/>
        <v>-0.2716664680504679</v>
      </c>
      <c r="F32" s="39">
        <f t="shared" si="15"/>
        <v>-0.27108042664668269</v>
      </c>
      <c r="G32" s="39">
        <f t="shared" si="15"/>
        <v>-0.27017266283066277</v>
      </c>
      <c r="H32" s="39">
        <f t="shared" si="15"/>
        <v>-0.26901802556962673</v>
      </c>
      <c r="I32" s="39">
        <f t="shared" si="15"/>
        <v>-0.26758363557979159</v>
      </c>
      <c r="J32" s="39">
        <f t="shared" si="15"/>
        <v>-0.26587372428957773</v>
      </c>
      <c r="K32" s="39">
        <f t="shared" si="15"/>
        <v>-0.26385810703749674</v>
      </c>
      <c r="L32" s="39">
        <f t="shared" si="15"/>
        <v>-0.261613548785956</v>
      </c>
      <c r="M32" s="63">
        <f t="shared" si="15"/>
        <v>-0.25911123263919233</v>
      </c>
    </row>
    <row r="33" spans="2:13" s="10" customFormat="1" ht="19.95" customHeight="1" x14ac:dyDescent="0.3">
      <c r="B33" s="16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2:13" s="8" customFormat="1" ht="25.05" customHeight="1" x14ac:dyDescent="0.3">
      <c r="C34" s="9" t="s">
        <v>37</v>
      </c>
      <c r="D34" s="9"/>
      <c r="E34" s="9"/>
      <c r="F34" s="9"/>
      <c r="G34" s="9"/>
      <c r="H34" s="9"/>
      <c r="I34" s="9"/>
      <c r="J34" s="9"/>
    </row>
    <row r="35" spans="2:13" s="10" customFormat="1" ht="49.95" customHeight="1" x14ac:dyDescent="0.3">
      <c r="C35" s="44" t="s">
        <v>11</v>
      </c>
      <c r="D35" s="44" t="s">
        <v>10</v>
      </c>
      <c r="E35" s="44" t="s">
        <v>9</v>
      </c>
      <c r="F35" s="44" t="s">
        <v>8</v>
      </c>
      <c r="G35" s="44" t="s">
        <v>7</v>
      </c>
      <c r="H35" s="44" t="s">
        <v>6</v>
      </c>
      <c r="I35" s="57" t="s">
        <v>5</v>
      </c>
      <c r="J35" s="19"/>
      <c r="K35" s="19"/>
      <c r="L35" s="19"/>
      <c r="M35" s="20"/>
    </row>
    <row r="36" spans="2:13" s="10" customFormat="1" ht="22.05" customHeight="1" x14ac:dyDescent="0.3">
      <c r="C36" s="45">
        <f>$H$10-$H$11</f>
        <v>9.9999999999999985E-3</v>
      </c>
      <c r="D36" s="35">
        <f>SUM(D30:M30)</f>
        <v>-3.32349577668858</v>
      </c>
      <c r="E36" s="35">
        <f>$M$25*((1+$M$16))/(C36-$M$16)</f>
        <v>14.63549519180021</v>
      </c>
      <c r="F36" s="35">
        <f>E36/((1+C36)^$M$29)</f>
        <v>13.248600507938765</v>
      </c>
      <c r="G36" s="35">
        <f>F36+D36</f>
        <v>9.925104731250185</v>
      </c>
      <c r="H36" s="46">
        <f>D36/G36</f>
        <v>-0.33485750192884323</v>
      </c>
      <c r="I36" s="58">
        <f>F36/G36</f>
        <v>1.3348575019288431</v>
      </c>
      <c r="J36" s="21"/>
      <c r="K36" s="21"/>
      <c r="L36" s="21"/>
      <c r="M36" s="22"/>
    </row>
    <row r="37" spans="2:13" s="10" customFormat="1" ht="22.05" customHeight="1" x14ac:dyDescent="0.3">
      <c r="C37" s="47">
        <f>$H$10</f>
        <v>0.03</v>
      </c>
      <c r="D37" s="35">
        <f>SUM(D31:M31)</f>
        <v>-2.972198300943127</v>
      </c>
      <c r="E37" s="35">
        <f>$M$25*((1+$M$16))/(C37-$M$16)</f>
        <v>43.906485575400623</v>
      </c>
      <c r="F37" s="35">
        <f>E37/((1+C37)^$M$29)</f>
        <v>32.665257650262753</v>
      </c>
      <c r="G37" s="35">
        <f>F37+D37</f>
        <v>29.693059349319626</v>
      </c>
      <c r="H37" s="46">
        <f>D37/G37</f>
        <v>-0.10009740882463937</v>
      </c>
      <c r="I37" s="58">
        <f>F37/G37</f>
        <v>1.1000974088246394</v>
      </c>
      <c r="J37" s="21"/>
      <c r="K37" s="21"/>
      <c r="L37" s="21"/>
      <c r="M37" s="22"/>
    </row>
    <row r="38" spans="2:13" s="10" customFormat="1" ht="22.05" customHeight="1" x14ac:dyDescent="0.3">
      <c r="C38" s="47">
        <f>$H$10+$H$11</f>
        <v>0.05</v>
      </c>
      <c r="D38" s="35">
        <f>SUM(D32:M32)</f>
        <v>-2.6719431794148019</v>
      </c>
      <c r="E38" s="35">
        <f>$M$25*((1+$M$16))/(C38-$M$16)</f>
        <v>-43.906485575400623</v>
      </c>
      <c r="F38" s="35">
        <f>E38/((1+C38)^$M$29)</f>
        <v>-26.947568194475998</v>
      </c>
      <c r="G38" s="35">
        <f>F38+D38</f>
        <v>-29.619511373890802</v>
      </c>
      <c r="H38" s="46">
        <f>D38/G38</f>
        <v>9.0208887840401167E-2</v>
      </c>
      <c r="I38" s="58">
        <f>F38/G38</f>
        <v>0.90979111215959874</v>
      </c>
      <c r="J38" s="21"/>
      <c r="K38" s="21"/>
      <c r="L38" s="21"/>
      <c r="M38" s="22"/>
    </row>
    <row r="39" spans="2:13" x14ac:dyDescent="0.3">
      <c r="B39" s="11"/>
      <c r="C39" s="7"/>
      <c r="D39" s="7"/>
      <c r="E39" s="7"/>
      <c r="F39" s="7"/>
      <c r="G39" s="7"/>
      <c r="H39" s="7"/>
      <c r="I39" s="7"/>
      <c r="J39" s="7"/>
    </row>
  </sheetData>
  <mergeCells count="11">
    <mergeCell ref="E10:G10"/>
    <mergeCell ref="E11:G11"/>
    <mergeCell ref="E12:G12"/>
    <mergeCell ref="B4:E4"/>
    <mergeCell ref="G4:J4"/>
    <mergeCell ref="E6:G6"/>
    <mergeCell ref="K6:M6"/>
    <mergeCell ref="E7:G7"/>
    <mergeCell ref="K7:M8"/>
    <mergeCell ref="E8:G8"/>
    <mergeCell ref="E9:G9"/>
  </mergeCells>
  <conditionalFormatting sqref="C25:M25">
    <cfRule type="cellIs" dxfId="0" priority="1" operator="lessThan">
      <formula>0</formula>
    </cfRule>
  </conditionalFormatting>
  <pageMargins left="0.3" right="0.3" top="0.3" bottom="0.3" header="0" footer="0"/>
  <pageSetup scale="70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DCF Valuation - EXAMPLE</vt:lpstr>
      <vt:lpstr>DCF Valuation - BLANK</vt:lpstr>
      <vt:lpstr>'DCF Valuation - BLANK'!Print_Area</vt:lpstr>
      <vt:lpstr>'DCF Valuation - EXAMPLE'!Print_Area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Balasubramanian PG</cp:lastModifiedBy>
  <cp:lastPrinted>2020-06-28T17:25:17Z</cp:lastPrinted>
  <dcterms:created xsi:type="dcterms:W3CDTF">2017-03-12T00:10:35Z</dcterms:created>
  <dcterms:modified xsi:type="dcterms:W3CDTF">2025-08-03T13:34:43Z</dcterms:modified>
</cp:coreProperties>
</file>