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sight" sheetId="1" r:id="rId4"/>
    <sheet state="visible" name="Lattice" sheetId="2" r:id="rId5"/>
    <sheet state="visible" name="Private" sheetId="3" r:id="rId6"/>
    <sheet state="visible" name="AMD" sheetId="4" r:id="rId7"/>
    <sheet state="visible" name="Defence" sheetId="5" r:id="rId8"/>
    <sheet state="visible" name="Credo" sheetId="6" r:id="rId9"/>
    <sheet state="visible" name="Collins" sheetId="7" r:id="rId10"/>
    <sheet state="visible" name="Achronix" sheetId="8" r:id="rId11"/>
    <sheet state="visible" name="ARINC" sheetId="9" r:id="rId12"/>
  </sheets>
  <definedNames>
    <definedName hidden="1" localSheetId="0" name="_xlnm._FilterDatabase">Keysight!$B$7:$Q$447</definedName>
  </definedNames>
  <calcPr/>
  <pivotCaches>
    <pivotCache cacheId="0" r:id="rId13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475">
      <text>
        <t xml:space="preserve">This data is from current sheet only. No import Range
</t>
      </text>
    </comment>
    <comment authorId="0" ref="G494">
      <text>
        <t xml:space="preserve">This data is from current sheet only. No import Range
</t>
      </text>
    </comment>
    <comment authorId="0" ref="G513">
      <text>
        <t xml:space="preserve">This data is from current sheet only. No import Range
</t>
      </text>
    </comment>
    <comment authorId="0" ref="G532">
      <text>
        <t xml:space="preserve">This data is from current sheet only. No import Range
</t>
      </text>
    </comment>
    <comment authorId="0" ref="G551">
      <text>
        <t xml:space="preserve">This data is from current sheet only. No import Range
</t>
      </text>
    </comment>
    <comment authorId="0" ref="G608">
      <text>
        <t xml:space="preserve">This data is from current sheet only. No import Range
</t>
      </text>
    </comment>
  </commentList>
</comments>
</file>

<file path=xl/sharedStrings.xml><?xml version="1.0" encoding="utf-8"?>
<sst xmlns="http://schemas.openxmlformats.org/spreadsheetml/2006/main" count="1669" uniqueCount="530">
  <si>
    <t>Owner :- Monika</t>
  </si>
  <si>
    <t>Hardware</t>
  </si>
  <si>
    <t>FPGA</t>
  </si>
  <si>
    <t>Software</t>
  </si>
  <si>
    <t>QA</t>
  </si>
  <si>
    <t>PO.Number</t>
  </si>
  <si>
    <t>Date</t>
  </si>
  <si>
    <t>Description</t>
  </si>
  <si>
    <t>Project Name as Per EOS</t>
  </si>
  <si>
    <t>Amt $</t>
  </si>
  <si>
    <t>Amt INR</t>
  </si>
  <si>
    <t>Department</t>
  </si>
  <si>
    <t>SW Work %</t>
  </si>
  <si>
    <t>FPGA Work %</t>
  </si>
  <si>
    <t>HW Work %</t>
  </si>
  <si>
    <t>QA Work %</t>
  </si>
  <si>
    <t>SW Revenue</t>
  </si>
  <si>
    <t>FPGA Revenue</t>
  </si>
  <si>
    <t>HW Revenue</t>
  </si>
  <si>
    <t>QA Revenue</t>
  </si>
  <si>
    <t>28/02/2023</t>
  </si>
  <si>
    <t>Services as agreed in attached Statement of Work, Exhibit A, SW R&amp;D Engineer Kanak Lawaniyan, Monthly Rate 100% of 8300 USD in March and April,</t>
  </si>
  <si>
    <t>Keysight_Corvette_Gen6_Exerciser_T&amp;M_158</t>
  </si>
  <si>
    <t>FPGA Lead Engineer Bala Services as agreed in attached Statement of Work, Exhibit A, FPGA Lead Engineer Bala Murali Tokala, Monthly Rate 100% of 6900 USD in March and Tokala-</t>
  </si>
  <si>
    <t>FPGA R&amp;D Engineer Services as agreed in attached Statement of Work, Exhibit A, FPGA R&amp;D Engineer Rishabh Gupta, Monthy Rate 90% of 5530 USD in March and April Gupta</t>
  </si>
  <si>
    <t>SW R&amp;D Engineer Services as agreed in attached Statement of Work, Exhibit A, SW R&amp;D Engineer Varun Pant, Monthly Rate 100% of 6760 USD in March and April, Pant-</t>
  </si>
  <si>
    <t>Project Lead-HW Services as agreed in attached Statement of Work, Exhibit A, Project Lead-HW Akash Jain, Monthly Rate 50% of 7000 USD in March and 40% of 7000 Jain-</t>
  </si>
  <si>
    <t>SW R&amp;D Engineer Services as agreed in attached Statement of Work, Exhibit A, SW R&amp;D Engineer Mourya Mithra Naramala, Monthly Rate 100% of 5800 USD in March Mithra Naramala</t>
  </si>
  <si>
    <t>SW R&amp;D Engineer Services as agreed in attached Statement of Work, Exhibit A, SW R&amp;D Engineer Rupa Rani Saini, Monthly Rate 100% of 8850 USD in March and April Rani Saini-</t>
  </si>
  <si>
    <t>Project Lead-Mechanical Services as agreed in attached Statement of Work, Exhibit A, Project Lead-Mechanical Sagar Gupta, Monthly Rate 50% of 7000 USD in March and in Gupta-</t>
  </si>
  <si>
    <t>FPGA R&amp;D Engineer Services as agreed in attached Statement of Work, Exhibit A, FPGA R&amp;D Engineer Pradeep Manikanta, Monthly Rate 100% of 5530 USD in March and Manikanta,-</t>
  </si>
  <si>
    <t>FPGA Senior R&amp;D Engineer Services as agreed in attached Statement of Work, Exhibit A, FPGA Senior R&amp;D Engineer Gandepalli Saichandra, Monthy Rate 100% of 6900 USD Saichandra-</t>
  </si>
  <si>
    <t>SW architect Services as agreed in attached Statement of Work, Exhibit A, SW architect Anil Nikhra, Monthly Rate 90% of 12000 USD in March and April, Project Nikhra-</t>
  </si>
  <si>
    <t>Verification Lead Engineer Services as agreed in attached Statement of Work, Exhibit A, Verification Lead Engineer Rajan Kumar Sharma, Monthly Rate 100% of 5530 USD in Kumar Sharma-</t>
  </si>
  <si>
    <t>Exhibit A, FPGA Architect Services as agreed in attached Statement of Work, Exhibit A, FPGA Architect Vineet Goel, Monthly Rate 80% of 12000 USD in March, 90% of 12000 Goel-</t>
  </si>
  <si>
    <t>SW R&amp;D Engineer Services as agreed in attached Statement of Work, Exhibit A, SW R&amp;D Engineer Yogendra Kumar Pal, Monthly Rate 100% of 8850 USD in March and Kumar Pal-</t>
  </si>
  <si>
    <t>SW R&amp;D Engineer Services as agreed in attached Statement of Work, Exhibit A, SW R&amp;D Engineer Bhavesh Kumar Singh, Monthly Rate 100% of 6760 USD in March and Kumar Singh-</t>
  </si>
  <si>
    <t>Services as agreed in attached Statement of Work, Exhibit A, SW R&amp;D Engineer Ashutosh Yadav, Monthly Rate 100% of 6760 USD in March and April,</t>
  </si>
  <si>
    <t>SW Lead Engineer Services as agreed in attached Statement of Work, Exhibit A, SW Lead Engineer Amritpreet Singh, Monthly Rate 100% of 8850 USD in March and April Singh-</t>
  </si>
  <si>
    <t>FPGA R&amp;D Engineer Services as agreed in attached Statement of Work, Exhibit A, FPGA R&amp;D Engineer Karan Kumar, Monthly Rate 90% of 5530 USD in March and April, Kumar- Project Corvette-PCIe 6.0 Protocol Test Solution</t>
  </si>
  <si>
    <t>Services as agreed in attached Statement of Work, Exhibit A, Verification Lead Engineer Ashok Mandavali, Monthly Rate 100% of 6900 USD in March and April, Project Corvette-PCIe 6.0 Protocol Test Solution</t>
  </si>
  <si>
    <t>Services as agreed in attached Statement of Work, Exhibit A, Project Manager Madhukar Manohar, Monthly Rate 25% of 5000 USD in March, 50% of 5000 USD in in April , Project Corvette-PCIe 6.0 Protocol Test Solution</t>
  </si>
  <si>
    <t>Services as agreed in attached Statement of Work, Exhibit A, Verification Lead Engineer Rajan Kumar Sharma, Monthly Rate 100% of 5530 USD in March and April, Project Corvette-PCIe 6.0 Protocol Test Solution</t>
  </si>
  <si>
    <t>Services as agreed in attached Statement of Work, Exhibit A, SW R&amp;D Engineer Rupa Rani Saini, Monthly Rate 100% of 8850 USD in March and April,
 Project Corvette-PCIe 6.0 Protocol Test Solution</t>
  </si>
  <si>
    <t>Services as agreed in attached Statement of Work, Exhibit A, Project Manager Madhukar Manohar, Monthly Rate 25% of 5000 USD in March, 50% of
 5000 USD in in April , Project Corvette-PCIe 6.0 Protocol Test Solution</t>
  </si>
  <si>
    <t>Services as agreed in attached Statement of Work, Exhibit A, SW architect Anil Nikhra, Monthly Rate 90% of 12000 USD in March and April, Project
 Corvette-PCIe 6.0 Protocol Test Solution</t>
  </si>
  <si>
    <t>Services as agreed in attached Statement of Work, Exhibit A, Project Lead-Mechanical Sagar Gupta, Monthly Rate 50% of 7000 USD in March and in
 April, Project Corvette-PCIe 6.0 Protocol Test Solution</t>
  </si>
  <si>
    <t>Services as agreed in attached Statement of Work, Exhibit A, SW R&amp;D Engineer Mourya Mithra Naramala, Monthly Rate 100% of 5800 USD in March
 and April, Project Corvette-PCIe 6.0 Protocol Test Solution</t>
  </si>
  <si>
    <t>Services as agreed in attached Statement of Work, Exhibit A, FPGA Lead Engineer Bala Murali Tokala, Monthly Rate 100% of 6900 USD in March and
 April, Project Corvette-PCIe 6.0 Protocol Test Solution</t>
  </si>
  <si>
    <t>Services as agreed in attached Statement of Work, Exhibit A, Project Lead-HW Akash Jain, Monthly Rate 50% of 7000 USD in March and 40% of 7000
 USD in April, Project Corvette-PCIe 6.0 Protocol Test Solution</t>
  </si>
  <si>
    <t>Services as agreed in attached Statement of Work, Exhibit A, FPGA R&amp;D Engineer Karan Kumar, Monthly Rate 90% of 5530 USD in March and April,
 Project Corvette-PCIe 6.0 Protocol Test Solution</t>
  </si>
  <si>
    <t>Services as agreed in attached Statement of Work, Exhibit A, SW R&amp;D Engineer Yogendra Kumar Pal, Monthly Rate 100% of 8850 USD in March and
 April, Project Corvette-PCIe 6.0 Protocol Test Solution</t>
  </si>
  <si>
    <t>Services as agreed in attached Statement of Work, Exhibit A, FPGA Architect Vineet Goel, Monthly Rate 80% of 12000 USD in March, 90% of 12000
 USD in in April , Project Corvette-PCIe 6.0 Protocol Test Solution</t>
  </si>
  <si>
    <t>Services as agreed in attached Statement of Work, Exhibit A, FPGA Senior R&amp;D Engineer Gandepalli Saichandra, Monthy Rate 100% of 6900 USD in
 March and April, Project Corvette-PCIe 6.0 Protocol Test Solution</t>
  </si>
  <si>
    <t>Services as agreed in attached Statement of Work, Exhibit A, SW Lead Engineer Amritpreet Singh, Monthly Rate 100% of 8850 USD in March and April,
 Project Corvette-PCIe 6.0 Protocol Test Solution</t>
  </si>
  <si>
    <t>Services as agreed in attached Statement of Work, Exhibit A, SW R&amp;D Engineer Bhavesh Kumar Singh, Monthly Rate 100% of 6760 USD in March and
 April, Project Corvette-PCIe 6.0 Protocol Test Solution</t>
  </si>
  <si>
    <t>Services as agreed in attached Statement of Work, Exhibit A, Verification Lead Engineer Ashok Mandavali, Monthly Rate 100% of 6900 USD in March
 and April, Project Corvette-PCIe 6.0 Protocol Test Solution</t>
  </si>
  <si>
    <t>Services as agreed in attached Statement of Work, Exhibit A, SW Lead Engineer Harpreet Singh, Monthly Rate 100% of 8850 USD in March and April,
 Project Corvette-PCIe 6.0 Protocol Test Solution</t>
  </si>
  <si>
    <t>Services as agreed in attached Statement of Work, Exhibit A, SW R&amp;D Engineer Kanak Lawaniyan, Monthly Rate 100% of 8300 USD in March and April,
 Project Corvette-PCIe 6.0 Protocol Test Solution</t>
  </si>
  <si>
    <t>Services as agreed in attached Statement of Work, Exhibit A, FPGA R&amp;D Engineer Pradeep Manikanta, Monthly Rate 100% of 5530 USD in March and
 April, Project Corvette-PCIe 6.0 Protocol Test Solution</t>
  </si>
  <si>
    <t>Services as agreed in attached Statement of Work, Exhibit A, SW R&amp;D Engineer Varun Pant, Monthly Rate 100% of 6760 USD in March and April,
 Project Corvette-PCIe 6.0 Protocol Test Solution</t>
  </si>
  <si>
    <t>Services as agreed in attached Statement of Work, Exhibit A, SW R&amp;D Engineer Ashutosh Yadav, Monthly Rate 100% of 6760 USD in March and April,
 Project Corvette-PCIe 6.0 Protocol Test Solution</t>
  </si>
  <si>
    <t>Services as agreed in attached Statement of Work, Exhibit A, FPGA R&amp;D Engineer Rishabh Gupta, Monthy Rate 90% of 5530 USD in March and April,
 Project Corvette-PCIe 6.0 Protocol Test Solution</t>
  </si>
  <si>
    <t>13/01/2023</t>
  </si>
  <si>
    <t>Services as agreed in attached Statement of Work, Milestone CXL-TEFPGA-M8, Project Name: Schooner project CXL2.0 Analyzer &amp; Exerciser Claim 10%</t>
  </si>
  <si>
    <t>Keysight_CXL_2.0_Exercsier_144</t>
  </si>
  <si>
    <t>Services as agreed in attached Statement of Work, Milestone CXL-TEFPGA-9, Project Name: Schooner project CXL2.0 Analyzer &amp; Exerciser Claim 10%</t>
  </si>
  <si>
    <t>Services as agreed in attached Statement of Work, Milestone TESW-M9, Project Name: Schooner project CXL2.0 Analyzer &amp; Exerciser Claim 50 %</t>
  </si>
  <si>
    <t>Services as agreed in attached Statement of Work, Milestone TESW-M8, Project Name: Schooner project CXL2.0 Analyzer &amp; Exerciser Claim 35%</t>
  </si>
  <si>
    <t>Services as agreed in attached Statement of Work, Milestone TASW-M12 (6k$ of 25k$), Project Name: Schooner project CXL2.0 Analyzer &amp; Exerciser</t>
  </si>
  <si>
    <t>Services as agreed in attached Statement of Work, Milestone TESW-M10 (6k$ of 20k$), Project Name: Schooner project CXL2.0 Analyzer &amp; Exerciser Claim</t>
  </si>
  <si>
    <t>Services as agreed in attached Statement of Work, Milestone CXL-TAFPGA-M12 (6k$ of 25k$), Project Name: Schooner project CXL2.0 Analyzer &amp;
 Exerciser</t>
  </si>
  <si>
    <t>Services as agreed in attached Statement of Work, Milestone CXL-TEFPGA-10 (12k$ of 50k$), Project Name: Schooner project CXL2.0 Analyzer &amp;
 Exerciser</t>
  </si>
  <si>
    <t>Trade Royalty Report_ Logic fruit Technologies Pvt Ltd_Q2'23</t>
  </si>
  <si>
    <t>LOKI_PCIe_Gen6_LTSSM_085</t>
  </si>
  <si>
    <t>27/02/2023</t>
  </si>
  <si>
    <t>Services as agreed in attached Statement of Work, Exhibit A, Milestone TAFPGA5, Project Corvette - PCIe Gen5 Protocol Test – Gen5 Analyzer
 redesign to cut5</t>
  </si>
  <si>
    <t>Keysight_Corvette_Gen5_Analyzer_156</t>
  </si>
  <si>
    <t>Services as agreed in attached Statement of Work, Exhibit A, Milestone TAQA1, Project Corvette - PCIe Gen5 Protocol Test – Gen5 Analyzer redesign
 to cut5</t>
  </si>
  <si>
    <t>Services as agreed in attached Statement of Work, Exhibit A, Milestone TAFPGA4, Project Corvette - PCIe Gen5 Protocol Test – Gen5 Analyzer
 redesign to cut5</t>
  </si>
  <si>
    <t>Services as agreed in attached Statement of Work, Exhibit A, Milestone TA7, Project Corvette - PCIe Gen5 Protocol Test – Gen5 Analyzer redesign to
 cut5</t>
  </si>
  <si>
    <t>20/12/2022</t>
  </si>
  <si>
    <t>Services as agreed in attached Statement of Work, Exhibit A, Milestone FPGA - TAFPGA3, Project Corvette - PCIe Gen5 Protocol Test – Gen5 Analyzer
 redesign to cut5</t>
  </si>
  <si>
    <t>Services as agreed in attached Statement of Work, Exhibit A, FPGA Bala Tokala Murali, Monthly Rate 50% of 6900 USD in May, Project Corvette-PCIe
 6.0 Protocol Test Solution</t>
  </si>
  <si>
    <t>Services as agreed in attached Statement of Work, Exhibit A, HW Abishek Gupta, Monthly Rate 60% of 7000 USD in May, Project Corvette-PCIe 6.0
 Protocol Test Solution</t>
  </si>
  <si>
    <t>Services as agreed in attached Statement of Work, Exhibit A, FPGA Karan Kumar, Monthly Rate 50% of 5530 USD in May, Project Corvette-PCIe 6.0
 Protocol Test Solution</t>
  </si>
  <si>
    <t>Services as agreed in attached Statement of Work, Exhibit A, QA Jaison John, Monthly Rate 50% of 4200 USD in May, Project Corvette-PCIe 6.0
 Protocol Test Solution.</t>
  </si>
  <si>
    <t>Services as agreed in attached Statement of Work, Exhibit A, FPGA Vineet Goel, Monthly Rate 90% of 12000 USD in May, Project Corvette-PCIe 6.0
 Protocol Test Solution</t>
  </si>
  <si>
    <t>Services as agreed in attached Statement of Work, Exhibit A, SW Varun Pant, Monthly Rate 100% of 6760 USD in May, Project Corvette-PCIe 6.0
 Protocol Test Solution</t>
  </si>
  <si>
    <t>Services as agreed in attached Statement of Work, Exhibit A, FPGA Pradeep Manikanta, Monthly Rate 100% of 5530 USD in May, Project
 Corvette-PCIe 6.0 Protocol Test Solution</t>
  </si>
  <si>
    <t>Services as agreed in attached Statement of Work, Exhibit A, FPGA Vivek Basant, Monthly Rate 100% of 5530 USD in May, Project Corvette-PCIe 6.0
 Protocol Test Solution</t>
  </si>
  <si>
    <t>Services as agreed in attached Statement of Work, Exhibit A, HW Prabhjot Kaur, Monthly Rate 100% of 6000 USD in May, Project Corvette-PCIe 6.0
 Protocol Test Solution</t>
  </si>
  <si>
    <t>Services as agreed in attached Statement of Work, Exhibit A, QA Aashish Palliwal, Monthly Rate 50% of 3000 USD in May, Project Corvette-PCIe 6.0
 Protocol Test Solution</t>
  </si>
  <si>
    <t>Services as agreed in attached Statement of Work, Exhibit A, SW Anil Nikhra, Monthly Rate 90% of 12000 USD in May, Project Corvette-PCIe 6.0
 Protocol Test Solution</t>
  </si>
  <si>
    <t>Services as agreed in attached Statement of Work, Exhibit A, SW Yogendra Kumar Pal, Monthly Rate 100% of 8850 USD in May, Project Corvette-PCIe
 6.0 Protocol Test Solution</t>
  </si>
  <si>
    <t>Services as agreed in attached Statement of Work, Exhibit A, FPGA Ashok Mandavali, Monthly Rate 100% of 6900 USD in May, Project Corvette-PCIe
 6.0 Protocol Test Solution</t>
  </si>
  <si>
    <t>Services as agreed in attached Statement of Work, Exhibit A, SW Mourya Mithra Naramala, Monthly Rate 100% of 5800 USD in May, Project
 Corvette-PCIe 6.0 Protocol Test Solution</t>
  </si>
  <si>
    <t>Services as agreed in attached Statement of Work, Exhibit A, HW Akash Jain, Monthly Rate 70% of 7000 USD in May, Project Corvette-PCIe 6.0
 Protocol Test Solution</t>
  </si>
  <si>
    <t>Services as agreed in attached Statement of Work, Exhibit A, SW Ashutosh Yadav, Monthly Rate 100% of 6760 USD in May, Project Corvette-PCIe 6.0
 Protocol Test Solution</t>
  </si>
  <si>
    <t>Services as agreed in attached Statement of Work, Exhibit A, HW Sagar Gupta, Monthly Rate 60% of 7000 USD in May, Project Corvette-PCIe 6.0
 Protocol Test Solution</t>
  </si>
  <si>
    <t>Services as agreed in attached Statement of Work, Exhibit A, QA Madhukar Manohar, Monthly Rate 50% of 5000 USD in May, Project Corvette-PCIe 6.0
 Protocol Test Solution</t>
  </si>
  <si>
    <t>Services as agreed in attached Statement of Work, Exhibit A, FPGA Rajan Kumar Sharma, Monthly Rate 100% of 5530 USD in May, Project
 Corvette-PCIe 6.0 Protocol Test Solution</t>
  </si>
  <si>
    <t>Services as agreed in attached Statement of Work, Exhibit A, SW Bhavesh Kumar Singh, Monthly Rate 100% of 6760 USD in May, Project Corvette-PCIe 6.0 Protocol Test Solution</t>
  </si>
  <si>
    <t>Services as agreed in attached Statement of Work, Exhibit A, SW Amritpreet Singh, Monthly Rate 100% of 8850 USD in May, Project Corvette-PCIe 6.0
 Protocol Test Solution</t>
  </si>
  <si>
    <t>Services as agreed in attached Statement of Work, Exhibit A, SW Rupa Rani Saini, Monthly Rate 100% of 8850 USD in May, Project Corvette-PCIe 6.0
 Protocol Test Solution</t>
  </si>
  <si>
    <t>Services as agreed in attached Statement of Work, Exhibit A, QA Saket Kumar, Monthly Rate 50% of 3000 USD in May, Project Corvette-PCIe 6.0
 Protocol Test Solution</t>
  </si>
  <si>
    <t>Services as agreed in attached Statement of Work, Exhibit A, FPGA Rishabh Gupta, Monthly Rate 90% of 5530 USD in May, Project Corvette-PCIe 6.0
 Protocol Test Solution</t>
  </si>
  <si>
    <t>Services as agreed in attached Statement of Work, Exhibit A, SW Harpreet Singh, Monthly Rate 100% of 8850 USD in May, Project Corvette-PCIe 6.0
 Protocol Test Solution</t>
  </si>
  <si>
    <t>Services as agreed in attached Statement of Work, Exhibit A, SW Kanak Lawaniyan, Monthly Rate 100% of 8300 USD in May, Project Corvette-PCIe 6.0
 Protocol Test Solution</t>
  </si>
  <si>
    <t>Services as agreed in attached Statement of Work, Exhibit A, QA Swarup Sahu, Monthly Rate 50% of 4200 USD in May, Project Corvette-PCIe 6.0
 Protocol Test Solution</t>
  </si>
  <si>
    <t>Additional to the milestone cost, up to USD 20.0000 will be reimbursed for Logic Fruit employees travelling to support Keysight at customer events. Need
 to be pre-approved by Keysight (Details see attached SOW).</t>
  </si>
  <si>
    <t>31/05/2023</t>
  </si>
  <si>
    <t>Services as agreed in attached Statement of Work, Exhibit A, SW Rupa Rani Saini, Monthly Rate 100% of 8850 USD in June, Project Corvette-PCIe 6.0
 Protocol Test Solution</t>
  </si>
  <si>
    <t>Services as agreed in attached Statement of Work, Exhibit A, HW Prabhjot Kaur, Monthly Rate 100% of 6000 USD in June, Project Corvette-PCIe 6.0
 Protocol Test Solution</t>
  </si>
  <si>
    <t>Services as agreed in attached Statement of Work, Exhibit A, FPGA Vivek Basant, Monthly Rate 100% of 5530 USD in June, Project Corvette-PCIe 6.0
 Protocol Test Solution</t>
  </si>
  <si>
    <t>Services as agreed in attached Statement of Work, Exhibit A, SW Amritpreet Singh, Monthly Rate 100% of 8850 USD in June, Project Corvette-PCIe 6.0
 Protocol Test Solution</t>
  </si>
  <si>
    <t>Services as agreed in attached Statement of Work, Exhibit A, QA Swarup Sahu, Monthly Rate 75% of 4200 USD in June, Project Corvette-PCIe 6.0
 Protocol Test Solution</t>
  </si>
  <si>
    <t>Services as agreed in attached Statement of Work, Exhibit A, SW Mourya Mithra Naramala, Monthly Rate 100% of 5800 USD in June, Project
 Corvette-PCIe 6.0 Protocol Test Solution</t>
  </si>
  <si>
    <t>Services as agreed in attached Statement of Work, Exhibit A, HW Akash Jain, Monthly Rate 100% of 7000 USD in June, Project Corvette-PCIe 6.0
 Protocol Test Solution</t>
  </si>
  <si>
    <t>Services as agreed in attached Statement of Work, Exhibit A, FPGA Ashok Mandavali, Monthly Rate 100% of 6900 USD in June, Project Corvette-PCIe
 6.0 Protocol Test Solution</t>
  </si>
  <si>
    <t>Services as agreed in attached Statement of Work, Exhibit A, SW Varun Pant, Monthly Rate 100% of 6760 USD in June, Project Corvette-PCIe 6.0
 Protocol Test Solution</t>
  </si>
  <si>
    <t>Services as agreed in attached Statement of Work, Exhibit A, SW Ashutosh Yadav, Monthly Rate 100% of 6760 USD in June, Project Corvette-PCIe 6.0
 Protocol Test Solution</t>
  </si>
  <si>
    <t>Services as agreed in attached Statement of Work, Exhibit A, SW Harpreet Singh, Monthly Rate 100% of 8850 USD in June, Project Corvette-PCIe 6.0
 Protocol Test Solution</t>
  </si>
  <si>
    <t>Services as agreed in attached Statement of Work, Exhibit A, QA Madhukar Manohar, Monthly Rate 50% of 5000 USD in June, Project Corvette-PCIe
 6.0 Protocol Test Solution</t>
  </si>
  <si>
    <t>Services as agreed in attached Statement of Work, Exhibit A, FPGA Rajan Kumar Sharma, Monthly Rate 100% of 5530 USD in June, Project
 Corvette-PCIe 6.0 Protocol Test Solution</t>
  </si>
  <si>
    <t>Services as agreed in attached Statement of Work, Exhibit A, QA Aashish Palliwal, Monthly Rate 75% of 3000 USD in June, Project Corvette-PCIe 6.0
 Protocol Test Solution</t>
  </si>
  <si>
    <t>Services as agreed in attached Statement of Work, Exhibit A, SW Anil Nikhra, Monthly Rate 90% of 12000 USD in June, Project Corvette-PCIe 6.0
 Protocol Test Solution</t>
  </si>
  <si>
    <t>Services as agreed in attached Statement of Work, Exhibit A, FPGA Pradeep Manikanta, Monthly Rate 100% of 5530 USD in June, Project
 Corvette-PCIe 6.0 Protocol Test Solution</t>
  </si>
  <si>
    <t>Services as agreed in attached Statement of Work, Exhibit A, FPGA Bala Tokala Murali, Monthly Rate 100% of 6900 USD in June, Project Corvette-PCIe
 6.0 Protocol Test Solution</t>
  </si>
  <si>
    <t>Services as agreed in attached Statement of Work, Exhibit A, QA Saket Kumar, Monthly Rate 75% of 3000 USD in June, Project Corvette-PCIe 6.0
 Protocol Test Solution</t>
  </si>
  <si>
    <t>Services as agreed in attached Statement of Work, Exhibit A, QA Jaison John, Monthly Rate 50% of 4200 USD in June, Project Corvette-PCIe 6.0
 Protocol Test Solution</t>
  </si>
  <si>
    <t>Services as agreed in attached Statement of Work, Exhibit A, FPGA Rishabh Gupta, Monthly Rate 90% of 5530 USD in June, Project Corvette-PCIe 6.0
 Protocol Test Solution</t>
  </si>
  <si>
    <t>Services as agreed in attached Statement of Work, Exhibit A, SW Yogendra Kumar Pal, Monthly Rate 100% of 8850 USD in June, Project Corvette-PCIe
 6.0 Protocol Test Solution</t>
  </si>
  <si>
    <t>Services as agreed in attached Statement of Work, Exhibit A, HW Abishek Gupta, Monthly Rate 70% of 7000 USD in June, Project Corvette-PCIe 6.0
 Protocol Test Solution</t>
  </si>
  <si>
    <t>Services as agreed in attached Statement of Work, Exhibit A, SW Bhavesh Kumar Singh, Monthly Rate 100% of 6760 USD in June, Project Corvette-PCIe 6.0 Protocol Test Solution</t>
  </si>
  <si>
    <t>Services as agreed in attached Statement of Work, Exhibit A, FPGA Vineet Goel, Monthly Rate 90% of 12000 USD in June, Project Corvette-PCIe 6.0
 Protocol Test Solution</t>
  </si>
  <si>
    <t>Services as agreed in attached Statement of Work, Exhibit A, SW Kanak Lawaniyan, Monthly Rate 100% of 8300 USD in June, Project Corvette-PCIe
 6.0 Protocol Test Solution</t>
  </si>
  <si>
    <t>Services as agreed in attached Statement of Work, Exhibit A, FPGA Karan Kumar, Monthly Rate 75% of 5530 USD in June, Project Corvette-PCIe 6.0
 Protocol Test Solutio</t>
  </si>
  <si>
    <t>Services as agreed in attached Statement of Work, Exhibit A, HW Sagar Gupta, Monthly Rate 100% of 7000 USD in June, Project Corvette-PCIe 6.0
 Protocol Test Solution</t>
  </si>
  <si>
    <t>17/05/2023</t>
  </si>
  <si>
    <t>Services as agreed in attached Statement of Work, Exhibit A, Milestone TAFPGA7, Project Corvette - PCIe Gen5 Protocol Test – Gen5 Analyzer
 redesign to cut5</t>
  </si>
  <si>
    <t>Services as agreed in attached Statement of Work, Exhibit A, Milestone TAFPGA6, Project Corvette - PCIe Gen5 Protocol Test – Gen5 Analyzer
 redesign to cut5</t>
  </si>
  <si>
    <t>Services as agreed in attached Statement of Work, Exhibit A, Milestone TASW6, Project Corvette - PCIe Gen5 Protocol Test – Gen5 Analyzer redesign
 to cut5</t>
  </si>
  <si>
    <t>Services as agreed in attached Statement of Work, Exhibit A, Milestone T_C, Project Corvette - PCIe Gen5 Protocol Test – Gen5 Analyzer redesign to
 cut5</t>
  </si>
  <si>
    <t>Services as agreed in attached Statement of Work, Exhibit A, Milestone TAQA2, Project Corvette - PCIe Gen5 Protocol Test – Gen5 Analyzer redesign
 to cut5</t>
  </si>
  <si>
    <t>27/06/2022</t>
  </si>
  <si>
    <t>Services as agreed in attached Statement of Work, Phase 6 (TEFPGA-10), 50%), Project PCIe Gen5/6 Analyzer, Exerciser and Test Platform HW, FW
 and SW</t>
  </si>
  <si>
    <t>Services as agreed in attached Statement of Work, Milestone TESW-M8, Project Name: Schooner project CXL2.0 Analyzer &amp; Exerciser</t>
  </si>
  <si>
    <t>Services as agreed in attached Statement of Work, Milestone CXL-TAFPGA-M10, Project Name: Schooner project CXL2.0 Analyzer &amp; Exerciser</t>
  </si>
  <si>
    <t>Services as agreed in attached Statement of Work, Milestone CXL-TEFPGA-M8, Project Name: Schooner project CXL2.0 Analyzer &amp; Exerciser</t>
  </si>
  <si>
    <t>Services as agreed in attached Statement of Work, Milestone TASW-M10, Project Name: Schooner project CXL2.0 Analyzer &amp; Exerciser</t>
  </si>
  <si>
    <t>Services as agreed in attached Statement of Work, Milestone TESW-M9, Project Name: Schooner project CXL2.0 Analyzer &amp; Exerciser</t>
  </si>
  <si>
    <t>Services as agreed in attached Statement of Work, Milestone CXL-TEFPGA-9, Project Name: Schooner project CXL2.0 Analyzer &amp; Exerciser</t>
  </si>
  <si>
    <t>Services as agreed in attached Statement of Work, Milestone TESW-M10 (6k$ of 20k$), Project Name: Schooner project CXL2.0 Analyzer &amp; Exerciser</t>
  </si>
  <si>
    <t>Services as agreed in attached Statement of Work, Milestone TASW-M12 (6k$ of 25k$), Project Name: Schooner project CXL2.0 Analyzer &amp; ExerciserSales -SERVICE-1</t>
  </si>
  <si>
    <t>Services as agreed in attached Statement of Work, Milestone CXL-TEFPGA-10 (38k$ of 50k$), Project Name: Schooner project CXL2.0 Analyzer &amp;
 Exerciser</t>
  </si>
  <si>
    <t>Services as agreed in attached Statement of Work, Milestone TESW-M10 (14k$ of 20k$), Project Name: Schooner project CXL2.0 Analyzer &amp; Exerciser</t>
  </si>
  <si>
    <t>Services as agreed in attached Statement of Work, Milestone CXL-TAFPGA-M12 (19k$ of 25k$), Project Name: Schooner project CXL2.0 Analyzer &amp;
 Exerciser</t>
  </si>
  <si>
    <t>Services as agreed in attached Statement of Work, Milestone TAFSW-M12 (19k$ of 25k$), Project Name: Schooner project CXL2.0 Analyzer &amp;
 Exerciser</t>
  </si>
  <si>
    <t>Royalty for Sep'22 to Apr'23</t>
  </si>
  <si>
    <t>26/06/2023</t>
  </si>
  <si>
    <t>Services as agreed in attached Statement of Work, Exhibit A, FPGA Vineet Goel, Monthly Rate 90% of 12000 USD in July, Project Corvette-PCIe 6.0
 Protocol Test Solution</t>
  </si>
  <si>
    <t>Services as agreed in attached Statement of Work, Exhibit A, SW Harpreet Singh, Monthly Rate 100% of 8850 USD in July, Project Corvette-PCIe 6.0
 Protocol Test Solution</t>
  </si>
  <si>
    <t>Services as agreed in attached Statement of Work, Exhibit A, FPGA Vivek Basant, Monthly Rate 100% of 5530 USD in July, Project Corvette-PCIe 6.0
 Protocol Test Solution</t>
  </si>
  <si>
    <t>Services as agreed in attached Statement of Work, Exhibit A, FPGA Pradeep Manikanta, Monthly Rate 100% of 5530 USD in July, Project Corvette-PCIe
 6.0 Protocol Test Solution</t>
  </si>
  <si>
    <t>Services as agreed in attached Statement of Work, Exhibit A, HW Sagar Gupta, Monthly Rate 100% of 7000 USD in July, Project Corvette-PCIe 6.0
 Protocol Test Solution</t>
  </si>
  <si>
    <t>Services as agreed in attached Statement of Work, Exhibit A, SW Bhavesh Kumar Singh, Monthly Rate 100% of 6760 USD in July, Project Corvette-PCIe 6.0 Protocol Test Solution</t>
  </si>
  <si>
    <t>Services as agreed in attached Statement of Work, Exhibit A, HW Akash Jain, Monthly Rate 100% of 7000 USD in July, Project Corvette-PCIe 6.0
 Protocol Test Solution</t>
  </si>
  <si>
    <t>Services as agreed in attached Statement of Work, Exhibit A, SW Rupa Rani Saini, Monthly Rate 100% of 8850 USD in July, Project Corvette-PCIe 6.0
 Protocol Test Solution</t>
  </si>
  <si>
    <t>Services as agreed in attached Statement of Work, Exhibit A, FPGA Ashok Mandavali, Monthly Rate 100% of 6900 USD in July, Project Corvette-PCIe
 6.0 Protocol Test Solution</t>
  </si>
  <si>
    <t>Services as agreed in attached Statement of Work, Exhibit A, QA Jaison John, Monthly Rate 50% of 4200 USD in July, Project Corvette-PCIe 6.0
 Protocol Test Solution</t>
  </si>
  <si>
    <t>Services as agreed in attached Statement of Work, Exhibit A, FPGA Bala Tokala Murali, Monthly Rate 100% of 6900 USD in July, Project Corvette-PCIe
 6.0 Protocol Test Solution</t>
  </si>
  <si>
    <t>Services as agreed in attached Statement of Work, Exhibit A, FPGA Rajan Kumar Sharma, Monthly Rate 100% of 5530 USD in July, Project
 Corvette-PCIe 6.0 Protocol Test Solution</t>
  </si>
  <si>
    <t>Services as agreed in attached Statement of Work, Exhibit A, HW Prabhjot Kaur, Monthly Rate 100% of 6000 USD in July, Project Corvette-PCIe 6.0
 Protocol Test Solution</t>
  </si>
  <si>
    <t>Services as agreed in attached Statement of Work, Exhibit A, QA Saket Kumar, Monthly Rate 100% of 3000 USD in July, Project Corvette-PCIe 6.0
 Protocol Test Solution</t>
  </si>
  <si>
    <t>Services as agreed in attached Statement of Work, Exhibit A, SW Varun Pant, Monthly Rate 100% of 6760 USD in July, Project Corvette-PCIe 6.0
 Protocol Test Solution</t>
  </si>
  <si>
    <t>Services as agreed in attached Statement of Work, Exhibit A, SW Anil Nikhra, Monthly Rate 90% of 12000 USD in July, Project Corvette-PCIe 6.0
 Protocol Test Solution</t>
  </si>
  <si>
    <t>Services as agreed in attached Statement of Work, Exhibit A, HW Abishek Gupta, Monthly Rate 60% of 7000 USD in July, Project Corvette-PCIe 6.0
 Protocol Test Solution</t>
  </si>
  <si>
    <t>Services as agreed in attached Statement of Work, Exhibit A, SW Amritpreet Singh, Monthly Rate 100% of 8850 USD in July, Project Corvette-PCIe 6.0
 Protocol Test Solution</t>
  </si>
  <si>
    <t>Services as agreed in attached Statement of Work, Exhibit A, SW Kanak Lawaniyan, Monthly Rate 100% of 8300 USD in July, Project Corvette-PCIe 6.0
 Protocol Test Solution</t>
  </si>
  <si>
    <t>Services as agreed in attached Statement of Work, Exhibit A, QA Swarup Sahu, Monthly Rate 100% of 4200 USD in July, Project Corvette-PCIe 6.0
 Protocol Test Solution</t>
  </si>
  <si>
    <t>Services as agreed in attached Statement of Work, Exhibit A, SW Ashutosh Yadav, Monthly Rate 100% of 6760 USD in July, Project Corvette-PCIe 6.0
 Protocol Test Solution</t>
  </si>
  <si>
    <t>Services as agreed in attached Statement of Work, Exhibit A, FPGA Rishabh Gupta, Monthly Rate 90% of 5530 USD in July, Project Corvette-PCIe 6.0
 Protocol Test Solution</t>
  </si>
  <si>
    <t>Services as agreed in attached Statement of Work, Exhibit A, QA Aashish Palliwal, Monthly Rate 100% of 3000 USD in July, Project Corvette-PCIe 6.0
 Protocol Test Solution</t>
  </si>
  <si>
    <t>Services as agreed in attached Statement of Work, Exhibit A, SW Mourya Mithra Naramala, Monthly Rate 100% of 5800 USD in July, Project
 Corvette-PCIe 6.0 Protocol Test Solution</t>
  </si>
  <si>
    <t>Services as agreed in attached Statement of Work, Exhibit A, FPGA Karan Kumar, Monthly Rate 100% of 5530 USD in July, Project Corvette-PCIe 6.0
 Protocol Test Solution</t>
  </si>
  <si>
    <t>Services as agreed in attached Statement of Work, Exhibit A, QA Madhukar Manohar, Monthly Rate 75% of 5000 USD in July, Project Corvette-PCIe 6.0
 Protocol Test Solution</t>
  </si>
  <si>
    <t>Services as agreed in attached Statement of Work, Exhibit A, Additional costs, Project Corvette-PCIe 6.0 Protocol Test Solution</t>
  </si>
  <si>
    <t>16/12/2022</t>
  </si>
  <si>
    <t>Services as agreed in attached Statement of Work, Exhibit A, Milestone Analyzer x8 Gen5 design ported etc, Item #4 - Project Corvette - PCIe Gen6
 Protocol Test – Support Gen5 on Gen6 hardware &amp; Gen6 BIST support</t>
  </si>
  <si>
    <t>Services as agreed in attached Statement of Work, Exhibit A, FPGA Rajan Vivek Basant, Monthly Rate 100% of 5530 USD in Aug, Project
 Corvette-PCIe 6.0 Protocol Test Solution</t>
  </si>
  <si>
    <t>Services as agreed in attached Statement of Work, Exhibit A, SW Amritpreet Singh, Monthly Rate 100% of 8850 USD in Aug, Project Corvette-PCIe 6.0
 Protocol Test Solution</t>
  </si>
  <si>
    <t>Services as agreed in attached Statement of Work, Exhibit A, FPGA Rajan Pradeep Manikanta, Monthly Rate 100% of 5530 USD in Aug, Project
 Corvette-PCIe 6.0 Protocol Test Solution</t>
  </si>
  <si>
    <t>Services as agreed in attached Statement of Work, Exhibit A, SW Harpreet Singh, Monthly Rate 100% of 8850 USD in Aug, Project Corvette-PCIe 6.0
 Protocol Test Solution</t>
  </si>
  <si>
    <t>Services as agreed in attached Statement of Work, Exhibit A, SW Ashutosh Yadav, Monthly Rate 100% of 6760 USD in Aug, Project Corvette-PCIe 6.0
 Protocol Test Solution</t>
  </si>
  <si>
    <t>Services as agreed in attached Statement of Work, Exhibit A, SW Yogendra Kumar Pal, Monthly Rate 100% of 8850 USD in Aug, Project Corvette-PCIe
 6.0 Protocol Test Solution</t>
  </si>
  <si>
    <t>Services as agreed in attached Statement of Work, Exhibit A, QA Aashish Palliwal, Monthly Rate 100% of 3000 USD in Aug, Project Corvette-PCIe 6.0
 Protocol Test Solution</t>
  </si>
  <si>
    <t>Services as agreed in attached Statement of Work, Exhibit A, FPGA Rajan Kumar Sharma, Monthly Rate 100% of 5530 USD in Aug, Project
 Corvette-PCIe 6.0 Protocol Test Solution</t>
  </si>
  <si>
    <t>Services as agreed in attached Statement of Work, Exhibit A, QA Madhukar Manohar, Monthly Rate 75% of 5000 USD in Aug, Project Corvette-PCIe 6.0
 Protocol Test Solution</t>
  </si>
  <si>
    <t>Services as agreed in attached Statement of Work, Exhibit A, SW Anil Nikhra, Monthly Rate 90% of 12000 USD in Aug, Project Corvette-PCIe 6.0
 Protocol Test Solution</t>
  </si>
  <si>
    <t>Services as agreed in attached Statement of Work, Exhibit A, QA Jaison John, Monthly Rate 50% of 4200 USD in Aug, Project Corvette-PCIe 6.0
 Protocol Test Solution</t>
  </si>
  <si>
    <t>Services as agreed in attached Statement of Work, Exhibit A, HW Akash Jain, Monthly Rate 100% of 7000 USD in Aug, Project Corvette-PCIe 6.0
 Protocol Test Solution</t>
  </si>
  <si>
    <t>Services as agreed in attached Statement of Work, Exhibit A, SW Rupa Rani Saini, Monthly Rate 100% of 8850 USD in Aug, Project Corvette-PCIe 6.0
 Protocol Test Solution</t>
  </si>
  <si>
    <t>Services as agreed in attached Statement of Work, Exhibit A, QA Swarup Sahu, Monthly Rate 100% of 4200 USD in Aug, Project Corvette-PCIe 6.0
 Protocol Test Solution</t>
  </si>
  <si>
    <t>Services as agreed in attached Statement of Work, Exhibit A, HW Sagar Gupta, Monthly Rate 100% of 7000 USD in Aug, Project Corvette-PCIe 6.0
 Protocol Test Solution</t>
  </si>
  <si>
    <t>Services as agreed in attached Statement of Work, Exhibit A, HW Abishek Gupta, Monthly Rate 100% of 7000 USD in Aug, Project Corvette-PCIe 6.0
 Protocol Test Solution</t>
  </si>
  <si>
    <t>Services as agreed in attached Statement of Work, Exhibit A, FPGA Karan Kumar, Monthly Rate 100% of 5530 USD in Aug, Project Corvette-PCIe 6.0
 Protocol Test Solution</t>
  </si>
  <si>
    <t>Services as agreed in attached Statement of Work, Exhibit
 A, FPGA development services, Project Corvette-PCIe 6.0
 Protocol Test Solution-</t>
  </si>
  <si>
    <t>Services as agreed in attached Statement of Work, Exhibit A, SW Bhavesh Kumar Singh, Monthly Rate 100% of 6760 USD in Aug, Project
 Corvette-PCIe 6.0 Protocol Test Solution</t>
  </si>
  <si>
    <t>Services as agreed in attached Statement of Work, Exhibit A, FPGA Bala Tokala Murali, Monthly Rate 100% of 6900 USD in Aug, Project Corvette-PCIe
 6.0 Protocol Test Solution</t>
  </si>
  <si>
    <t>Services as agreed in attached Statement of Work, Exhibit A, SW Kanak Lawaniyan, Monthly Rate 100% of 8300 USD in Aug, Project Corvette-PCIe 6.0
 Protocol Test Solution</t>
  </si>
  <si>
    <t>Services as agreed in attached Statement of Work, Exhibit A, FPGA Rajan Rishabh Gupta, Monthly Rate 90% of 5530 USD in Aug, Project
 Corvette-PCIe 6.0 Protocol Test Solution</t>
  </si>
  <si>
    <t>Services as agreed in attached Statement of Work, Exhibit A, FPGA Raju Raj Purohit, Monthly Rate 100% of 5530 USD in Aug, Project Corvette-PCIe
 6.0 Protocol Test Solution</t>
  </si>
  <si>
    <t>Services as agreed in attached Statement of Work, Exhibit A, QA Saket Kumar, Monthly Rate 100% of 3000 USD in Aug, Project Corvette-PCIe 6.0
 Protocol Test Solution</t>
  </si>
  <si>
    <t>Services as agreed in attached Statement of Work, Exhibit A, SW Varun Pant, Monthly Rate 100% of 6760 USD in Aug, Project Corvette-PCIe 6.0
 Protocol Test Solution</t>
  </si>
  <si>
    <t>Services as agreed in attached Statement of Work, Exhibit A, FPGA Aditya Pathak, Monthly Rate 100% of 5530 USD in Aug, Project Corvette-PCIe 6.0
 Protocol Test Solution</t>
  </si>
  <si>
    <t>Services as agreed in attached Statement of Work, Exhibit A, FPGA Ashok Mandavali, Monthly Rate 100% of 6900 USD in Aug, Project Corvette-PCIe
 6.0 Protocol Test Solution</t>
  </si>
  <si>
    <t>Services as agreed in attached Statement of Work, Exhibit A, FPGA Vineet Goel, Monthly Rate 90% of 12000 USD in Aug, Project Corvette-PCIe 6.0
 Protocol Test Solution</t>
  </si>
  <si>
    <t>Services as agreed in attached Statement of Work, Exhibit A, SW Mourya Mithra Naramala, Monthly Rate 100% of 5800 USD in Aug, Project
 Corvette-PCIe 6.0 Protocol Test Solution</t>
  </si>
  <si>
    <t>Services as agreed in attached Statement of Work, Exhibit A, HW Prabhjot Kaur, Monthly Rate 100% of 6000 USD in Aug, Project Corvette-PCIe 6.0
 Protocol Test Solution</t>
  </si>
  <si>
    <t>Trade Royalty Report_ Logic fruit Technologies Pvt Ltd_Q3'23</t>
  </si>
  <si>
    <t>27/10/2023</t>
  </si>
  <si>
    <t>Gen6 AN Secondary Plate P5571-04101</t>
  </si>
  <si>
    <t>Shipping Charges</t>
  </si>
  <si>
    <t>Services as agreed in attached Statement of Work, Exhibit A, HW Akash Jain, Monthly Rate 100% of 7000 USD in Sept and Oct, Project Corvette-PCIe
 6.0 Protocol Test Solution</t>
  </si>
  <si>
    <t>Services as agreed in attached Statement of Work, Exhibit A, SW Varun Pant, Monthly Rate 100% of 6760 USD in Sept and Oct, Project Corvette-PCIe
 6.0 Protocol Test Solution</t>
  </si>
  <si>
    <t>Services as agreed in attached Statement of Work, Exhibit A, FPGA Raju Raj Purohit, Monthly Rate 100% of 5530 USD in Sept and Oct, Project
 Corvette-PCIe 6.0 Protocol Test Solution</t>
  </si>
  <si>
    <t>Services as agreed in attached Statement of Work, Exhibit A, SW Bhavesh Kumar Singh (Aug), Jonnalagadda Venkata Lokesh Sept, Monthly Rate
 100% of 6760 USD in Sept and Oct, Project Corvette-PCIe 6.0 Protocol Test Solution</t>
  </si>
  <si>
    <t>Services as agreed in attached Statement of Work, Exhibit A, FPGA Bala Tokala Murali, Monthly Rate 100% of 6900 USD in Sept and Oct, Project
 Corvette-PCIe 6.0 Protocol Test Solution</t>
  </si>
  <si>
    <t>Services as agreed in attached Statement of Work, Exhibit A, FPGA Pradeep Manikanta, Monthly Rate 100% of 5530 USD in Sept and Oct, Project
 Corvette-PCIe 6.0 Protocol Test Solution</t>
  </si>
  <si>
    <t>Services as agreed in attached Statement of Work, Exhibit A, QA Jaison John, Monthly Rate 50% of 4200 USD in Sept and Oct, Project Corvette-PCIe
 6.0 Protocol Test Solution</t>
  </si>
  <si>
    <t>Services as agreed in attached Statement of Work, Exhibit A, QA Madhukar Manohar, Monthly Rate 75% of 5000 USD in Sept and Oct, Project
 Corvette-PCIe 6.0 Protocol Test Solution</t>
  </si>
  <si>
    <t>Services as agreed in attached Statement of Work, Exhibit A, FPGA Ashok Mandavali (Aug), Apeksha Kamble (Sept), Monthly Rate 100% of 6900 USD
 in Sept and Oct, Project Corvette-PCIe 6.0 Protocol Test Solution</t>
  </si>
  <si>
    <t>Services as agreed in attached Statement of Work, Exhibit A, SW Yogendra Kumar Pal, Monthly Rate 100% of 8850 USD in Sept and Oct, Project
 Corvette-PCIe 6.0 Protocol Test Solution</t>
  </si>
  <si>
    <t>Services as agreed in attached Statement of Work, Exhibit A, HW Abishek Gupta, Monthly Rate 100% of 7000 USD in Sept and Oct, Project
 Corvette-PCIe 6.0 Protocol Test Solution</t>
  </si>
  <si>
    <t>Services as agreed in attached Statement of Work, Exhibit A, SW Harpreet Singh, Monthly Rate 100% of 8850 USD in Sept and Oct, Project
 Corvette-PCIe 6.0 Protocol Test Solution</t>
  </si>
  <si>
    <t>Services as agreed in attached Statement of Work, Exhibit A, FPGA Rishabh Gupta, Monthly Rate 100% of 5530 USD in Sept and Oct, Project
 Corvette-PCIe 6.0 Protocol Test Solution</t>
  </si>
  <si>
    <t>Services as agreed in attached Statement of Work, Exhibit A, SW Ashutosh Yadav, Monthly Rate 100% of 6760 USD in Sept and Oct, Project
 Corvette-PCIe 6.0 Protocol Test Solution</t>
  </si>
  <si>
    <t>Services as agreed in attached Statement of Work, Exhibit A, QA Swarup Sahu, Monthly Rate 100% of 4200 USD in Sept and Oct, Project
 Corvette-PCIe 6.0 Protocol Test Solution</t>
  </si>
  <si>
    <t>Services as agreed in attached Statement of Work, Exhibit A, SW Anil Nikhra, Monthly Rate 90% of 12000 USD in Sept and Oct, Project Corvette-PCIe 6.0 Protocol Test Solution</t>
  </si>
  <si>
    <t>Services as agreed in attached Statement of Work, Exhibit A, HW Sagar Gupta, Monthly Rate 100% of 7000 USD in Sept and Oct, Project Corvette-PCIe
 6.0 Protocol Test Solution</t>
  </si>
  <si>
    <t>Services as agreed in attached Statement of Work, Exhibit A, FPGA Vivek Basant, Monthly Rate 100% of 5530 USD in Sept and Oct, Project
 Corvette-PCIe 6.0 Protocol Test Solution</t>
  </si>
  <si>
    <t>Services as agreed in attached Statement of Work, Exhibit A, QA Aashish Palliwal, Monthly Rate 100% of 3000 USD in Sept and Oct, Project
 Corvette-PCIe 6.0 Protocol Test Solution</t>
  </si>
  <si>
    <t>Services as agreed in attached Statement of Work, Exhibit A, SW Kanak Lawaniyan, Monthly Rate 100% of 8300 USD in Sept and Oct, Project
 Corvette-PCIe 6.0 Protocol Test Solution</t>
  </si>
  <si>
    <t>Services as agreed in attached Statement of Work, Exhibit A, FPGA Rajan Kumar Sharma, Monthly Rate 100% of 5530 USD in Sept and Oct, Project
 Corvette-PCIe 6.0 Protocol Test Solution</t>
  </si>
  <si>
    <t>Services as agreed in attached Statement of Work, Exhibit A, FPGA Aditya Pathak, Monthly Rate 100% of 5530 USD in Sept and Oct, Project
 Corvette-PCIe 6.0 Protocol Test Solution</t>
  </si>
  <si>
    <t>Services as agreed in attached Statement of Work, Exhibit A, FPGA Vineet Goel, Monthly Rate 90% of 12000 USD in Sept and Oct, Project
 Corvette-PCIe 6.0 Protocol Test Solution</t>
  </si>
  <si>
    <t>Services as agreed in attached Statement of Work, Exhibit A, SW Mourya Mithra Naramala, Monthly Rate 100% of 5800 USD in Sept and Oct, Project
 Corvette-PCIe 6.0 Protocol Test Solution</t>
  </si>
  <si>
    <t>Services as agreed in attached Statement of Work, Exhibit A, FPGA Karan Kumar, Monthly Rate 100% of 5530 USD in Sept and Oct, Project
 Corvette-PCIe 6.0 Protocol Test Solution</t>
  </si>
  <si>
    <t>Services as agreed in attached Statement of Work, Exhibit A, SW Rupa Rani Saini, Monthly Rate 100% of 8850 USD in Sept and Oct, Project
 Corvette-PCIe 6.0 Protocol Test Solution</t>
  </si>
  <si>
    <t>Services as agreed in attached Statement of Work, Exhibit A, QA Saket Kumar, Monthly Rate 100% of 3000 USD in Sept and Oct, Project Corvette-PCIe
 6.0 Protocol Test Solution</t>
  </si>
  <si>
    <t>Services as agreed in attached Statement of Work, Exhibit A, SW Amritpreet Singh, Monthly Rate 100% of 8850 USD in Sept and Oct, Project
 Corvette-PCIe 6.0 Protocol Test Solution</t>
  </si>
  <si>
    <t>Services as agreed in attached Statement of Work, Exhibit A, HW Prabhjot Kaur, Monthly Rate 100% of 6000 USD in Sept and Oct, Project
 Corvette-PCIe 6.0 Protocol Test Solution</t>
  </si>
  <si>
    <t>Services as agreed in attached Statement of Work, Milestone fpga-MS1.1, Project Name: Cutter - PCIe Gen5 Link and Transaction Layer Protocol Test
 Card SW &amp; FPGA</t>
  </si>
  <si>
    <t>Keysight_PCIe_Gen5_Cutter_PTC_155</t>
  </si>
  <si>
    <t>Service and Engineering cost (LC1920EPRO (24V) and Spare Parts)</t>
  </si>
  <si>
    <t>Services as agreed in attached Statement of Work, Milestone fpga-MS1.2, Project Name: Cutter - PCIe Gen5 Link and Transaction Layer Protocol Test
 Card SW &amp; FPGA</t>
  </si>
  <si>
    <t>Services as agreed in attached Statement of Work, Milestone SW-MS1.1, Project Name: Cutter - PCIe Gen5 Link and Transaction Layer Protocol Test
 Card SW &amp; FPGA</t>
  </si>
  <si>
    <t>Trade Royalty Report_ Logic fruit Technologies Pvt Ltd_Q4'23</t>
  </si>
  <si>
    <t>27/09/2023</t>
  </si>
  <si>
    <t>Services as agreed in attached Statement of Work, Exhibit A, FPGA engineer Purnima Kumari Sharma, Monthly Rate 100% of 5530 USD in Oct, Project
 Corvette-PCIe 6.0 Protocol Test Solution</t>
  </si>
  <si>
    <t>Services as agreed in attached Statement of Work, Milestone TEFPGA-M1, Project Name: Schooner project CXL3 Analyzer &amp; Exerciser</t>
  </si>
  <si>
    <t>Keysight_CXL_3.0_Exercsier_146</t>
  </si>
  <si>
    <t>Services as agreed in attached Statement of Work, Milestone TAFPGA-M4, Project Name: Schooner project CXL3 Analyzer &amp; ExerciserSales -SERVICE-1</t>
  </si>
  <si>
    <t>Services as agreed in attached Statement of Work, Milestone TEFPGA-M6, Project Name: Schooner project CXL3 Analyzer &amp; Exerciser</t>
  </si>
  <si>
    <t>Services as agreed in attached Statement of Work, Milestone TAFPGA-M1, Project Name: Schooner project CXL3 Analyzer &amp; Exerciser</t>
  </si>
  <si>
    <t>Services as agreed in attached Statement of Work, Milestone TASW-M1, Project Name: Schooner project CXL3 Analyzer &amp; Exerciser</t>
  </si>
  <si>
    <t>Sales -SERVICE-1Services as agreed in attached Statement of Work, Milestone SW-MS1.2, Project Name: Cutter - PCIe Gen5 Link and Transaction Layer Protocol Test
 Card SW &amp; FPGA</t>
  </si>
  <si>
    <t>20/10/2023</t>
  </si>
  <si>
    <t>Services as agreed in attached Statement of Work, Exhibit A, QA Swarup Sahu, Monthly Rate 100% of 4200 USD in Nov 2023, Project Corvette-PCIe
 6.0 Protocol Test Solution</t>
  </si>
  <si>
    <t>Services as agreed in attached Statement of Work, Exhibit A, HW Engineer Abishek Gupta, Monthly Rate 100% of 7000 USD in Nov 2023, Project
 Corvette-PCIe 6.0 Protocol Test Solution</t>
  </si>
  <si>
    <t>Services as agreed in attached Statement of Work, Exhibit A, QA Saket Kumar, Monthly Rate 100% of 3000 USD in Nov 2023, Project Corvette-PCIe 6.0
 Protocol Test Solution</t>
  </si>
  <si>
    <t>Services as agreed in attached Statement of Work, Exhibit A, HW Engineer Prabhjot Kaur, Monthly Rate 100% of 6000 USD in Nov 2023, Project
 Corvette-PCIe 6.0 Protocol Test Solution</t>
  </si>
  <si>
    <t>Services as agreed in attached Statement of Work, Exhibit A, SW Anil Nikhra, Monthly Rate 90% of 12000 USD in Nov 2023, Project Corvette-PCIe 6.0</t>
  </si>
  <si>
    <t>Services as agreed in attached Statement of Work, Exhibit A, FPGA Rishabh Gupta, Monthly Rate 100% of 5530 USD in Nov 2023, Project
 Corvette-PCIe 6.0 Protocol Test Solution</t>
  </si>
  <si>
    <t>Services as agreed in attached Statement of Work, Exhibit A, QA Madhukar Manohar, Monthly Rate 75% of 5000 USD in Nov 2023, Project
 Corvette-PCIe 6.0 Protocol Test Solution</t>
  </si>
  <si>
    <t>Services as agreed in attached Statement of Work, Exhibit A, FPGA Aditya Pathak, Monthly Rate 100% of 5530 USD in Nov 2023, Project Corvette-PCIe
 6.0 Protocol Test Solution</t>
  </si>
  <si>
    <t>Services as agreed in attached Statement of Work, Exhibit A, FPGA Raju Raj Purohit, Monthly Rate 100% of 5530 USD in Nov 2023, Project
 Corvette-PCIe 6.0 Protocol Test Solution</t>
  </si>
  <si>
    <t>Services as agreed in attached Statement of Work, Exhibit A, SW Yogendra Kumar Pal, Monthly Rate 100% of 8850 USD in Nov 2023, Project
 Corvette-PCIe 6.0 Protocol Test Solution</t>
  </si>
  <si>
    <t>Services as agreed in attached Statement of Work, Exhibit A, FPGA Karan Kumar, Monthly Rate 100% of 5530 USD in Nov 2023, Project Corvette-PCIe
 6.0 Protocol Test Solution</t>
  </si>
  <si>
    <t>Services as agreed in attached Statement of Work, Exhibit A, SW Mourya Mithra Naramala, Monthly Rate 100% of 5800 USD in Nov 2023, Project
 Corvette-PCIe 6.0 Protocol Test Solution</t>
  </si>
  <si>
    <t>Services as agreed in attached Statement of Work, Exhibit A, FPGA Vivek Basant, Monthly Rate 100% of 5530 USD in Nov 2023, Project Corvette-PCIe
 6.0 Protocol Test Solution</t>
  </si>
  <si>
    <t>Services as agreed in attached Statement of Work, Exhibit A, SW Varun Pant, Monthly Rate 100% of 6760 USD in Nov 2023, Project Corvette-PCIe 6.0
 Protocol Test Solution</t>
  </si>
  <si>
    <t>Services as agreed in attached Statement of Work, Exhibit A, QA Jaison John, Monthly Rate 50% of 4200 USD in Nov 2023, Project Corvette-PCIe 6.0
 Protocol Test Solution</t>
  </si>
  <si>
    <t>Services as agreed in attached Statement of Work, Exhibit A, QA Aashish Palliwal, Monthly Rate 100% of 3000 USD in Nov 2023, Project Corvette-PCIe
 6.0 Protocol Test Solution</t>
  </si>
  <si>
    <t>Services as agreed in attached Statement of Work, Exhibit A, SW Amritpreet Singh, Monthly Rate 100% of 8850 USD in Nov 2023, Project
 Corvette-PCIe 6.0 Protocol Test Solution</t>
  </si>
  <si>
    <t>Services as agreed in attached Statement of Work, Exhibit A, FPGA Engineer Vineet Goel, Monthly Rate 90% of 12000 USD in Nov 2023, Project
 Corvette-PCIe 6.0 Protocol Test Solution</t>
  </si>
  <si>
    <t>Services as agreed in attached Statement of Work, Exhibit A, HW Engineer Sagar Gupta, Monthly Rate 100% of 7000 USD in Nov 2023, Project
 Corvette-PCIe 6.0 Protocol Test Solution</t>
  </si>
  <si>
    <t>Services as agreed in attached Statement of Work, Exhibit A, SW Rupa Rani Saini, Monthly Rate 100% of 8850 USD in Nov 2023, Project Corvette-PCIe
 6.0 Protocol Test Solution</t>
  </si>
  <si>
    <t>Services as agreed in attached Statement of Work, Exhibit A, FPGA Apeksha Kamble, Monthly Rate 100% of 6900 USD in Nov 2023, Project
 Corvette-PCIe 6.0 Protocol Test Solution</t>
  </si>
  <si>
    <t>Services as agreed in attached Statement of Work, Exhibit A, SW Kanak Lawaniyan, Monthly Rate 100% of 8300 USD in Nov 2023, Project
 Corvette-PCIe 6.0 Protocol Test Solution</t>
  </si>
  <si>
    <t>Services as agreed in attached Statement of Work, Exhibit A, SW Harpreet Singh, Monthly Rate 100% of 8850 USD in Nov 2023, Project Corvette-PCIe
 6.0 Protocol Test Solution</t>
  </si>
  <si>
    <t>Services as agreed in attached Statement of Work, Exhibit A, SW Jonnalagadda Venkata Lokesh, Monthly Rate 100% of 6760 USD in Nov 2023, Project
 Corvette-PCIe 6.0 Protocol Test Solution</t>
  </si>
  <si>
    <t>Services as agreed in attached Statement of Work, Exhibit A, FPGA Rajan Kumar Sharma, Monthly Rate 100% of 5530 USD in Nov 2023, Project
 Corvette-PCIe 6.0 Protocol Test Solution</t>
  </si>
  <si>
    <t>Services as agreed in attached Statement of Work, Exhibit A, HW Engineer Akash Jain, Monthly Rate 100% of 7000 USD in Nov 2023, Project
 Corvette-PCIe 6.0 Protocol Test Solution</t>
  </si>
  <si>
    <t>Services as agreed in attached Statement of Work, Exhibit A, SW Ashutosh Yadav, Monthly Rate 100% of 6760 USD in Nov 2023, Project Corvette-PCIe
 6.0 Protocol Test Solution</t>
  </si>
  <si>
    <t>Services as agreed in attached Statement of Work, Exhibit A, FPGA Bala Tokala Murali, Monthly Rate 100% of 6900 USD in Nov 2023, Project
 Corvette-PCIe 6.0 Protocol Test Solution</t>
  </si>
  <si>
    <t>Services as agreed in attached Statement of Work, Exhibit A, FPGA Pradeep Manikanta, Monthly Rate 100% of 5530 USD in Nov 2023, Project
 Corvette-PCIe 6.0 Protocol Test Solution</t>
  </si>
  <si>
    <t>Services as agreed in attached Statement of Work, Milestone fpga-MS1.5, Project Name: Cutter - PCIe Gen5 Link and Transaction Layer Protocol Test
 Card SW &amp; FPGA</t>
  </si>
  <si>
    <t>Services as agreed in attached Statement of Work, Milestone TESW-M1, Project Name: Schooner project CXL3 Analyzer &amp; Exerciser</t>
  </si>
  <si>
    <t>Services as agreed in attached Statement of Work, Milestone TASW-M3, Project Name: Schooner project CXL3 Analyzer &amp; Exerciser</t>
  </si>
  <si>
    <t>Services as agreed in attached Statement of Work, Milestone TASW-M2, Project Name: Schooner project CXL3 Analyzer &amp; Exerciser</t>
  </si>
  <si>
    <t>Services as agreed in attached Statement of Work, Milestone TESW-M2, Project Name: Schooner project CXL3 Analyzer &amp; Exerciser</t>
  </si>
  <si>
    <t>Services as agreed in attached Statement of Work, Milestone TESW-M3, Project Name: Schooner project CXL3 Analyzer &amp; Exerciser</t>
  </si>
  <si>
    <t>Services as agreed in attached Statement of Work, Milestone TESW-M4, Project Name: Schooner project CXL3 Analyzer &amp; Exerciser</t>
  </si>
  <si>
    <t>Services as agreed in attached Statement of Work, Milestone fpga-MS1.6, Project Name: Cutter - PCIe Gen5 Link and Transaction Layer Protocol Test
 Card SW &amp; FPGA</t>
  </si>
  <si>
    <t>Projected Revenue</t>
  </si>
  <si>
    <t>Services as agreed in attached Statement of Work, Exhibit A, FPGA Aditya Pathak, Monthly Rate 100% of 5530 USD in Nov 2023, Project Corvette-PCIe 6.0 Protocol Test Solution</t>
  </si>
  <si>
    <t>Services as agreed in attached Statement of Work, Exhibit A, FPGA Apeksha Kamble, Monthly Rate 100% of 6900 USD in Nov 2023, Project Corvette-PCIe 6.0 Protocol Test Solution</t>
  </si>
  <si>
    <t>Services as agreed in attached Statement of Work, Exhibit A, FPGA Bala Tokala Murali, Monthly Rate 100% of 6900 USD in Nov 2023, Project Corvette-PCIe 6.0 Protocol Test Solution</t>
  </si>
  <si>
    <t>Services as agreed in attached Statement of Work, Exhibit A, FPGA Engineer Vineet Goel, Monthly Rate 90% of 12000 USD in Nov 2023, Project Corvette-PCIe 6.0 Protocol Test Solution</t>
  </si>
  <si>
    <t>Services as agreed in attached Statement of Work, Exhibit A, FPGA Karan Kumar, Monthly Rate 100% of 5530 USD in Nov 2023, Project Corvette-PCIe 6.0 Protocol Test Solution</t>
  </si>
  <si>
    <t>Services as agreed in attached Statement of Work, Exhibit A, FPGA Pradeep Manikanta, Monthly Rate 100% of 5530 USD in Nov 2023, Project Corvette-PCIe 6.0 Protocol Test Solution</t>
  </si>
  <si>
    <t>Services as agreed in attached Statement of Work, Exhibit A, FPGA Rajan Kumar Sharma, Monthly Rate 100% of 5530 USD in Nov 2023, Project Corvette-PCIe 6.0 Protocol Test Solution</t>
  </si>
  <si>
    <t>Services as agreed in attached Statement of Work, Exhibit A, FPGA Raju Raj Purohit, Monthly Rate 100% of 5530 USD in Nov 2023, Project Corvette-PCIe 6.0 Protocol Test Solution</t>
  </si>
  <si>
    <t>Services as agreed in attached Statement of Work, Exhibit A, FPGA Rishabh Gupta, Monthly Rate 100% of 5530 USD in Nov 2023, Project Corvette-PCIe 6.0 Protocol Test Solution</t>
  </si>
  <si>
    <t>Services as agreed in attached Statement of Work, Exhibit A, FPGA Vivek Basant, Monthly Rate 100% of 5530 USD in Nov 2023, Project Corvette-PCIe 6.0 Protocol Test Solution</t>
  </si>
  <si>
    <t>Services as agreed in attached Statement of Work, Exhibit A, HW Engineer Abishek Gupta, Monthly Rate 100% of 7000 USD in Nov 2023, Project Corvette-PCIe 6.0 Protocol Test Solution</t>
  </si>
  <si>
    <t>Services as agreed in attached Statement of Work, Exhibit A, HW Engineer Prabhjot Kaur, Monthly Rate 100% of 6000 USD in Nov 2023, Project Corvette-PCIe 6.0 Protocol Test Solution</t>
  </si>
  <si>
    <t>Services as agreed in attached Statement of Work, Exhibit A, HW Engineer Sagar Gupta, Monthly Rate 100% of 7000 USD in Nov 2023, Project</t>
  </si>
  <si>
    <t>Services as agreed in attached Statement of Work, Exhibit A, QA Aashish Palliwal, Monthly Rate 100% of 3000 USD in Nov 2023, Project Corvette-PCIe 6.0 Protocol Test Solution</t>
  </si>
  <si>
    <t>Services as agreed in attached Statement of Work, Exhibit A, QA Jaison John, Monthly Rate 50% of 4200 USD in Nov 2023, Project Corvette-PCIe 6.0 Protocol Test Solution</t>
  </si>
  <si>
    <t>Services as agreed in attached Statement of Work, Exhibit A, QA Madhukar Manohar, Monthly Rate 75% of 5000 USD in Nov 2023, Project Corvette-PCIe 6.0 Protocol Test Solution</t>
  </si>
  <si>
    <t>Services as agreed in attached Statement of Work, Exhibit A, QA Saket Kumar, Monthly Rate 100% of 3000 USD in Nov 2023, Project Corvette-PCIe 6.0 Protocol Test Solution</t>
  </si>
  <si>
    <t>Services as agreed in attached Statement of Work, Exhibit A, QA Swarup Sahu, Monthly Rate 100% of 4200 USD in Nov 2023, Project Corvette-PCIe 6.0 Protocol Test Solution</t>
  </si>
  <si>
    <t>Services as agreed in attached Statement of Work, Exhibit A, SW Amritpreet Singh, Monthly Rate 100% of 8850 USD in Nov 2023, Project Corvette-PCIe 6.0 Protocol Test Solution</t>
  </si>
  <si>
    <t>Services as agreed in attached Statement of Work, Exhibit A, SW Anil Nikhra, Monthly Rate 90% of 12000 USD in Nov 2023, Project Corvette-PCIe 6.0 Protocol Test Solution</t>
  </si>
  <si>
    <t>Services as agreed in attached Statement of Work, Exhibit A, SW Ashutosh Yadav, Monthly Rate 100% of 6760 USD in Nov 2023, Project Corvette-PCIe 6.0 Protocol Test Solution</t>
  </si>
  <si>
    <t>Services as agreed in attached Statement of Work, Exhibit A, SW Harpreet Singh, Monthly Rate 100% of 8850 USD in Nov 2023, Project Corvette-PCIe 6.0 Protocol Test Solution</t>
  </si>
  <si>
    <t>Services as agreed in attached Statement of Work, Exhibit A, SW Jonnalagadda Venkata Lokesh, Monthly Rate 100% of 6760 USD in Nov 2023, Project Corvette-PCIe 6.0 Protocol Test Solution</t>
  </si>
  <si>
    <t>Services as agreed in attached Statement of Work, Exhibit A, SW Kanak Lawaniyan, Monthly Rate 100% of 8300 USD in Nov 2023, Project Corvette-PCIe 6.0 Protocol Test Solution</t>
  </si>
  <si>
    <t>Services as agreed in attached Statement of Work, Exhibit A, SW Mourya Mithra Naramala, Monthly Rate 100% of 5800 USD in Nov 2023, Project Corvette-PCIe 6.0 Protocol Test Solution</t>
  </si>
  <si>
    <t>Services as agreed in attached Statement of Work, Exhibit A, SW Rupa Rani Saini, Monthly Rate 100% of 8850 USD in Nov 2023, Project Corvette-PCIe 6.0 Protocol Test Solution</t>
  </si>
  <si>
    <t>Services as agreed in attached Statement of Work, Exhibit A, SW Varun Pant, Monthly Rate 100% of 6760 USD in Nov 2023, Project Corvette-PCIe 6.0 Protocol Test Solution</t>
  </si>
  <si>
    <t>Services as agreed in attached Statement of Work, Exhibit A, SW Yogendra Kumar Pal, Monthly Rate 100% of 8850 USD in Nov 2023, Project Corvette-PCIe 6.0 Protocol Test Solution</t>
  </si>
  <si>
    <t>Services as agreed in attached Statement of Work, Exhibit A, HW Engineer Akash Jain, Monthly Rate 100% of 7000 USD in Nov 2023, Project Corvette-PCIe 6.0 Protocol Test Solution</t>
  </si>
  <si>
    <t>Services as agreed in attached Statement of Work, Milestone fpga-MS1.7, Project Name: Cutter - PCIe Gen5 Link and Transaction Layer Protocol Test</t>
  </si>
  <si>
    <t>Services as agreed in attached Statement of Work, Milestone fpga-MS1.11, Project Name: Cutter - PCIe Gen5 Link and Transaction Layer Protocol Test</t>
  </si>
  <si>
    <t>Services as agreed in attached Statement of Work, Milestone fpga-MS1.8, Project Name: Cutter - PCIe Gen5 Link and Transaction Layer Protocol Test</t>
  </si>
  <si>
    <t>Services as agreed in attached Statement of Work, Milestone fpga-MS1.9, Project Name: Cutter - PCIe Gen5 Link and Transaction Layer Protocol Test</t>
  </si>
  <si>
    <t>Services as agreed in attached Statement of Work, Milestone fpga-MS1.10, Project Name: Cutter - PCIe Gen5 Link and Transaction Layer Protocol Test</t>
  </si>
  <si>
    <t>Services as agreed in attached Statement of Work, Milestone SW-MS1.4, Project Name: Cutter - PCIe Gen5 Link and Transaction Layer Protocol Test</t>
  </si>
  <si>
    <t>Services as agreed in attached Statement of Work, Milestone SW-MS1.3, Project Name: Cutter - PCIe Gen5 Link and Transaction Layer Protocol Test</t>
  </si>
  <si>
    <t>Services as agreed in attached Statement of Work, Milestone SW-MS1.5, Project Name: Cutter - PCIe Gen5 Link and Transaction Layer Protocol Test</t>
  </si>
  <si>
    <t>Services as agreed in attached Statement of Work, Milestone SW-MS1.6, Project Name: Cutter - PCIe Gen5 Link and Transaction Layer Protocol Test</t>
  </si>
  <si>
    <t>Services as agreed in attached Statement of Work, Milestone SW-MS1.7, Project Name: Cutter - PCIe Gen5 Link and Transaction Layer Protocol Test</t>
  </si>
  <si>
    <t>Services as agreed in attached Statement of Work, Milestone SW-MS1.9, Project Name: Cutter - PCIe Gen5 Link and Transaction Layer Protocol Test</t>
  </si>
  <si>
    <t>Services as agreed in attached Statement of Work, Milestone TEFPGA-M2, Project Name: Schooner project CXL3 Analyzer &amp; Exerciser</t>
  </si>
  <si>
    <t>Services as agreed in attached Statement of Work, Milestone TEFPGA-M5, Project Name: Schooner project CXL3 Analyzer &amp; Exerciser</t>
  </si>
  <si>
    <t>Services as agreed in attached Statement of Work, Milestone TEFPGA-M3, Project Name: Schooner project CXL3 Analyzer &amp; Exerciser</t>
  </si>
  <si>
    <t>Services as agreed in attached Statement of Work, Milestone TAFPGA-M2, Project Name: Schooner project CXL3 Analyzer &amp; Exerciser</t>
  </si>
  <si>
    <t>Keysight_CXL_3.0_Analyzer_147</t>
  </si>
  <si>
    <t>Services as agreed in attached Statement of Work, Milestone TAFPGA-M5, Project Name: Schooner project CXL3 Analyzer &amp; Exerciser</t>
  </si>
  <si>
    <t>Services as agreed in attached Statement of Work, Milestone TAFPGA-M3, Project Name: Schooner project CXL3 Analyzer &amp; Exerciser</t>
  </si>
  <si>
    <t>Services as agreed in attached Statement of Work, Milestone TAFPGA-M6, Project Name: Schooner project CXL3 Analyzer &amp; Exerciser</t>
  </si>
  <si>
    <t>As Per SOW</t>
  </si>
  <si>
    <t>CXL Exerciser Testing Complete phase2(CXL1.1/2.0/Switch DuTs with IO&amp;Cache&amp;Mem)</t>
  </si>
  <si>
    <t>Testing Complete Phase2 CXL1.1/2.0/Switch DuTs  with IO&amp;Cache&amp;Mem</t>
  </si>
  <si>
    <t>CXL Analyzer Testing Complete phase2 (captures &amp; upload CXL1.1/2.0 IO ,Cache&amp;MemData with HW search &amp;Filter)</t>
  </si>
  <si>
    <t>Keysight_CXL_2.0_Analyzer_145</t>
  </si>
  <si>
    <t>CXL Analyzer Testing Complete phase2 (captures &amp; upload CXL1.1/2.0 IO ,Cache&amp;Mem Data with HW search &amp; Filter)</t>
  </si>
  <si>
    <t>Exerciser (gen5 design ported. All  Gen5 SHP2 (shpcode base till 31Dec) featuresworking on Gen6HW at Gen5 rate.) -QA done</t>
  </si>
  <si>
    <t>Keysight_Corvette_Gen5_Porting_On_Gen6_HW_160</t>
  </si>
  <si>
    <t>Analyzer x8 (gen5 design ported. All Gen5 SHP features working on Gen6 HW at Gen5 rate.) - QA done</t>
  </si>
  <si>
    <t>Final acceptance of complete milestone list (30% of total contract value)</t>
  </si>
  <si>
    <t>As PER RTS Sheet</t>
  </si>
  <si>
    <t>As PER RTS Sheet(Royalty)</t>
  </si>
  <si>
    <t>Default SW Implementation Deliverables (TESW-M8)</t>
  </si>
  <si>
    <t>Default SW Implementation Deliverables (TASW-M4)</t>
  </si>
  <si>
    <t>Default SW Implementation Deliverables (TESW-M6)</t>
  </si>
  <si>
    <t>Default SW Implementation Deliverables (TASW-M3)</t>
  </si>
  <si>
    <t>Default SW Testing Deliverables (TASW-M6)</t>
  </si>
  <si>
    <t>Default FPGA Implementation Deliverables (TEFPGA-M7)</t>
  </si>
  <si>
    <t>Default SW Implementation Deliverables (TESW-M9)</t>
  </si>
  <si>
    <t>Default SW Implementation Deliverables(TESW-M12)</t>
  </si>
  <si>
    <t>Default SW Implementation Deliverables(TESW-M13)</t>
  </si>
  <si>
    <t>Default SW Implementation Deliverables(TESW-M14)</t>
  </si>
  <si>
    <t>Default FPGA Implementation Deliverables(TAFPGA-M7)</t>
  </si>
  <si>
    <t>Default SW Implementation Deliverables (TASW-M5)</t>
  </si>
  <si>
    <t>Default SW Implementation Deliverables (TASW-M8)</t>
  </si>
  <si>
    <t>Default SW Testing Deliverables(TASW-M12)</t>
  </si>
  <si>
    <t>Total</t>
  </si>
  <si>
    <t>Up To Dec Revenue</t>
  </si>
  <si>
    <t>As Per RTS</t>
  </si>
  <si>
    <t>Diff</t>
  </si>
  <si>
    <t>SUM of SW Revenue</t>
  </si>
  <si>
    <t>SUM of FPGA Revenue</t>
  </si>
  <si>
    <t>SUM of HW Revenue</t>
  </si>
  <si>
    <t>SUM of QA Revenue</t>
  </si>
  <si>
    <t>Grand Total</t>
  </si>
  <si>
    <t>P&amp;L</t>
  </si>
  <si>
    <t>Service Delivery Cost</t>
  </si>
  <si>
    <t>Owner :- Shashank</t>
  </si>
  <si>
    <t>Sr.No</t>
  </si>
  <si>
    <t>PO Number</t>
  </si>
  <si>
    <t>Plan FY 23-24 (Amt in $)</t>
  </si>
  <si>
    <t>Plan FY 23-24 (Amt in INR)</t>
  </si>
  <si>
    <t>PO Description</t>
  </si>
  <si>
    <t>Project Code as per ERP</t>
  </si>
  <si>
    <t>Project Code as per EOS</t>
  </si>
  <si>
    <t>Hardware Work %</t>
  </si>
  <si>
    <t>Logic Fruit = to deliver GSRD and Automate 3.1 solution stack in 2023 for $270K. SH</t>
  </si>
  <si>
    <t>CUS0138_Lattice_Automate_Stack_3.1</t>
  </si>
  <si>
    <t>Lattice_Automate_Stack_3.1_138</t>
  </si>
  <si>
    <t>14/04/2023</t>
  </si>
  <si>
    <t>Apps Automate Solution stack LFT resources</t>
  </si>
  <si>
    <t>CUS0106_Lattice APPS Support</t>
  </si>
  <si>
    <t>Lattice_APPS_Support_T&amp;M_106</t>
  </si>
  <si>
    <t>LFT contractors for IP enablement 2023</t>
  </si>
  <si>
    <t>26/04/2023</t>
  </si>
  <si>
    <t>Logic Fruit = Contractor will provide Logic Design &amp; Verification resources on a time &amp; material basis to assist the Lattice team in the execution of tasks on various projects from April 2023 to Dec 2023 for $384,000.00 HS</t>
  </si>
  <si>
    <t>CUS0121_Lattice_T&amp;M, CUS0130_Lattice_RCS</t>
  </si>
  <si>
    <t>Lattice_IP_Design_&amp;_Verification_T&amp;M_121 , Lattice_RCS_T&amp;M_130</t>
  </si>
  <si>
    <t>Logic Fruit = Embedded PTP project for ORAN stack V1.1. This project requires 12-man month w/ estimated cost of $72K.</t>
  </si>
  <si>
    <t>CUS0132_Embedded_PTP_Stack</t>
  </si>
  <si>
    <t>Lattice_Embedded_PTP_Stack_132</t>
  </si>
  <si>
    <t>Logic Fruit = to Acquire UDP338K and Display Port IPs from Logic-Fruit, for a total of 338K (divided into 30K+308K)-HS</t>
  </si>
  <si>
    <t>CUS099_Lattice_DP_2.0</t>
  </si>
  <si>
    <t>Lattice_Display_Port_2.0_IP_099</t>
  </si>
  <si>
    <t>26/05/2023</t>
  </si>
  <si>
    <t>PCIe Example design in Simulation for Crosslink- NX and Certus-NX</t>
  </si>
  <si>
    <t>CUS0122_Lattice_IP_Trunkey</t>
  </si>
  <si>
    <t>Lattice_IP_Turnkey_Mode_122</t>
  </si>
  <si>
    <t>Logic Fruit = To create a reference design (RD) and a demo for DisplayPort in Video Scaler DisplayPort out functionality using Lattice DisplayPort and Video Scaler IPs for $60K. BM</t>
  </si>
  <si>
    <t>Logic Fruit = Contractor(s) will provide Logic Design &amp; Verif resources to assist the Lattice team in the execution of Logic Design &amp; Verification tasks on various projects, for the dev of I3C, QSPI, AXI4, Memory Soft IPs for total of $288K</t>
  </si>
  <si>
    <t>It is marge with CUS0121_Lattice_T&amp;M</t>
  </si>
  <si>
    <t>Lattice_IP_Design_&amp;_Verification_T&amp;M_121</t>
  </si>
  <si>
    <t>19/01/2023</t>
  </si>
  <si>
    <t>Logic Fruit= for the development of Avant Soft IP requried for Propel and Customer ask for $432 K</t>
  </si>
  <si>
    <t>21/02/2023</t>
  </si>
  <si>
    <t>Logic Fruit = to deliver a USB example design which meets Lattice provided spec including design, verification &amp; HW validation completed for a total of $252K SLY</t>
  </si>
  <si>
    <t>CUS0129_Lattice_USB_Example_Design</t>
  </si>
  <si>
    <t>Lattice_USB_Example_Design_129</t>
  </si>
  <si>
    <t>16/10/2023</t>
  </si>
  <si>
    <t>Logic Fruit = to improve the quality of SW drivers for $18K from 09-01-23 to 12-31-23 for the 2nd SOW. SH</t>
  </si>
  <si>
    <t>CUS0148_Lattice_BSP_Support_T&amp;M</t>
  </si>
  <si>
    <t>Lattice_BSP_Support_T&amp;M_148</t>
  </si>
  <si>
    <t>Logic Fruit = to develop drivers for Soft IP for $96K from 09-01-23 to 12-31-23 for SOW1_SH</t>
  </si>
  <si>
    <t>CUS0149_Lattice_BSP_development</t>
  </si>
  <si>
    <t>Lattice_BSP_Development_149</t>
  </si>
  <si>
    <t>19/09/2023</t>
  </si>
  <si>
    <t>Logic Fruit Technologies To create MIPI to HDMI reference design and demonstration system for mVision 4.0 for a total cost of $60,000.00 BM</t>
  </si>
  <si>
    <t>CUS0153_Lattice_MIPI_HDMI_RD</t>
  </si>
  <si>
    <t>Lattice_MIPI_To_HDMI_Reference_Design_153</t>
  </si>
  <si>
    <t>24/10/2023</t>
  </si>
  <si>
    <t>Logic Fruit : Deliver JESD204B IP for a total of $100k</t>
  </si>
  <si>
    <t>CUS0141_Lattice_JESD204B_IP</t>
  </si>
  <si>
    <t>Lattice_JESD204B_IP_141</t>
  </si>
  <si>
    <t>27/11/2023</t>
  </si>
  <si>
    <t>Logic Fruit Technologies = to develop, implement &amp; validate Rapid Context Switching (RCS) version 2 system for $36000.00 BM</t>
  </si>
  <si>
    <t>CUS0166_Lattice_RCS_V2</t>
  </si>
  <si>
    <t>Lattice_RCS_V2_166</t>
  </si>
  <si>
    <t>Remarks</t>
  </si>
  <si>
    <t>FPFA Revenue</t>
  </si>
  <si>
    <t>HW Revnue</t>
  </si>
  <si>
    <t>22/06/2023</t>
  </si>
  <si>
    <t>Milestone Fees</t>
  </si>
  <si>
    <t>Frontgrade_BRAM_and_PCIe_Testing_1422</t>
  </si>
  <si>
    <t>NA</t>
  </si>
  <si>
    <t>Microxlab_Cytox_Phase3_116</t>
  </si>
  <si>
    <t>Confirm by Akash</t>
  </si>
  <si>
    <t>27/03/2023</t>
  </si>
  <si>
    <t>PO202300246</t>
  </si>
  <si>
    <t>FPGA) Interface project (FPGA Turnkey Project)</t>
  </si>
  <si>
    <t>Stryker_QT_Support_T&amp;M_139</t>
  </si>
  <si>
    <t>PO202300516</t>
  </si>
  <si>
    <t>Software Devlopment Services</t>
  </si>
  <si>
    <t>Prject</t>
  </si>
  <si>
    <t>Xilinx_Smart_NIC_Card_T&amp;M_088</t>
  </si>
  <si>
    <t>SUM of FPFA Revenue</t>
  </si>
  <si>
    <t>SUM of HW Revnue</t>
  </si>
  <si>
    <t>CASDIC/24AT0005/EWA/GC/MMD</t>
  </si>
  <si>
    <t>Supply of SVPSM CARD</t>
  </si>
  <si>
    <t>CASDIC_Lab_STANAG_Video_Switching_Unit_Version2_150</t>
  </si>
  <si>
    <t>Devlopment &amp; Software SVOSM Card</t>
  </si>
  <si>
    <t>GEM/2023/B/3569218</t>
  </si>
  <si>
    <t>Image HD Imaging Module (Q3)</t>
  </si>
  <si>
    <t>IRDE_Video_Processing_for_Thermal_Imager_v2_163</t>
  </si>
  <si>
    <t>17/08/2023</t>
  </si>
  <si>
    <t>LRDE/D-FMM/PUR/LP/2023-24/LOI/007</t>
  </si>
  <si>
    <t>Embedded Processing System (EPS) firmware</t>
  </si>
  <si>
    <t>LRDE_EPS_Firmware_Development_154</t>
  </si>
  <si>
    <t>13/06/2023</t>
  </si>
  <si>
    <t>SI/050/02/50/2023-24</t>
  </si>
  <si>
    <t xml:space="preserve">Design &amp; Devlopment of FPGA MPSOC BASED I/O SOLUTIONS FOR AVIONIC INTERFACE </t>
  </si>
  <si>
    <t>WESEE_Lab_MPSOC_Based_Product_137</t>
  </si>
  <si>
    <t>TOTAL</t>
  </si>
  <si>
    <t>Project</t>
  </si>
  <si>
    <t>21/12/2022</t>
  </si>
  <si>
    <t>2 lead engineer, 1 designer and 2 DV engineer</t>
  </si>
  <si>
    <t>CUS0127_Credo_odc</t>
  </si>
  <si>
    <t>Credo_PCIe_Retimer_T&amp;M_127</t>
  </si>
  <si>
    <t>24/05/2023</t>
  </si>
  <si>
    <t>Deliv. date Day 15 Jun 2023</t>
  </si>
  <si>
    <t>CUS0136_Collins_nvme</t>
  </si>
  <si>
    <t>Collins_PCIe_NVMe_Bridge_Solution_136</t>
  </si>
  <si>
    <t>Deliv. date Day 01 Oct 2023</t>
  </si>
  <si>
    <t>Deliv. date Day 01 Sep 2023</t>
  </si>
  <si>
    <t>16/08/2023</t>
  </si>
  <si>
    <t>PO-03422</t>
  </si>
  <si>
    <t>Milestone1-FPGA and software Design document</t>
  </si>
  <si>
    <t>Achronix_PCIe_Root_Port_Demo_140</t>
  </si>
  <si>
    <t>Milestone 2-Integration of PCIe hard IP with RISC</t>
  </si>
  <si>
    <t>Milestone 3-Communication of MCU with host PC working through USB-UART</t>
  </si>
  <si>
    <t>Milestone 4-Firmware development with PCIe drivers and for UART interface</t>
  </si>
  <si>
    <t>Milestone 5-Config read write and memory read write working on HW through MCU</t>
  </si>
  <si>
    <t>Milestone 6-Firmware development with PCIe drivers and for UART interface</t>
  </si>
  <si>
    <t>Milestone 7-Firmware Integration. GUI Integration &amp; testing. On board testing for main</t>
  </si>
  <si>
    <t>Milestone 8- QA testing and bug fixing. Build release</t>
  </si>
  <si>
    <t>SOW</t>
  </si>
  <si>
    <t>Milestone 1a</t>
  </si>
  <si>
    <t>Milestone 1b</t>
  </si>
  <si>
    <t>Milestone 1c</t>
  </si>
  <si>
    <t>Milestone 2a</t>
  </si>
  <si>
    <t>Milestone 2b</t>
  </si>
  <si>
    <t>13/082023</t>
  </si>
  <si>
    <t>GEM/2023/B/3763591</t>
  </si>
  <si>
    <t>ARINC 818 Analyzer</t>
  </si>
  <si>
    <t>ARINC_HAL_0151</t>
  </si>
  <si>
    <t>26/08/2023</t>
  </si>
  <si>
    <t>GEM/2023/B/3422450</t>
  </si>
  <si>
    <t>LFT ARINC 818 IP CORE</t>
  </si>
  <si>
    <t>HAL_ARINC818_Analyzer_162</t>
  </si>
  <si>
    <t>Video IP Core Porting And Integration</t>
  </si>
  <si>
    <t>GEM/2023/B/3347949</t>
  </si>
  <si>
    <t>ARINC818 VideoProtocolAnalyzerwithconverters&amp;Displ</t>
  </si>
  <si>
    <t>LRDE_ARINC_BASED_PRODUCTS_143</t>
  </si>
  <si>
    <t>PO2305000427</t>
  </si>
  <si>
    <t>ARI NC-818 Tx I P</t>
  </si>
  <si>
    <t>STD_Korea_ARINC_IP_152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</si>
</sst>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/dd/yyyy"/>
    <numFmt numFmtId="165" formatCode="#,##0;(#,##0)"/>
    <numFmt numFmtId="166" formatCode="_(* #,##0.00_);_(* \(#,##0.00\);_(* &quot;-&quot;??_);_(@_)"/>
    <numFmt numFmtId="167" formatCode="_(* #,##0_);_(* \(#,##0\);_(* &quot;-&quot;??_);_(@_)"/>
    <numFmt numFmtId="168" formatCode="_ * #,##0.00_ ;_ * \-#,##0.00_ ;_ * &quot;-&quot;??_ ;_ @_ "/>
    <numFmt numFmtId="169" formatCode="[$₹]#,##0"/>
  </numFmts>
  <fonts count="19">
    <font>
      <sz val="11.0"/>
      <color theme="1"/>
      <name val="Calibri"/>
      <scheme val="minor"/>
    </font>
    <font>
      <sz val="10.0"/>
      <color theme="1"/>
      <name val="Calibri"/>
      <scheme val="minor"/>
    </font>
    <font>
      <b/>
      <sz val="10.0"/>
      <color theme="1"/>
      <name val="Calibri"/>
      <scheme val="minor"/>
    </font>
    <font>
      <b/>
      <sz val="10.0"/>
      <color rgb="FF000000"/>
      <name val="Calibri"/>
      <scheme val="minor"/>
    </font>
    <font>
      <b/>
      <color theme="1"/>
      <name val="Calibri"/>
      <scheme val="minor"/>
    </font>
    <font>
      <sz val="10.0"/>
      <color rgb="FF000000"/>
      <name val="Calibri"/>
      <scheme val="minor"/>
    </font>
    <font>
      <color rgb="FF000000"/>
      <name val="Docs-Calibri"/>
    </font>
    <font>
      <sz val="11.0"/>
      <color rgb="FF000000"/>
      <name val="Calibri"/>
    </font>
    <font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color theme="1"/>
      <name val="Calibri"/>
      <scheme val="minor"/>
    </font>
    <font>
      <sz val="10.0"/>
      <color rgb="FFFF0000"/>
      <name val="Calibri"/>
      <scheme val="minor"/>
    </font>
    <font>
      <b/>
      <sz val="11.0"/>
      <color rgb="FF000000"/>
      <name val="Calibri"/>
    </font>
    <font>
      <b/>
      <u/>
      <sz val="11.0"/>
      <color rgb="FF000000"/>
      <name val="Calibri"/>
    </font>
    <font>
      <b/>
      <sz val="16.0"/>
      <color rgb="FF000000"/>
      <name val="Calibri"/>
    </font>
    <font>
      <sz val="11.0"/>
      <color theme="1"/>
      <name val="Arial"/>
    </font>
    <font>
      <b/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shrinkToFit="0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horizontal="right" readingOrder="0" shrinkToFit="0" wrapText="0"/>
    </xf>
    <xf borderId="1" fillId="0" fontId="5" numFmtId="0" xfId="0" applyAlignment="1" applyBorder="1" applyFont="1">
      <alignment readingOrder="0" shrinkToFit="0" vertical="bottom" wrapText="0"/>
    </xf>
    <xf borderId="1" fillId="2" fontId="5" numFmtId="0" xfId="0" applyAlignment="1" applyBorder="1" applyFill="1" applyFont="1">
      <alignment horizontal="left" readingOrder="0" shrinkToFit="0" wrapText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1" numFmtId="0" xfId="0" applyBorder="1" applyFont="1"/>
    <xf borderId="0" fillId="2" fontId="6" numFmtId="0" xfId="0" applyAlignment="1" applyFont="1">
      <alignment horizontal="left" readingOrder="0"/>
    </xf>
    <xf borderId="1" fillId="0" fontId="5" numFmtId="0" xfId="0" applyAlignment="1" applyBorder="1" applyFont="1">
      <alignment readingOrder="0" shrinkToFit="0" vertical="bottom" wrapText="0"/>
    </xf>
    <xf borderId="1" fillId="2" fontId="5" numFmtId="0" xfId="0" applyAlignment="1" applyBorder="1" applyFont="1">
      <alignment horizontal="right" readingOrder="0" shrinkToFit="0" wrapText="0"/>
    </xf>
    <xf borderId="1" fillId="2" fontId="5" numFmtId="0" xfId="0" applyAlignment="1" applyBorder="1" applyFont="1">
      <alignment horizontal="left" readingOrder="0" shrinkToFit="0" wrapText="0"/>
    </xf>
    <xf borderId="1" fillId="0" fontId="1" numFmtId="0" xfId="0" applyBorder="1" applyFont="1"/>
    <xf borderId="1" fillId="2" fontId="5" numFmtId="14" xfId="0" applyAlignment="1" applyBorder="1" applyFont="1" applyNumberFormat="1">
      <alignment horizontal="right" readingOrder="0" shrinkToFit="0" wrapText="0"/>
    </xf>
    <xf borderId="1" fillId="2" fontId="5" numFmtId="0" xfId="0" applyAlignment="1" applyBorder="1" applyFont="1">
      <alignment horizontal="right" shrinkToFit="0" wrapText="0"/>
    </xf>
    <xf borderId="1" fillId="2" fontId="5" numFmtId="14" xfId="0" applyAlignment="1" applyBorder="1" applyFont="1" applyNumberFormat="1">
      <alignment horizontal="right" shrinkToFit="0" wrapText="0"/>
    </xf>
    <xf borderId="1" fillId="3" fontId="5" numFmtId="0" xfId="0" applyAlignment="1" applyBorder="1" applyFill="1" applyFont="1">
      <alignment horizontal="left" readingOrder="0" shrinkToFit="0" wrapText="0"/>
    </xf>
    <xf borderId="0" fillId="3" fontId="1" numFmtId="0" xfId="0" applyFont="1"/>
    <xf borderId="1" fillId="3" fontId="1" numFmtId="0" xfId="0" applyAlignment="1" applyBorder="1" applyFont="1">
      <alignment horizontal="right" readingOrder="0"/>
    </xf>
    <xf borderId="1" fillId="3" fontId="7" numFmtId="0" xfId="0" applyAlignment="1" applyBorder="1" applyFont="1">
      <alignment readingOrder="0" shrinkToFit="0" vertical="bottom" wrapText="0"/>
    </xf>
    <xf borderId="1" fillId="3" fontId="1" numFmtId="0" xfId="0" applyAlignment="1" applyBorder="1" applyFont="1">
      <alignment readingOrder="0" shrinkToFit="0" wrapText="0"/>
    </xf>
    <xf borderId="1" fillId="3" fontId="7" numFmtId="0" xfId="0" applyAlignment="1" applyBorder="1" applyFont="1">
      <alignment horizontal="right" readingOrder="0" shrinkToFit="0" vertical="bottom" wrapText="0"/>
    </xf>
    <xf borderId="1" fillId="3" fontId="5" numFmtId="0" xfId="0" applyAlignment="1" applyBorder="1" applyFont="1">
      <alignment horizontal="right" readingOrder="0"/>
    </xf>
    <xf borderId="1" fillId="3" fontId="1" numFmtId="0" xfId="0" applyBorder="1" applyFont="1"/>
    <xf borderId="1" fillId="3" fontId="5" numFmtId="0" xfId="0" applyAlignment="1" applyBorder="1" applyFont="1">
      <alignment horizontal="right" readingOrder="0" shrinkToFit="0" vertical="bottom" wrapText="0"/>
    </xf>
    <xf borderId="2" fillId="3" fontId="7" numFmtId="0" xfId="0" applyAlignment="1" applyBorder="1" applyFont="1">
      <alignment readingOrder="0" shrinkToFit="0" vertical="bottom" wrapText="0"/>
    </xf>
    <xf borderId="2" fillId="3" fontId="7" numFmtId="0" xfId="0" applyAlignment="1" applyBorder="1" applyFont="1">
      <alignment horizontal="right" readingOrder="0" shrinkToFit="0" vertical="bottom" wrapText="0"/>
    </xf>
    <xf borderId="1" fillId="3" fontId="1" numFmtId="164" xfId="0" applyAlignment="1" applyBorder="1" applyFont="1" applyNumberFormat="1">
      <alignment horizontal="right" readingOrder="0"/>
    </xf>
    <xf borderId="1" fillId="3" fontId="1" numFmtId="0" xfId="0" applyAlignment="1" applyBorder="1" applyFont="1">
      <alignment readingOrder="0"/>
    </xf>
    <xf borderId="1" fillId="3" fontId="5" numFmtId="0" xfId="0" applyAlignment="1" applyBorder="1" applyFont="1">
      <alignment horizontal="right" readingOrder="0" shrinkToFit="0" wrapText="0"/>
    </xf>
    <xf borderId="1" fillId="3" fontId="1" numFmtId="0" xfId="0" applyAlignment="1" applyBorder="1" applyFont="1">
      <alignment horizontal="right"/>
    </xf>
    <xf borderId="1" fillId="3" fontId="1" numFmtId="14" xfId="0" applyAlignment="1" applyBorder="1" applyFont="1" applyNumberFormat="1">
      <alignment horizontal="right"/>
    </xf>
    <xf borderId="1" fillId="3" fontId="5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right" readingOrder="0" shrinkToFit="0" wrapText="0"/>
    </xf>
    <xf borderId="0" fillId="0" fontId="1" numFmtId="165" xfId="0" applyFont="1" applyNumberFormat="1"/>
    <xf borderId="0" fillId="0" fontId="1" numFmtId="3" xfId="0" applyAlignment="1" applyFont="1" applyNumberFormat="1">
      <alignment readingOrder="0"/>
    </xf>
    <xf borderId="0" fillId="0" fontId="1" numFmtId="4" xfId="0" applyFont="1" applyNumberFormat="1"/>
    <xf borderId="0" fillId="0" fontId="1" numFmtId="0" xfId="0" applyAlignment="1" applyFont="1">
      <alignment horizontal="right" shrinkToFit="0" wrapText="1"/>
    </xf>
    <xf borderId="0" fillId="0" fontId="1" numFmtId="3" xfId="0" applyAlignment="1" applyFont="1" applyNumberFormat="1">
      <alignment shrinkToFit="0" wrapText="0"/>
    </xf>
    <xf borderId="0" fillId="0" fontId="1" numFmtId="3" xfId="0" applyFont="1" applyNumberFormat="1"/>
    <xf borderId="0" fillId="0" fontId="9" numFmtId="0" xfId="0" applyAlignment="1" applyFont="1">
      <alignment horizontal="center" vertical="bottom"/>
    </xf>
    <xf borderId="0" fillId="0" fontId="1" numFmtId="10" xfId="0" applyFont="1" applyNumberFormat="1"/>
    <xf borderId="3" fillId="0" fontId="10" numFmtId="0" xfId="0" applyAlignment="1" applyBorder="1" applyFont="1">
      <alignment horizontal="center" vertical="bottom"/>
    </xf>
    <xf borderId="4" fillId="0" fontId="11" numFmtId="0" xfId="0" applyBorder="1" applyFont="1"/>
    <xf borderId="5" fillId="0" fontId="11" numFmtId="0" xfId="0" applyBorder="1" applyFont="1"/>
    <xf borderId="1" fillId="0" fontId="10" numFmtId="0" xfId="0" applyAlignment="1" applyBorder="1" applyFont="1">
      <alignment horizontal="center" shrinkToFit="0" wrapText="1"/>
    </xf>
    <xf borderId="1" fillId="0" fontId="9" numFmtId="0" xfId="0" applyAlignment="1" applyBorder="1" applyFont="1">
      <alignment vertical="bottom"/>
    </xf>
    <xf borderId="1" fillId="0" fontId="9" numFmtId="166" xfId="0" applyAlignment="1" applyBorder="1" applyFont="1" applyNumberFormat="1">
      <alignment horizontal="right" vertical="bottom"/>
    </xf>
    <xf borderId="1" fillId="0" fontId="9" numFmtId="167" xfId="0" applyAlignment="1" applyBorder="1" applyFont="1" applyNumberFormat="1">
      <alignment horizontal="right" vertical="bottom"/>
    </xf>
    <xf borderId="1" fillId="0" fontId="9" numFmtId="10" xfId="0" applyAlignment="1" applyBorder="1" applyFont="1" applyNumberFormat="1">
      <alignment horizontal="right" vertical="bottom"/>
    </xf>
    <xf borderId="0" fillId="0" fontId="12" numFmtId="0" xfId="0" applyFont="1"/>
    <xf borderId="0" fillId="0" fontId="13" numFmtId="10" xfId="0" applyFont="1" applyNumberFormat="1"/>
    <xf borderId="0" fillId="0" fontId="1" numFmtId="166" xfId="0" applyFont="1" applyNumberFormat="1"/>
    <xf borderId="2" fillId="0" fontId="9" numFmtId="0" xfId="0" applyAlignment="1" applyBorder="1" applyFont="1">
      <alignment vertical="bottom"/>
    </xf>
    <xf borderId="6" fillId="0" fontId="9" numFmtId="10" xfId="0" applyAlignment="1" applyBorder="1" applyFont="1" applyNumberFormat="1">
      <alignment vertical="bottom"/>
    </xf>
    <xf borderId="6" fillId="0" fontId="9" numFmtId="166" xfId="0" applyAlignment="1" applyBorder="1" applyFont="1" applyNumberFormat="1">
      <alignment vertical="bottom"/>
    </xf>
    <xf borderId="6" fillId="0" fontId="9" numFmtId="166" xfId="0" applyAlignment="1" applyBorder="1" applyFont="1" applyNumberFormat="1">
      <alignment horizontal="right" vertical="bottom"/>
    </xf>
    <xf borderId="7" fillId="0" fontId="9" numFmtId="0" xfId="0" applyAlignment="1" applyBorder="1" applyFont="1">
      <alignment horizontal="center" vertical="bottom"/>
    </xf>
    <xf borderId="8" fillId="0" fontId="11" numFmtId="0" xfId="0" applyBorder="1" applyFont="1"/>
    <xf borderId="6" fillId="0" fontId="11" numFmtId="0" xfId="0" applyBorder="1" applyFont="1"/>
    <xf borderId="2" fillId="0" fontId="10" numFmtId="0" xfId="0" applyAlignment="1" applyBorder="1" applyFont="1">
      <alignment horizontal="center" shrinkToFit="0" wrapText="1"/>
    </xf>
    <xf borderId="6" fillId="0" fontId="10" numFmtId="0" xfId="0" applyAlignment="1" applyBorder="1" applyFont="1">
      <alignment horizontal="center" shrinkToFit="0" wrapText="1"/>
    </xf>
    <xf borderId="6" fillId="0" fontId="10" numFmtId="3" xfId="0" applyAlignment="1" applyBorder="1" applyFont="1" applyNumberFormat="1">
      <alignment horizontal="center" shrinkToFit="0" wrapText="1"/>
    </xf>
    <xf borderId="6" fillId="0" fontId="9" numFmtId="0" xfId="0" applyAlignment="1" applyBorder="1" applyFont="1">
      <alignment vertical="bottom"/>
    </xf>
    <xf borderId="6" fillId="0" fontId="9" numFmtId="167" xfId="0" applyAlignment="1" applyBorder="1" applyFont="1" applyNumberFormat="1">
      <alignment horizontal="right" vertical="bottom"/>
    </xf>
    <xf borderId="6" fillId="0" fontId="9" numFmtId="10" xfId="0" applyAlignment="1" applyBorder="1" applyFont="1" applyNumberFormat="1">
      <alignment horizontal="right" vertical="bottom"/>
    </xf>
    <xf borderId="0" fillId="0" fontId="1" numFmtId="168" xfId="0" applyFont="1" applyNumberFormat="1"/>
    <xf borderId="0" fillId="0" fontId="12" numFmtId="0" xfId="0" applyAlignment="1" applyFont="1">
      <alignment readingOrder="0"/>
    </xf>
    <xf borderId="0" fillId="0" fontId="14" numFmtId="0" xfId="0" applyAlignment="1" applyFont="1">
      <alignment readingOrder="0" shrinkToFit="0" vertical="bottom" wrapText="0"/>
    </xf>
    <xf borderId="1" fillId="0" fontId="15" numFmtId="0" xfId="0" applyAlignment="1" applyBorder="1" applyFont="1">
      <alignment readingOrder="0" shrinkToFit="0" vertical="bottom" wrapText="0"/>
    </xf>
    <xf borderId="1" fillId="0" fontId="14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7" numFmtId="164" xfId="0" applyAlignment="1" applyBorder="1" applyFont="1" applyNumberFormat="1">
      <alignment horizontal="right" readingOrder="0" shrinkToFit="0" vertical="bottom" wrapText="0"/>
    </xf>
    <xf borderId="1" fillId="0" fontId="7" numFmtId="0" xfId="0" applyAlignment="1" applyBorder="1" applyFont="1">
      <alignment horizontal="right" readingOrder="0" shrinkToFit="0" wrapText="0"/>
    </xf>
    <xf borderId="1" fillId="0" fontId="7" numFmtId="3" xfId="0" applyAlignment="1" applyBorder="1" applyFont="1" applyNumberFormat="1">
      <alignment horizontal="right" readingOrder="0" shrinkToFit="0" wrapText="0"/>
    </xf>
    <xf borderId="1" fillId="0" fontId="7" numFmtId="0" xfId="0" applyAlignment="1" applyBorder="1" applyFont="1">
      <alignment readingOrder="0" shrinkToFit="0" vertical="center" wrapText="0"/>
    </xf>
    <xf borderId="1" fillId="0" fontId="7" numFmtId="0" xfId="0" applyAlignment="1" applyBorder="1" applyFont="1">
      <alignment readingOrder="0" shrinkToFit="0" vertical="bottom" wrapText="0"/>
    </xf>
    <xf borderId="1" fillId="2" fontId="9" numFmtId="0" xfId="0" applyAlignment="1" applyBorder="1" applyFont="1">
      <alignment readingOrder="0"/>
    </xf>
    <xf borderId="1" fillId="0" fontId="12" numFmtId="3" xfId="0" applyBorder="1" applyFont="1" applyNumberFormat="1"/>
    <xf borderId="0" fillId="0" fontId="7" numFmtId="0" xfId="0" applyAlignment="1" applyFont="1">
      <alignment shrinkToFit="0" vertical="bottom" wrapText="0"/>
    </xf>
    <xf borderId="0" fillId="0" fontId="16" numFmtId="3" xfId="0" applyAlignment="1" applyFont="1" applyNumberFormat="1">
      <alignment horizontal="right" readingOrder="0"/>
    </xf>
    <xf borderId="0" fillId="0" fontId="12" numFmtId="3" xfId="0" applyFont="1" applyNumberFormat="1"/>
    <xf borderId="1" fillId="0" fontId="12" numFmtId="0" xfId="0" applyAlignment="1" applyBorder="1" applyFont="1">
      <alignment readingOrder="0"/>
    </xf>
    <xf borderId="1" fillId="0" fontId="12" numFmtId="0" xfId="0" applyBorder="1" applyFont="1"/>
    <xf borderId="1" fillId="0" fontId="7" numFmtId="0" xfId="0" applyBorder="1" applyFont="1"/>
    <xf borderId="1" fillId="0" fontId="12" numFmtId="164" xfId="0" applyAlignment="1" applyBorder="1" applyFont="1" applyNumberFormat="1">
      <alignment readingOrder="0"/>
    </xf>
    <xf borderId="1" fillId="0" fontId="4" numFmtId="0" xfId="0" applyBorder="1" applyFont="1"/>
    <xf borderId="1" fillId="0" fontId="17" numFmtId="169" xfId="0" applyAlignment="1" applyBorder="1" applyFont="1" applyNumberFormat="1">
      <alignment readingOrder="0" vertical="center"/>
    </xf>
    <xf borderId="1" fillId="0" fontId="9" numFmtId="0" xfId="0" applyBorder="1" applyFont="1"/>
    <xf borderId="1" fillId="0" fontId="17" numFmtId="169" xfId="0" applyBorder="1" applyFont="1" applyNumberFormat="1"/>
    <xf borderId="1" fillId="0" fontId="10" numFmtId="0" xfId="0" applyAlignment="1" applyBorder="1" applyFont="1">
      <alignment vertical="bottom"/>
    </xf>
    <xf borderId="5" fillId="0" fontId="10" numFmtId="0" xfId="0" applyAlignment="1" applyBorder="1" applyFont="1">
      <alignment vertical="bottom"/>
    </xf>
    <xf borderId="9" fillId="0" fontId="17" numFmtId="169" xfId="0" applyAlignment="1" applyBorder="1" applyFont="1" applyNumberFormat="1">
      <alignment readingOrder="0" vertical="center"/>
    </xf>
    <xf borderId="1" fillId="0" fontId="18" numFmtId="0" xfId="0" applyBorder="1" applyFont="1"/>
    <xf borderId="9" fillId="0" fontId="12" numFmtId="3" xfId="0" applyBorder="1" applyFont="1" applyNumberFormat="1"/>
    <xf borderId="10" fillId="0" fontId="11" numFmtId="0" xfId="0" applyBorder="1" applyFont="1"/>
    <xf borderId="2" fillId="0" fontId="11" numFmtId="0" xfId="0" applyBorder="1" applyFont="1"/>
    <xf borderId="1" fillId="0" fontId="12" numFmtId="1" xfId="0" applyAlignment="1" applyBorder="1" applyFont="1" applyNumberFormat="1">
      <alignment readingOrder="0"/>
    </xf>
    <xf borderId="1" fillId="0" fontId="12" numFmtId="1" xfId="0" applyAlignment="1" applyBorder="1" applyFont="1" applyNumberFormat="1">
      <alignment horizontal="center" readingOrder="0" vertical="center"/>
    </xf>
    <xf borderId="1" fillId="0" fontId="12" numFmtId="0" xfId="0" applyAlignment="1" applyBorder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1" xfId="0" applyFont="1" applyNumberFormat="1"/>
    <xf borderId="0" fillId="0" fontId="4" numFmtId="1" xfId="0" applyAlignment="1" applyFont="1" applyNumberFormat="1">
      <alignment horizontal="center"/>
    </xf>
    <xf borderId="1" fillId="0" fontId="4" numFmtId="3" xfId="0" applyBorder="1" applyFont="1" applyNumberFormat="1"/>
    <xf borderId="1" fillId="0" fontId="12" numFmtId="164" xfId="0" applyAlignment="1" applyBorder="1" applyFont="1" applyNumberFormat="1">
      <alignment horizontal="left" readingOrder="0"/>
    </xf>
    <xf borderId="0" fillId="0" fontId="4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M11:P16" sheet="Private"/>
  </cacheSource>
  <cacheFields>
    <cacheField name="Prject" numFmtId="0">
      <sharedItems>
        <s v="Frontgrade_BRAM_and_PCIe_Testing_1422"/>
        <s v="Microxlab_Cytox_Phase3_116"/>
        <s v="Stryker_QT_Support_T&amp;M_139"/>
        <s v="Xilinx_Smart_NIC_Card_T&amp;M_088"/>
      </sharedItems>
    </cacheField>
    <cacheField name="SW Revenue" numFmtId="0">
      <sharedItems containsSemiMixedTypes="0" containsString="0" containsNumber="1" containsInteger="1">
        <n v="0.0"/>
        <n v="693000.0"/>
        <n v="1500000.0"/>
      </sharedItems>
    </cacheField>
    <cacheField name="FPFA Revenue" numFmtId="0">
      <sharedItems containsSemiMixedTypes="0" containsString="0" containsNumber="1" containsInteger="1">
        <n v="1732500.0"/>
        <n v="519750.0"/>
        <n v="1300000.0"/>
        <n v="0.0"/>
        <n v="1359318.0"/>
      </sharedItems>
    </cacheField>
    <cacheField name="HW Revnue" numFmtId="0">
      <sharedItems containsSemiMixedTypes="0" containsString="0" containsNumber="1" containsInteger="1">
        <n v="0.0"/>
        <n v="51975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ivate" cacheId="0" dataCaption="" compact="0" compactData="0">
  <location ref="M19:P24" firstHeaderRow="0" firstDataRow="2" firstDataCol="0"/>
  <pivotFields>
    <pivotField name="Prject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SW Revenue" dataField="1" compact="0" outline="0" multipleItemSelectionAllowed="1" showAll="0">
      <items>
        <item x="0"/>
        <item x="1"/>
        <item x="2"/>
        <item t="default"/>
      </items>
    </pivotField>
    <pivotField name="FPFA Revenu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W Revnue" dataField="1" compact="0" outline="0" multipleItemSelectionAllowed="1" showAll="0">
      <items>
        <item x="0"/>
        <item x="1"/>
        <item t="default"/>
      </items>
    </pivotField>
  </pivotFields>
  <rowFields>
    <field x="0"/>
  </rowFields>
  <colFields>
    <field x="-2"/>
  </colFields>
  <dataFields>
    <dataField name="SUM of SW Revenue" fld="1" baseField="0"/>
    <dataField name="SUM of FPFA Revenue" fld="2" baseField="0"/>
    <dataField name="SUM of HW Revnue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r.no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hyperlink" Target="http://sr.no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r.no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r.no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sr.no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sr.no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sr.no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sr.no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8.71"/>
    <col customWidth="1" min="2" max="2" width="11.14"/>
    <col customWidth="1" min="3" max="3" width="19.14"/>
    <col customWidth="1" min="4" max="4" width="54.57"/>
    <col customWidth="1" min="5" max="5" width="42.71"/>
    <col customWidth="1" min="6" max="6" width="10.57"/>
    <col customWidth="1" min="7" max="7" width="15.0"/>
    <col customWidth="1" hidden="1" min="8" max="8" width="25.43"/>
    <col customWidth="1" min="9" max="9" width="13.14"/>
    <col customWidth="1" min="10" max="10" width="14.71"/>
    <col customWidth="1" min="11" max="11" width="13.43"/>
    <col customWidth="1" min="12" max="12" width="13.86"/>
    <col customWidth="1" hidden="1" min="13" max="13" width="8.71"/>
    <col customWidth="1" min="14" max="14" width="12.0"/>
    <col customWidth="1" min="15" max="15" width="13.86"/>
    <col customWidth="1" min="16" max="16" width="12.29"/>
    <col customWidth="1" min="17" max="17" width="11.86"/>
    <col customWidth="1" min="18" max="18" width="10.71"/>
    <col customWidth="1" min="19" max="109" width="8.71"/>
  </cols>
  <sheetData>
    <row r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</row>
    <row r="2">
      <c r="A2" s="4"/>
      <c r="B2" s="2"/>
      <c r="C2" s="2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</row>
    <row r="3">
      <c r="A3" s="4"/>
      <c r="B3" s="2"/>
      <c r="C3" s="2" t="s">
        <v>1</v>
      </c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</row>
    <row r="4">
      <c r="A4" s="4"/>
      <c r="B4" s="2"/>
      <c r="C4" s="2" t="s">
        <v>2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</row>
    <row r="5">
      <c r="A5" s="4"/>
      <c r="B5" s="2"/>
      <c r="C5" s="2" t="s">
        <v>3</v>
      </c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</row>
    <row r="6">
      <c r="A6" s="4"/>
      <c r="B6" s="2"/>
      <c r="C6" s="5" t="s">
        <v>4</v>
      </c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</row>
    <row r="7">
      <c r="A7" s="6"/>
      <c r="B7" s="7" t="s">
        <v>5</v>
      </c>
      <c r="C7" s="7" t="s">
        <v>6</v>
      </c>
      <c r="D7" s="8" t="s">
        <v>7</v>
      </c>
      <c r="E7" s="7" t="s">
        <v>8</v>
      </c>
      <c r="F7" s="7" t="s">
        <v>9</v>
      </c>
      <c r="G7" s="7" t="s">
        <v>10</v>
      </c>
      <c r="H7" s="7" t="s">
        <v>11</v>
      </c>
      <c r="I7" s="9" t="s">
        <v>12</v>
      </c>
      <c r="J7" s="9" t="s">
        <v>13</v>
      </c>
      <c r="K7" s="9" t="s">
        <v>14</v>
      </c>
      <c r="L7" s="9" t="s">
        <v>15</v>
      </c>
      <c r="M7" s="6"/>
      <c r="N7" s="10" t="s">
        <v>16</v>
      </c>
      <c r="O7" s="10" t="s">
        <v>17</v>
      </c>
      <c r="P7" s="10" t="s">
        <v>18</v>
      </c>
      <c r="Q7" s="10" t="s">
        <v>19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</row>
    <row r="8">
      <c r="A8" s="4"/>
      <c r="B8" s="11">
        <v>9.062047194E9</v>
      </c>
      <c r="C8" s="11" t="s">
        <v>20</v>
      </c>
      <c r="D8" s="12" t="s">
        <v>21</v>
      </c>
      <c r="E8" s="13" t="s">
        <v>22</v>
      </c>
      <c r="F8" s="11">
        <v>220.0</v>
      </c>
      <c r="G8" s="11">
        <v>17996.0</v>
      </c>
      <c r="H8" s="14" t="s">
        <v>3</v>
      </c>
      <c r="I8" s="15">
        <v>100.0</v>
      </c>
      <c r="J8" s="16"/>
      <c r="K8" s="16"/>
      <c r="L8" s="16"/>
      <c r="M8" s="4">
        <f t="shared" ref="M8:M316" si="1">SUM(I8:L8)</f>
        <v>100</v>
      </c>
      <c r="N8" s="17">
        <f t="shared" ref="N8:N447" si="2">G8*I8%</f>
        <v>17996</v>
      </c>
      <c r="O8" s="17">
        <f t="shared" ref="O8:O447" si="3">G8*J8%</f>
        <v>0</v>
      </c>
      <c r="P8" s="17">
        <f t="shared" ref="P8:P447" si="4">G8*K8%</f>
        <v>0</v>
      </c>
      <c r="Q8" s="17">
        <f t="shared" ref="Q8:Q447" si="5">G8*L8%</f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</row>
    <row r="9">
      <c r="A9" s="4"/>
      <c r="B9" s="11">
        <v>9.062047194E9</v>
      </c>
      <c r="C9" s="11" t="s">
        <v>20</v>
      </c>
      <c r="D9" s="12" t="s">
        <v>23</v>
      </c>
      <c r="E9" s="18" t="s">
        <v>22</v>
      </c>
      <c r="F9" s="11">
        <v>660.0</v>
      </c>
      <c r="G9" s="11">
        <v>53988.0</v>
      </c>
      <c r="H9" s="14" t="s">
        <v>3</v>
      </c>
      <c r="I9" s="15"/>
      <c r="J9" s="19">
        <v>100.0</v>
      </c>
      <c r="K9" s="16"/>
      <c r="L9" s="16"/>
      <c r="M9" s="4">
        <f t="shared" si="1"/>
        <v>100</v>
      </c>
      <c r="N9" s="17">
        <f t="shared" si="2"/>
        <v>0</v>
      </c>
      <c r="O9" s="17">
        <f t="shared" si="3"/>
        <v>53988</v>
      </c>
      <c r="P9" s="17">
        <f t="shared" si="4"/>
        <v>0</v>
      </c>
      <c r="Q9" s="17">
        <f t="shared" si="5"/>
        <v>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</row>
    <row r="10">
      <c r="A10" s="4"/>
      <c r="B10" s="11">
        <v>9.062047194E9</v>
      </c>
      <c r="C10" s="11" t="s">
        <v>20</v>
      </c>
      <c r="D10" s="12" t="s">
        <v>24</v>
      </c>
      <c r="E10" s="13" t="s">
        <v>22</v>
      </c>
      <c r="F10" s="11">
        <v>683.0</v>
      </c>
      <c r="G10" s="11">
        <v>55869.4</v>
      </c>
      <c r="H10" s="14" t="s">
        <v>3</v>
      </c>
      <c r="I10" s="15"/>
      <c r="J10" s="19">
        <v>100.0</v>
      </c>
      <c r="K10" s="16"/>
      <c r="L10" s="16"/>
      <c r="M10" s="4">
        <f t="shared" si="1"/>
        <v>100</v>
      </c>
      <c r="N10" s="17">
        <f t="shared" si="2"/>
        <v>0</v>
      </c>
      <c r="O10" s="17">
        <f t="shared" si="3"/>
        <v>55869.4</v>
      </c>
      <c r="P10" s="17">
        <f t="shared" si="4"/>
        <v>0</v>
      </c>
      <c r="Q10" s="17">
        <f t="shared" si="5"/>
        <v>0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</row>
    <row r="11">
      <c r="A11" s="4"/>
      <c r="B11" s="11">
        <v>9.062047194E9</v>
      </c>
      <c r="C11" s="11" t="s">
        <v>20</v>
      </c>
      <c r="D11" s="12" t="s">
        <v>25</v>
      </c>
      <c r="E11" s="13" t="s">
        <v>22</v>
      </c>
      <c r="F11" s="11">
        <v>300.0</v>
      </c>
      <c r="G11" s="11">
        <v>24540.0</v>
      </c>
      <c r="H11" s="14" t="s">
        <v>3</v>
      </c>
      <c r="I11" s="15">
        <v>100.0</v>
      </c>
      <c r="J11" s="16"/>
      <c r="K11" s="16"/>
      <c r="L11" s="16"/>
      <c r="M11" s="4">
        <f t="shared" si="1"/>
        <v>100</v>
      </c>
      <c r="N11" s="17">
        <f t="shared" si="2"/>
        <v>24540</v>
      </c>
      <c r="O11" s="17">
        <f t="shared" si="3"/>
        <v>0</v>
      </c>
      <c r="P11" s="17">
        <f t="shared" si="4"/>
        <v>0</v>
      </c>
      <c r="Q11" s="17">
        <f t="shared" si="5"/>
        <v>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</row>
    <row r="12">
      <c r="A12" s="4"/>
      <c r="B12" s="11">
        <v>9.062047194E9</v>
      </c>
      <c r="C12" s="11" t="s">
        <v>20</v>
      </c>
      <c r="D12" s="12" t="s">
        <v>26</v>
      </c>
      <c r="E12" s="13" t="s">
        <v>22</v>
      </c>
      <c r="F12" s="11">
        <v>500.0</v>
      </c>
      <c r="G12" s="11">
        <v>40900.0</v>
      </c>
      <c r="H12" s="14" t="s">
        <v>3</v>
      </c>
      <c r="I12" s="15"/>
      <c r="J12" s="16"/>
      <c r="K12" s="19">
        <v>100.0</v>
      </c>
      <c r="L12" s="16"/>
      <c r="M12" s="4">
        <f t="shared" si="1"/>
        <v>100</v>
      </c>
      <c r="N12" s="17">
        <f t="shared" si="2"/>
        <v>0</v>
      </c>
      <c r="O12" s="17">
        <f t="shared" si="3"/>
        <v>0</v>
      </c>
      <c r="P12" s="17">
        <f t="shared" si="4"/>
        <v>40900</v>
      </c>
      <c r="Q12" s="17">
        <f t="shared" si="5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</row>
    <row r="13">
      <c r="A13" s="4"/>
      <c r="B13" s="11">
        <v>9.062047194E9</v>
      </c>
      <c r="C13" s="11" t="s">
        <v>20</v>
      </c>
      <c r="D13" s="12" t="s">
        <v>27</v>
      </c>
      <c r="E13" s="13" t="s">
        <v>22</v>
      </c>
      <c r="F13" s="11">
        <v>240.0</v>
      </c>
      <c r="G13" s="11">
        <v>19632.0</v>
      </c>
      <c r="H13" s="14" t="s">
        <v>3</v>
      </c>
      <c r="I13" s="15">
        <v>100.0</v>
      </c>
      <c r="J13" s="16"/>
      <c r="K13" s="16"/>
      <c r="L13" s="16"/>
      <c r="M13" s="4">
        <f t="shared" si="1"/>
        <v>100</v>
      </c>
      <c r="N13" s="17">
        <f t="shared" si="2"/>
        <v>19632</v>
      </c>
      <c r="O13" s="17">
        <f t="shared" si="3"/>
        <v>0</v>
      </c>
      <c r="P13" s="17">
        <f t="shared" si="4"/>
        <v>0</v>
      </c>
      <c r="Q13" s="17">
        <f t="shared" si="5"/>
        <v>0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</row>
    <row r="14">
      <c r="A14" s="4"/>
      <c r="B14" s="11">
        <v>9.062047194E9</v>
      </c>
      <c r="C14" s="11" t="s">
        <v>20</v>
      </c>
      <c r="D14" s="12" t="s">
        <v>28</v>
      </c>
      <c r="E14" s="13" t="s">
        <v>22</v>
      </c>
      <c r="F14" s="11">
        <v>670.0</v>
      </c>
      <c r="G14" s="11">
        <v>54806.0</v>
      </c>
      <c r="H14" s="14" t="s">
        <v>3</v>
      </c>
      <c r="I14" s="15">
        <v>100.0</v>
      </c>
      <c r="J14" s="16"/>
      <c r="K14" s="16"/>
      <c r="L14" s="16"/>
      <c r="M14" s="4">
        <f t="shared" si="1"/>
        <v>100</v>
      </c>
      <c r="N14" s="17">
        <f t="shared" si="2"/>
        <v>54806</v>
      </c>
      <c r="O14" s="17">
        <f t="shared" si="3"/>
        <v>0</v>
      </c>
      <c r="P14" s="17">
        <f t="shared" si="4"/>
        <v>0</v>
      </c>
      <c r="Q14" s="17">
        <f t="shared" si="5"/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</row>
    <row r="15">
      <c r="A15" s="4"/>
      <c r="B15" s="11">
        <v>9.062047194E9</v>
      </c>
      <c r="C15" s="11" t="s">
        <v>20</v>
      </c>
      <c r="D15" s="12" t="s">
        <v>29</v>
      </c>
      <c r="E15" s="13" t="s">
        <v>22</v>
      </c>
      <c r="F15" s="11">
        <v>440.0</v>
      </c>
      <c r="G15" s="11">
        <v>35992.0</v>
      </c>
      <c r="H15" s="14" t="s">
        <v>3</v>
      </c>
      <c r="I15" s="15"/>
      <c r="J15" s="16"/>
      <c r="K15" s="19">
        <v>100.0</v>
      </c>
      <c r="L15" s="16"/>
      <c r="M15" s="4">
        <f t="shared" si="1"/>
        <v>100</v>
      </c>
      <c r="N15" s="17">
        <f t="shared" si="2"/>
        <v>0</v>
      </c>
      <c r="O15" s="17">
        <f t="shared" si="3"/>
        <v>0</v>
      </c>
      <c r="P15" s="17">
        <f t="shared" si="4"/>
        <v>35992</v>
      </c>
      <c r="Q15" s="17">
        <f t="shared" si="5"/>
        <v>0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</row>
    <row r="16">
      <c r="A16" s="4"/>
      <c r="B16" s="11">
        <v>9.062047194E9</v>
      </c>
      <c r="C16" s="11" t="s">
        <v>20</v>
      </c>
      <c r="D16" s="12" t="s">
        <v>30</v>
      </c>
      <c r="E16" s="13" t="s">
        <v>22</v>
      </c>
      <c r="F16" s="11">
        <v>530.0</v>
      </c>
      <c r="G16" s="11">
        <v>43354.0</v>
      </c>
      <c r="H16" s="14" t="s">
        <v>3</v>
      </c>
      <c r="I16" s="15"/>
      <c r="J16" s="19">
        <v>100.0</v>
      </c>
      <c r="K16" s="16"/>
      <c r="L16" s="16"/>
      <c r="M16" s="4">
        <f t="shared" si="1"/>
        <v>100</v>
      </c>
      <c r="N16" s="17">
        <f t="shared" si="2"/>
        <v>0</v>
      </c>
      <c r="O16" s="17">
        <f t="shared" si="3"/>
        <v>43354</v>
      </c>
      <c r="P16" s="17">
        <f t="shared" si="4"/>
        <v>0</v>
      </c>
      <c r="Q16" s="17">
        <f t="shared" si="5"/>
        <v>0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</row>
    <row r="17">
      <c r="A17" s="4"/>
      <c r="B17" s="11">
        <v>9.062047194E9</v>
      </c>
      <c r="C17" s="11" t="s">
        <v>20</v>
      </c>
      <c r="D17" s="12" t="s">
        <v>31</v>
      </c>
      <c r="E17" s="13" t="s">
        <v>22</v>
      </c>
      <c r="F17" s="11">
        <v>660.0</v>
      </c>
      <c r="G17" s="11">
        <v>53988.0</v>
      </c>
      <c r="H17" s="14" t="s">
        <v>3</v>
      </c>
      <c r="I17" s="15"/>
      <c r="J17" s="19">
        <v>100.0</v>
      </c>
      <c r="K17" s="16"/>
      <c r="L17" s="16"/>
      <c r="M17" s="4">
        <f t="shared" si="1"/>
        <v>100</v>
      </c>
      <c r="N17" s="17">
        <f t="shared" si="2"/>
        <v>0</v>
      </c>
      <c r="O17" s="17">
        <f t="shared" si="3"/>
        <v>53988</v>
      </c>
      <c r="P17" s="17">
        <f t="shared" si="4"/>
        <v>0</v>
      </c>
      <c r="Q17" s="17">
        <f t="shared" si="5"/>
        <v>0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</row>
    <row r="18">
      <c r="A18" s="4"/>
      <c r="B18" s="11">
        <v>9.062047194E9</v>
      </c>
      <c r="C18" s="11" t="s">
        <v>20</v>
      </c>
      <c r="D18" s="12" t="s">
        <v>32</v>
      </c>
      <c r="E18" s="13" t="s">
        <v>22</v>
      </c>
      <c r="F18" s="11">
        <v>660.0</v>
      </c>
      <c r="G18" s="11">
        <v>53988.0</v>
      </c>
      <c r="H18" s="14" t="s">
        <v>3</v>
      </c>
      <c r="I18" s="15">
        <v>100.0</v>
      </c>
      <c r="J18" s="16"/>
      <c r="K18" s="16"/>
      <c r="L18" s="16"/>
      <c r="M18" s="4">
        <f t="shared" si="1"/>
        <v>100</v>
      </c>
      <c r="N18" s="17">
        <f t="shared" si="2"/>
        <v>53988</v>
      </c>
      <c r="O18" s="17">
        <f t="shared" si="3"/>
        <v>0</v>
      </c>
      <c r="P18" s="17">
        <f t="shared" si="4"/>
        <v>0</v>
      </c>
      <c r="Q18" s="17">
        <f t="shared" si="5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</row>
    <row r="19">
      <c r="A19" s="4"/>
      <c r="B19" s="11">
        <v>9.062047194E9</v>
      </c>
      <c r="C19" s="11" t="s">
        <v>20</v>
      </c>
      <c r="D19" s="12" t="s">
        <v>33</v>
      </c>
      <c r="E19" s="13" t="s">
        <v>22</v>
      </c>
      <c r="F19" s="11">
        <v>1083.0</v>
      </c>
      <c r="G19" s="11">
        <v>88589.4</v>
      </c>
      <c r="H19" s="14" t="s">
        <v>2</v>
      </c>
      <c r="I19" s="19"/>
      <c r="J19" s="15">
        <v>100.0</v>
      </c>
      <c r="K19" s="16"/>
      <c r="L19" s="16"/>
      <c r="M19" s="4">
        <f t="shared" si="1"/>
        <v>100</v>
      </c>
      <c r="N19" s="17">
        <f t="shared" si="2"/>
        <v>0</v>
      </c>
      <c r="O19" s="17">
        <f t="shared" si="3"/>
        <v>88589.4</v>
      </c>
      <c r="P19" s="17">
        <f t="shared" si="4"/>
        <v>0</v>
      </c>
      <c r="Q19" s="17">
        <f t="shared" si="5"/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</row>
    <row r="20">
      <c r="A20" s="4"/>
      <c r="B20" s="11">
        <v>9.062047194E9</v>
      </c>
      <c r="C20" s="11" t="s">
        <v>20</v>
      </c>
      <c r="D20" s="12" t="s">
        <v>34</v>
      </c>
      <c r="E20" s="13" t="s">
        <v>22</v>
      </c>
      <c r="F20" s="11">
        <v>1260.0</v>
      </c>
      <c r="G20" s="11">
        <v>103068.0</v>
      </c>
      <c r="H20" s="14" t="s">
        <v>2</v>
      </c>
      <c r="I20" s="16"/>
      <c r="J20" s="15">
        <v>100.0</v>
      </c>
      <c r="K20" s="16"/>
      <c r="L20" s="16"/>
      <c r="M20" s="4">
        <f t="shared" si="1"/>
        <v>100</v>
      </c>
      <c r="N20" s="17">
        <f t="shared" si="2"/>
        <v>0</v>
      </c>
      <c r="O20" s="17">
        <f t="shared" si="3"/>
        <v>103068</v>
      </c>
      <c r="P20" s="17">
        <f t="shared" si="4"/>
        <v>0</v>
      </c>
      <c r="Q20" s="17">
        <f t="shared" si="5"/>
        <v>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</row>
    <row r="21">
      <c r="A21" s="4"/>
      <c r="B21" s="11">
        <v>9.062047194E9</v>
      </c>
      <c r="C21" s="11" t="s">
        <v>20</v>
      </c>
      <c r="D21" s="12" t="s">
        <v>35</v>
      </c>
      <c r="E21" s="13" t="s">
        <v>22</v>
      </c>
      <c r="F21" s="11">
        <v>1590.0</v>
      </c>
      <c r="G21" s="11">
        <v>130062.0</v>
      </c>
      <c r="H21" s="14" t="s">
        <v>2</v>
      </c>
      <c r="I21" s="19">
        <v>100.0</v>
      </c>
      <c r="J21" s="15"/>
      <c r="K21" s="16"/>
      <c r="L21" s="16"/>
      <c r="M21" s="4">
        <f t="shared" si="1"/>
        <v>100</v>
      </c>
      <c r="N21" s="17">
        <f t="shared" si="2"/>
        <v>130062</v>
      </c>
      <c r="O21" s="17">
        <f t="shared" si="3"/>
        <v>0</v>
      </c>
      <c r="P21" s="17">
        <f t="shared" si="4"/>
        <v>0</v>
      </c>
      <c r="Q21" s="17">
        <f t="shared" si="5"/>
        <v>0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</row>
    <row r="22">
      <c r="A22" s="4"/>
      <c r="B22" s="11">
        <v>9.062047194E9</v>
      </c>
      <c r="C22" s="11" t="s">
        <v>20</v>
      </c>
      <c r="D22" s="12" t="s">
        <v>36</v>
      </c>
      <c r="E22" s="13" t="s">
        <v>22</v>
      </c>
      <c r="F22" s="11">
        <v>670.0</v>
      </c>
      <c r="G22" s="11">
        <v>54806.0</v>
      </c>
      <c r="H22" s="14" t="s">
        <v>2</v>
      </c>
      <c r="I22" s="19">
        <v>100.0</v>
      </c>
      <c r="J22" s="15"/>
      <c r="K22" s="16"/>
      <c r="L22" s="16"/>
      <c r="M22" s="4">
        <f t="shared" si="1"/>
        <v>100</v>
      </c>
      <c r="N22" s="17">
        <f t="shared" si="2"/>
        <v>54806</v>
      </c>
      <c r="O22" s="17">
        <f t="shared" si="3"/>
        <v>0</v>
      </c>
      <c r="P22" s="17">
        <f t="shared" si="4"/>
        <v>0</v>
      </c>
      <c r="Q22" s="17">
        <f t="shared" si="5"/>
        <v>0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</row>
    <row r="23">
      <c r="A23" s="4"/>
      <c r="B23" s="11">
        <v>9.062047194E9</v>
      </c>
      <c r="C23" s="11" t="s">
        <v>20</v>
      </c>
      <c r="D23" s="12" t="s">
        <v>37</v>
      </c>
      <c r="E23" s="13" t="s">
        <v>22</v>
      </c>
      <c r="F23" s="11">
        <v>340.0</v>
      </c>
      <c r="G23" s="11">
        <v>27812.0</v>
      </c>
      <c r="H23" s="14" t="s">
        <v>2</v>
      </c>
      <c r="I23" s="19">
        <v>100.0</v>
      </c>
      <c r="J23" s="15"/>
      <c r="K23" s="16"/>
      <c r="L23" s="16"/>
      <c r="M23" s="4">
        <f t="shared" si="1"/>
        <v>100</v>
      </c>
      <c r="N23" s="17">
        <f t="shared" si="2"/>
        <v>27812</v>
      </c>
      <c r="O23" s="17">
        <f t="shared" si="3"/>
        <v>0</v>
      </c>
      <c r="P23" s="17">
        <f t="shared" si="4"/>
        <v>0</v>
      </c>
      <c r="Q23" s="17">
        <f t="shared" si="5"/>
        <v>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</row>
    <row r="24">
      <c r="A24" s="4"/>
      <c r="B24" s="11">
        <v>9.062047194E9</v>
      </c>
      <c r="C24" s="11" t="s">
        <v>20</v>
      </c>
      <c r="D24" s="12" t="s">
        <v>38</v>
      </c>
      <c r="E24" s="13" t="s">
        <v>22</v>
      </c>
      <c r="F24" s="11">
        <v>610.0</v>
      </c>
      <c r="G24" s="11">
        <v>49898.0</v>
      </c>
      <c r="H24" s="14" t="s">
        <v>2</v>
      </c>
      <c r="I24" s="19">
        <v>100.0</v>
      </c>
      <c r="J24" s="15"/>
      <c r="K24" s="16"/>
      <c r="L24" s="16"/>
      <c r="M24" s="4">
        <f t="shared" si="1"/>
        <v>100</v>
      </c>
      <c r="N24" s="17">
        <f t="shared" si="2"/>
        <v>49898</v>
      </c>
      <c r="O24" s="17">
        <f t="shared" si="3"/>
        <v>0</v>
      </c>
      <c r="P24" s="17">
        <f t="shared" si="4"/>
        <v>0</v>
      </c>
      <c r="Q24" s="17">
        <f t="shared" si="5"/>
        <v>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</row>
    <row r="25">
      <c r="A25" s="4"/>
      <c r="B25" s="11">
        <v>9.062047194E9</v>
      </c>
      <c r="C25" s="11" t="s">
        <v>20</v>
      </c>
      <c r="D25" s="12" t="s">
        <v>39</v>
      </c>
      <c r="E25" s="13" t="s">
        <v>22</v>
      </c>
      <c r="F25" s="11">
        <v>553.0</v>
      </c>
      <c r="G25" s="11">
        <v>45235.4</v>
      </c>
      <c r="H25" s="14" t="s">
        <v>2</v>
      </c>
      <c r="I25" s="16"/>
      <c r="J25" s="15">
        <v>100.0</v>
      </c>
      <c r="K25" s="16"/>
      <c r="L25" s="16"/>
      <c r="M25" s="4">
        <f t="shared" si="1"/>
        <v>100</v>
      </c>
      <c r="N25" s="17">
        <f t="shared" si="2"/>
        <v>0</v>
      </c>
      <c r="O25" s="17">
        <f t="shared" si="3"/>
        <v>45235.4</v>
      </c>
      <c r="P25" s="17">
        <f t="shared" si="4"/>
        <v>0</v>
      </c>
      <c r="Q25" s="17">
        <f t="shared" si="5"/>
        <v>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</row>
    <row r="26">
      <c r="A26" s="4"/>
      <c r="B26" s="11">
        <v>9.062047194E9</v>
      </c>
      <c r="C26" s="11" t="s">
        <v>20</v>
      </c>
      <c r="D26" s="12" t="s">
        <v>40</v>
      </c>
      <c r="E26" s="13" t="s">
        <v>22</v>
      </c>
      <c r="F26" s="11">
        <v>770.0</v>
      </c>
      <c r="G26" s="11">
        <v>62986.0</v>
      </c>
      <c r="H26" s="14" t="s">
        <v>2</v>
      </c>
      <c r="I26" s="16"/>
      <c r="J26" s="15">
        <v>100.0</v>
      </c>
      <c r="K26" s="16"/>
      <c r="L26" s="16"/>
      <c r="M26" s="4">
        <f t="shared" si="1"/>
        <v>100</v>
      </c>
      <c r="N26" s="17">
        <f t="shared" si="2"/>
        <v>0</v>
      </c>
      <c r="O26" s="17">
        <f t="shared" si="3"/>
        <v>62986</v>
      </c>
      <c r="P26" s="17">
        <f t="shared" si="4"/>
        <v>0</v>
      </c>
      <c r="Q26" s="17">
        <f t="shared" si="5"/>
        <v>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</row>
    <row r="27">
      <c r="A27" s="4"/>
      <c r="B27" s="11">
        <v>9.062047194E9</v>
      </c>
      <c r="C27" s="11" t="s">
        <v>20</v>
      </c>
      <c r="D27" s="12" t="s">
        <v>41</v>
      </c>
      <c r="E27" s="13" t="s">
        <v>22</v>
      </c>
      <c r="F27" s="11">
        <v>120.0</v>
      </c>
      <c r="G27" s="11">
        <v>9816.0</v>
      </c>
      <c r="H27" s="14" t="s">
        <v>2</v>
      </c>
      <c r="I27" s="16"/>
      <c r="J27" s="15"/>
      <c r="K27" s="16"/>
      <c r="L27" s="19">
        <v>100.0</v>
      </c>
      <c r="M27" s="4">
        <f t="shared" si="1"/>
        <v>100</v>
      </c>
      <c r="N27" s="17">
        <f t="shared" si="2"/>
        <v>0</v>
      </c>
      <c r="O27" s="17">
        <f t="shared" si="3"/>
        <v>0</v>
      </c>
      <c r="P27" s="17">
        <f t="shared" si="4"/>
        <v>0</v>
      </c>
      <c r="Q27" s="17">
        <f t="shared" si="5"/>
        <v>9816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</row>
    <row r="28">
      <c r="A28" s="4"/>
      <c r="B28" s="20">
        <v>9.062047194E9</v>
      </c>
      <c r="C28" s="20" t="s">
        <v>20</v>
      </c>
      <c r="D28" s="21" t="s">
        <v>42</v>
      </c>
      <c r="E28" s="13" t="s">
        <v>22</v>
      </c>
      <c r="F28" s="20">
        <v>5010.0</v>
      </c>
      <c r="G28" s="20">
        <v>409818.0</v>
      </c>
      <c r="H28" s="14" t="s">
        <v>2</v>
      </c>
      <c r="I28" s="16"/>
      <c r="J28" s="15">
        <v>100.0</v>
      </c>
      <c r="K28" s="16"/>
      <c r="L28" s="16"/>
      <c r="M28" s="4">
        <f t="shared" si="1"/>
        <v>100</v>
      </c>
      <c r="N28" s="17">
        <f t="shared" si="2"/>
        <v>0</v>
      </c>
      <c r="O28" s="17">
        <f t="shared" si="3"/>
        <v>409818</v>
      </c>
      <c r="P28" s="17">
        <f t="shared" si="4"/>
        <v>0</v>
      </c>
      <c r="Q28" s="17">
        <f t="shared" si="5"/>
        <v>0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</row>
    <row r="29">
      <c r="A29" s="4"/>
      <c r="B29" s="20">
        <v>9.062047194E9</v>
      </c>
      <c r="C29" s="20" t="s">
        <v>20</v>
      </c>
      <c r="D29" s="21" t="s">
        <v>43</v>
      </c>
      <c r="E29" s="13" t="s">
        <v>22</v>
      </c>
      <c r="F29" s="20">
        <v>8180.0</v>
      </c>
      <c r="G29" s="20">
        <v>669124.0</v>
      </c>
      <c r="H29" s="14" t="s">
        <v>2</v>
      </c>
      <c r="I29" s="19">
        <v>100.0</v>
      </c>
      <c r="J29" s="15"/>
      <c r="K29" s="16"/>
      <c r="L29" s="16"/>
      <c r="M29" s="4">
        <f t="shared" si="1"/>
        <v>100</v>
      </c>
      <c r="N29" s="17">
        <f t="shared" si="2"/>
        <v>669124</v>
      </c>
      <c r="O29" s="17">
        <f t="shared" si="3"/>
        <v>0</v>
      </c>
      <c r="P29" s="17">
        <f t="shared" si="4"/>
        <v>0</v>
      </c>
      <c r="Q29" s="17">
        <f t="shared" si="5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</row>
    <row r="30">
      <c r="A30" s="4"/>
      <c r="B30" s="20">
        <v>9.062047194E9</v>
      </c>
      <c r="C30" s="20" t="s">
        <v>20</v>
      </c>
      <c r="D30" s="21" t="s">
        <v>44</v>
      </c>
      <c r="E30" s="13" t="s">
        <v>22</v>
      </c>
      <c r="F30" s="20">
        <v>2380.0</v>
      </c>
      <c r="G30" s="20">
        <v>194684.0</v>
      </c>
      <c r="H30" s="14" t="s">
        <v>2</v>
      </c>
      <c r="I30" s="16"/>
      <c r="J30" s="15"/>
      <c r="K30" s="16"/>
      <c r="L30" s="19">
        <v>100.0</v>
      </c>
      <c r="M30" s="4">
        <f t="shared" si="1"/>
        <v>100</v>
      </c>
      <c r="N30" s="17">
        <f t="shared" si="2"/>
        <v>0</v>
      </c>
      <c r="O30" s="17">
        <f t="shared" si="3"/>
        <v>0</v>
      </c>
      <c r="P30" s="17">
        <f t="shared" si="4"/>
        <v>0</v>
      </c>
      <c r="Q30" s="17">
        <f t="shared" si="5"/>
        <v>194684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</row>
    <row r="31">
      <c r="A31" s="4"/>
      <c r="B31" s="20">
        <v>9.062047194E9</v>
      </c>
      <c r="C31" s="20" t="s">
        <v>20</v>
      </c>
      <c r="D31" s="21" t="s">
        <v>45</v>
      </c>
      <c r="E31" s="13" t="s">
        <v>22</v>
      </c>
      <c r="F31" s="20">
        <v>10140.0</v>
      </c>
      <c r="G31" s="20">
        <v>829452.0</v>
      </c>
      <c r="H31" s="14" t="s">
        <v>3</v>
      </c>
      <c r="I31" s="15">
        <v>100.0</v>
      </c>
      <c r="J31" s="16"/>
      <c r="K31" s="16"/>
      <c r="L31" s="16"/>
      <c r="M31" s="4">
        <f t="shared" si="1"/>
        <v>100</v>
      </c>
      <c r="N31" s="17">
        <f t="shared" si="2"/>
        <v>829452</v>
      </c>
      <c r="O31" s="17">
        <f t="shared" si="3"/>
        <v>0</v>
      </c>
      <c r="P31" s="17">
        <f t="shared" si="4"/>
        <v>0</v>
      </c>
      <c r="Q31" s="17">
        <f t="shared" si="5"/>
        <v>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</row>
    <row r="32">
      <c r="A32" s="4"/>
      <c r="B32" s="20">
        <v>9.062047194E9</v>
      </c>
      <c r="C32" s="20" t="s">
        <v>20</v>
      </c>
      <c r="D32" s="21" t="s">
        <v>46</v>
      </c>
      <c r="E32" s="13" t="s">
        <v>22</v>
      </c>
      <c r="F32" s="20">
        <v>3060.0</v>
      </c>
      <c r="G32" s="20">
        <v>250308.0</v>
      </c>
      <c r="H32" s="14" t="s">
        <v>3</v>
      </c>
      <c r="I32" s="15"/>
      <c r="J32" s="16"/>
      <c r="K32" s="19">
        <v>100.0</v>
      </c>
      <c r="L32" s="16"/>
      <c r="M32" s="4">
        <f t="shared" si="1"/>
        <v>100</v>
      </c>
      <c r="N32" s="17">
        <f t="shared" si="2"/>
        <v>0</v>
      </c>
      <c r="O32" s="17">
        <f t="shared" si="3"/>
        <v>0</v>
      </c>
      <c r="P32" s="17">
        <f t="shared" si="4"/>
        <v>250308</v>
      </c>
      <c r="Q32" s="17">
        <f t="shared" si="5"/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</row>
    <row r="33">
      <c r="A33" s="4"/>
      <c r="B33" s="20">
        <v>9.062047194E9</v>
      </c>
      <c r="C33" s="20" t="s">
        <v>20</v>
      </c>
      <c r="D33" s="21" t="s">
        <v>47</v>
      </c>
      <c r="E33" s="13" t="s">
        <v>22</v>
      </c>
      <c r="F33" s="20">
        <v>5560.0</v>
      </c>
      <c r="G33" s="20">
        <v>454808.0</v>
      </c>
      <c r="H33" s="22"/>
      <c r="I33" s="19">
        <v>100.0</v>
      </c>
      <c r="J33" s="15"/>
      <c r="K33" s="16"/>
      <c r="L33" s="16"/>
      <c r="M33" s="4">
        <f t="shared" si="1"/>
        <v>100</v>
      </c>
      <c r="N33" s="17">
        <f t="shared" si="2"/>
        <v>454808</v>
      </c>
      <c r="O33" s="17">
        <f t="shared" si="3"/>
        <v>0</v>
      </c>
      <c r="P33" s="17">
        <f t="shared" si="4"/>
        <v>0</v>
      </c>
      <c r="Q33" s="17">
        <f t="shared" si="5"/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</row>
    <row r="34">
      <c r="A34" s="4"/>
      <c r="B34" s="20">
        <v>9.062047194E9</v>
      </c>
      <c r="C34" s="20" t="s">
        <v>20</v>
      </c>
      <c r="D34" s="21" t="s">
        <v>48</v>
      </c>
      <c r="E34" s="13" t="s">
        <v>22</v>
      </c>
      <c r="F34" s="20">
        <v>6240.0</v>
      </c>
      <c r="G34" s="20">
        <v>510432.0</v>
      </c>
      <c r="H34" s="22"/>
      <c r="I34" s="16"/>
      <c r="J34" s="15">
        <v>100.0</v>
      </c>
      <c r="K34" s="16"/>
      <c r="L34" s="16"/>
      <c r="M34" s="4">
        <f t="shared" si="1"/>
        <v>100</v>
      </c>
      <c r="N34" s="17">
        <f t="shared" si="2"/>
        <v>0</v>
      </c>
      <c r="O34" s="17">
        <f t="shared" si="3"/>
        <v>510432</v>
      </c>
      <c r="P34" s="17">
        <f t="shared" si="4"/>
        <v>0</v>
      </c>
      <c r="Q34" s="17">
        <f t="shared" si="5"/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</row>
    <row r="35">
      <c r="A35" s="4"/>
      <c r="B35" s="20">
        <v>9.062047194E9</v>
      </c>
      <c r="C35" s="20" t="s">
        <v>20</v>
      </c>
      <c r="D35" s="21" t="s">
        <v>49</v>
      </c>
      <c r="E35" s="13" t="s">
        <v>22</v>
      </c>
      <c r="F35" s="20">
        <v>2300.0</v>
      </c>
      <c r="G35" s="20">
        <v>188140.0</v>
      </c>
      <c r="H35" s="22"/>
      <c r="I35" s="16"/>
      <c r="J35" s="15"/>
      <c r="K35" s="19">
        <v>100.0</v>
      </c>
      <c r="L35" s="16"/>
      <c r="M35" s="4">
        <f t="shared" si="1"/>
        <v>100</v>
      </c>
      <c r="N35" s="17">
        <f t="shared" si="2"/>
        <v>0</v>
      </c>
      <c r="O35" s="17">
        <f t="shared" si="3"/>
        <v>0</v>
      </c>
      <c r="P35" s="17">
        <f t="shared" si="4"/>
        <v>188140</v>
      </c>
      <c r="Q35" s="17">
        <f t="shared" si="5"/>
        <v>0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</row>
    <row r="36">
      <c r="A36" s="4"/>
      <c r="B36" s="20">
        <v>9.062047194E9</v>
      </c>
      <c r="C36" s="20" t="s">
        <v>20</v>
      </c>
      <c r="D36" s="21" t="s">
        <v>50</v>
      </c>
      <c r="E36" s="13" t="s">
        <v>22</v>
      </c>
      <c r="F36" s="20">
        <v>4424.0</v>
      </c>
      <c r="G36" s="20">
        <v>361883.2</v>
      </c>
      <c r="H36" s="22"/>
      <c r="I36" s="16"/>
      <c r="J36" s="15">
        <v>100.0</v>
      </c>
      <c r="K36" s="16"/>
      <c r="L36" s="16"/>
      <c r="M36" s="4">
        <f t="shared" si="1"/>
        <v>100</v>
      </c>
      <c r="N36" s="17">
        <f t="shared" si="2"/>
        <v>0</v>
      </c>
      <c r="O36" s="17">
        <f t="shared" si="3"/>
        <v>361883.2</v>
      </c>
      <c r="P36" s="17">
        <f t="shared" si="4"/>
        <v>0</v>
      </c>
      <c r="Q36" s="17">
        <f t="shared" si="5"/>
        <v>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</row>
    <row r="37">
      <c r="A37" s="4"/>
      <c r="B37" s="20">
        <v>9.062047194E9</v>
      </c>
      <c r="C37" s="20" t="s">
        <v>20</v>
      </c>
      <c r="D37" s="21" t="s">
        <v>51</v>
      </c>
      <c r="E37" s="13" t="s">
        <v>22</v>
      </c>
      <c r="F37" s="20">
        <v>7260.0</v>
      </c>
      <c r="G37" s="20">
        <v>593868.0</v>
      </c>
      <c r="H37" s="22"/>
      <c r="I37" s="19">
        <v>100.0</v>
      </c>
      <c r="J37" s="15"/>
      <c r="K37" s="16"/>
      <c r="L37" s="16"/>
      <c r="M37" s="4">
        <f t="shared" si="1"/>
        <v>100</v>
      </c>
      <c r="N37" s="17">
        <f t="shared" si="2"/>
        <v>593868</v>
      </c>
      <c r="O37" s="17">
        <f t="shared" si="3"/>
        <v>0</v>
      </c>
      <c r="P37" s="17">
        <f t="shared" si="4"/>
        <v>0</v>
      </c>
      <c r="Q37" s="17">
        <f t="shared" si="5"/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</row>
    <row r="38">
      <c r="A38" s="4"/>
      <c r="B38" s="20">
        <v>9.062047194E9</v>
      </c>
      <c r="C38" s="20" t="s">
        <v>20</v>
      </c>
      <c r="D38" s="21" t="s">
        <v>52</v>
      </c>
      <c r="E38" s="13" t="s">
        <v>22</v>
      </c>
      <c r="F38" s="20">
        <v>9540.0</v>
      </c>
      <c r="G38" s="20">
        <v>780372.0</v>
      </c>
      <c r="H38" s="22"/>
      <c r="I38" s="16"/>
      <c r="J38" s="15">
        <v>100.0</v>
      </c>
      <c r="K38" s="16"/>
      <c r="L38" s="16"/>
      <c r="M38" s="4">
        <f t="shared" si="1"/>
        <v>100</v>
      </c>
      <c r="N38" s="17">
        <f t="shared" si="2"/>
        <v>0</v>
      </c>
      <c r="O38" s="17">
        <f t="shared" si="3"/>
        <v>780372</v>
      </c>
      <c r="P38" s="17">
        <f t="shared" si="4"/>
        <v>0</v>
      </c>
      <c r="Q38" s="17">
        <f t="shared" si="5"/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</row>
    <row r="39">
      <c r="A39" s="4"/>
      <c r="B39" s="20">
        <v>9.062047194E9</v>
      </c>
      <c r="C39" s="20" t="s">
        <v>20</v>
      </c>
      <c r="D39" s="21" t="s">
        <v>53</v>
      </c>
      <c r="E39" s="13" t="s">
        <v>22</v>
      </c>
      <c r="F39" s="20">
        <v>6240.0</v>
      </c>
      <c r="G39" s="20">
        <v>510432.0</v>
      </c>
      <c r="H39" s="22"/>
      <c r="I39" s="16"/>
      <c r="J39" s="15">
        <v>100.0</v>
      </c>
      <c r="K39" s="16"/>
      <c r="L39" s="16"/>
      <c r="M39" s="4">
        <f t="shared" si="1"/>
        <v>100</v>
      </c>
      <c r="N39" s="17">
        <f t="shared" si="2"/>
        <v>0</v>
      </c>
      <c r="O39" s="17">
        <f t="shared" si="3"/>
        <v>510432</v>
      </c>
      <c r="P39" s="17">
        <f t="shared" si="4"/>
        <v>0</v>
      </c>
      <c r="Q39" s="17">
        <f t="shared" si="5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</row>
    <row r="40">
      <c r="A40" s="4"/>
      <c r="B40" s="20">
        <v>9.062047194E9</v>
      </c>
      <c r="C40" s="20" t="s">
        <v>20</v>
      </c>
      <c r="D40" s="21" t="s">
        <v>54</v>
      </c>
      <c r="E40" s="13" t="s">
        <v>22</v>
      </c>
      <c r="F40" s="20">
        <v>8240.0</v>
      </c>
      <c r="G40" s="20">
        <v>674032.0</v>
      </c>
      <c r="H40" s="22"/>
      <c r="I40" s="19">
        <v>100.0</v>
      </c>
      <c r="J40" s="15"/>
      <c r="K40" s="16"/>
      <c r="L40" s="16"/>
      <c r="M40" s="4">
        <f t="shared" si="1"/>
        <v>100</v>
      </c>
      <c r="N40" s="17">
        <f t="shared" si="2"/>
        <v>674032</v>
      </c>
      <c r="O40" s="17">
        <f t="shared" si="3"/>
        <v>0</v>
      </c>
      <c r="P40" s="17">
        <f t="shared" si="4"/>
        <v>0</v>
      </c>
      <c r="Q40" s="17">
        <f t="shared" si="5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</row>
    <row r="41">
      <c r="A41" s="4"/>
      <c r="B41" s="20">
        <v>9.062047194E9</v>
      </c>
      <c r="C41" s="20" t="s">
        <v>20</v>
      </c>
      <c r="D41" s="21" t="s">
        <v>55</v>
      </c>
      <c r="E41" s="13" t="s">
        <v>22</v>
      </c>
      <c r="F41" s="20">
        <v>6090.0</v>
      </c>
      <c r="G41" s="20">
        <v>498162.0</v>
      </c>
      <c r="H41" s="22"/>
      <c r="I41" s="19">
        <v>100.0</v>
      </c>
      <c r="J41" s="16"/>
      <c r="K41" s="15"/>
      <c r="L41" s="16"/>
      <c r="M41" s="4">
        <f t="shared" si="1"/>
        <v>100</v>
      </c>
      <c r="N41" s="17">
        <f t="shared" si="2"/>
        <v>498162</v>
      </c>
      <c r="O41" s="17">
        <f t="shared" si="3"/>
        <v>0</v>
      </c>
      <c r="P41" s="17">
        <f t="shared" si="4"/>
        <v>0</v>
      </c>
      <c r="Q41" s="17">
        <f t="shared" si="5"/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</row>
    <row r="42">
      <c r="A42" s="4"/>
      <c r="B42" s="20">
        <v>9.062047194E9</v>
      </c>
      <c r="C42" s="20" t="s">
        <v>20</v>
      </c>
      <c r="D42" s="21" t="s">
        <v>56</v>
      </c>
      <c r="E42" s="13" t="s">
        <v>22</v>
      </c>
      <c r="F42" s="20">
        <v>6130.0</v>
      </c>
      <c r="G42" s="20">
        <v>501434.0</v>
      </c>
      <c r="H42" s="22"/>
      <c r="I42" s="16"/>
      <c r="J42" s="19">
        <v>100.0</v>
      </c>
      <c r="K42" s="15"/>
      <c r="L42" s="16"/>
      <c r="M42" s="4">
        <f t="shared" si="1"/>
        <v>100</v>
      </c>
      <c r="N42" s="17">
        <f t="shared" si="2"/>
        <v>0</v>
      </c>
      <c r="O42" s="17">
        <f t="shared" si="3"/>
        <v>501434</v>
      </c>
      <c r="P42" s="17">
        <f t="shared" si="4"/>
        <v>0</v>
      </c>
      <c r="Q42" s="17">
        <f t="shared" si="5"/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</row>
    <row r="43">
      <c r="A43" s="4"/>
      <c r="B43" s="20">
        <v>9.062047194E9</v>
      </c>
      <c r="C43" s="20" t="s">
        <v>20</v>
      </c>
      <c r="D43" s="21" t="s">
        <v>57</v>
      </c>
      <c r="E43" s="13" t="s">
        <v>22</v>
      </c>
      <c r="F43" s="20">
        <v>8840.0</v>
      </c>
      <c r="G43" s="20">
        <v>723112.0</v>
      </c>
      <c r="H43" s="22"/>
      <c r="I43" s="19">
        <v>100.0</v>
      </c>
      <c r="J43" s="16"/>
      <c r="K43" s="15"/>
      <c r="L43" s="16"/>
      <c r="M43" s="4">
        <f t="shared" si="1"/>
        <v>100</v>
      </c>
      <c r="N43" s="17">
        <f t="shared" si="2"/>
        <v>723112</v>
      </c>
      <c r="O43" s="17">
        <f t="shared" si="3"/>
        <v>0</v>
      </c>
      <c r="P43" s="17">
        <f t="shared" si="4"/>
        <v>0</v>
      </c>
      <c r="Q43" s="17">
        <f t="shared" si="5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</row>
    <row r="44">
      <c r="A44" s="4"/>
      <c r="B44" s="20">
        <v>9.062047194E9</v>
      </c>
      <c r="C44" s="20" t="s">
        <v>20</v>
      </c>
      <c r="D44" s="21" t="s">
        <v>58</v>
      </c>
      <c r="E44" s="13" t="s">
        <v>22</v>
      </c>
      <c r="F44" s="20">
        <v>8080.0</v>
      </c>
      <c r="G44" s="20">
        <v>660944.0</v>
      </c>
      <c r="H44" s="22"/>
      <c r="I44" s="19">
        <v>100.0</v>
      </c>
      <c r="J44" s="16"/>
      <c r="K44" s="15"/>
      <c r="L44" s="16"/>
      <c r="M44" s="4">
        <f t="shared" si="1"/>
        <v>100</v>
      </c>
      <c r="N44" s="17">
        <f t="shared" si="2"/>
        <v>660944</v>
      </c>
      <c r="O44" s="17">
        <f t="shared" si="3"/>
        <v>0</v>
      </c>
      <c r="P44" s="17">
        <f t="shared" si="4"/>
        <v>0</v>
      </c>
      <c r="Q44" s="17">
        <f t="shared" si="5"/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</row>
    <row r="45">
      <c r="A45" s="4"/>
      <c r="B45" s="20">
        <v>9.062047194E9</v>
      </c>
      <c r="C45" s="20" t="s">
        <v>20</v>
      </c>
      <c r="D45" s="21" t="s">
        <v>59</v>
      </c>
      <c r="E45" s="13" t="s">
        <v>22</v>
      </c>
      <c r="F45" s="20">
        <v>5000.0</v>
      </c>
      <c r="G45" s="20">
        <v>409000.0</v>
      </c>
      <c r="H45" s="22"/>
      <c r="I45" s="16"/>
      <c r="J45" s="19">
        <v>100.0</v>
      </c>
      <c r="K45" s="16"/>
      <c r="L45" s="15"/>
      <c r="M45" s="4">
        <f t="shared" si="1"/>
        <v>100</v>
      </c>
      <c r="N45" s="17">
        <f t="shared" si="2"/>
        <v>0</v>
      </c>
      <c r="O45" s="17">
        <f t="shared" si="3"/>
        <v>409000</v>
      </c>
      <c r="P45" s="17">
        <f t="shared" si="4"/>
        <v>0</v>
      </c>
      <c r="Q45" s="17">
        <f t="shared" si="5"/>
        <v>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</row>
    <row r="46">
      <c r="A46" s="4"/>
      <c r="B46" s="20">
        <v>9.062047194E9</v>
      </c>
      <c r="C46" s="20" t="s">
        <v>20</v>
      </c>
      <c r="D46" s="21" t="s">
        <v>60</v>
      </c>
      <c r="E46" s="13" t="s">
        <v>22</v>
      </c>
      <c r="F46" s="20">
        <v>6460.0</v>
      </c>
      <c r="G46" s="20">
        <v>528428.0</v>
      </c>
      <c r="H46" s="22"/>
      <c r="I46" s="19">
        <v>100.0</v>
      </c>
      <c r="J46" s="16"/>
      <c r="K46" s="16"/>
      <c r="L46" s="15"/>
      <c r="M46" s="4">
        <f t="shared" si="1"/>
        <v>100</v>
      </c>
      <c r="N46" s="17">
        <f t="shared" si="2"/>
        <v>528428</v>
      </c>
      <c r="O46" s="17">
        <f t="shared" si="3"/>
        <v>0</v>
      </c>
      <c r="P46" s="17">
        <f t="shared" si="4"/>
        <v>0</v>
      </c>
      <c r="Q46" s="17">
        <f t="shared" si="5"/>
        <v>0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</row>
    <row r="47">
      <c r="A47" s="4"/>
      <c r="B47" s="20">
        <v>9.062047194E9</v>
      </c>
      <c r="C47" s="20" t="s">
        <v>20</v>
      </c>
      <c r="D47" s="21" t="s">
        <v>61</v>
      </c>
      <c r="E47" s="13" t="s">
        <v>22</v>
      </c>
      <c r="F47" s="20">
        <v>6420.0</v>
      </c>
      <c r="G47" s="20">
        <v>525156.0</v>
      </c>
      <c r="H47" s="22"/>
      <c r="I47" s="19">
        <v>100.0</v>
      </c>
      <c r="J47" s="16"/>
      <c r="K47" s="16"/>
      <c r="L47" s="15"/>
      <c r="M47" s="4">
        <f t="shared" si="1"/>
        <v>100</v>
      </c>
      <c r="N47" s="17">
        <f t="shared" si="2"/>
        <v>525156</v>
      </c>
      <c r="O47" s="17">
        <f t="shared" si="3"/>
        <v>0</v>
      </c>
      <c r="P47" s="17">
        <f t="shared" si="4"/>
        <v>0</v>
      </c>
      <c r="Q47" s="17">
        <f t="shared" si="5"/>
        <v>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</row>
    <row r="48">
      <c r="A48" s="4"/>
      <c r="B48" s="20">
        <v>9.062047194E9</v>
      </c>
      <c r="C48" s="20" t="s">
        <v>20</v>
      </c>
      <c r="D48" s="21" t="s">
        <v>62</v>
      </c>
      <c r="E48" s="13" t="s">
        <v>22</v>
      </c>
      <c r="F48" s="20">
        <v>4294.0</v>
      </c>
      <c r="G48" s="20">
        <v>351249.2</v>
      </c>
      <c r="H48" s="22"/>
      <c r="I48" s="16"/>
      <c r="J48" s="19">
        <v>100.0</v>
      </c>
      <c r="K48" s="16"/>
      <c r="L48" s="15"/>
      <c r="M48" s="4">
        <f t="shared" si="1"/>
        <v>100</v>
      </c>
      <c r="N48" s="17">
        <f t="shared" si="2"/>
        <v>0</v>
      </c>
      <c r="O48" s="17">
        <f t="shared" si="3"/>
        <v>351249.2</v>
      </c>
      <c r="P48" s="17">
        <f t="shared" si="4"/>
        <v>0</v>
      </c>
      <c r="Q48" s="17">
        <f t="shared" si="5"/>
        <v>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</row>
    <row r="49" hidden="1">
      <c r="A49" s="4"/>
      <c r="B49" s="20">
        <v>9.062046773E9</v>
      </c>
      <c r="C49" s="20" t="s">
        <v>63</v>
      </c>
      <c r="D49" s="21" t="s">
        <v>64</v>
      </c>
      <c r="E49" s="13" t="s">
        <v>65</v>
      </c>
      <c r="F49" s="20">
        <v>3500.0</v>
      </c>
      <c r="G49" s="20">
        <v>286300.0</v>
      </c>
      <c r="H49" s="22"/>
      <c r="I49" s="16"/>
      <c r="J49" s="19">
        <v>100.0</v>
      </c>
      <c r="K49" s="16"/>
      <c r="L49" s="15"/>
      <c r="M49" s="4">
        <f t="shared" si="1"/>
        <v>100</v>
      </c>
      <c r="N49" s="17">
        <f t="shared" si="2"/>
        <v>0</v>
      </c>
      <c r="O49" s="17">
        <f t="shared" si="3"/>
        <v>286300</v>
      </c>
      <c r="P49" s="17">
        <f t="shared" si="4"/>
        <v>0</v>
      </c>
      <c r="Q49" s="17">
        <f t="shared" si="5"/>
        <v>0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</row>
    <row r="50" hidden="1">
      <c r="A50" s="4"/>
      <c r="B50" s="20">
        <v>9.062046773E9</v>
      </c>
      <c r="C50" s="20" t="s">
        <v>63</v>
      </c>
      <c r="D50" s="21" t="s">
        <v>66</v>
      </c>
      <c r="E50" s="13" t="s">
        <v>65</v>
      </c>
      <c r="F50" s="20">
        <v>3500.0</v>
      </c>
      <c r="G50" s="20">
        <v>286300.0</v>
      </c>
      <c r="H50" s="22"/>
      <c r="I50" s="15"/>
      <c r="J50" s="19">
        <v>100.0</v>
      </c>
      <c r="K50" s="16"/>
      <c r="L50" s="16"/>
      <c r="M50" s="4">
        <f t="shared" si="1"/>
        <v>100</v>
      </c>
      <c r="N50" s="17">
        <f t="shared" si="2"/>
        <v>0</v>
      </c>
      <c r="O50" s="17">
        <f t="shared" si="3"/>
        <v>286300</v>
      </c>
      <c r="P50" s="17">
        <f t="shared" si="4"/>
        <v>0</v>
      </c>
      <c r="Q50" s="17">
        <f t="shared" si="5"/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</row>
    <row r="51" hidden="1">
      <c r="A51" s="4"/>
      <c r="B51" s="20">
        <v>9.062046773E9</v>
      </c>
      <c r="C51" s="20" t="s">
        <v>63</v>
      </c>
      <c r="D51" s="21" t="s">
        <v>67</v>
      </c>
      <c r="E51" s="13" t="s">
        <v>65</v>
      </c>
      <c r="F51" s="20">
        <v>10000.0</v>
      </c>
      <c r="G51" s="20">
        <v>818000.0</v>
      </c>
      <c r="H51" s="22"/>
      <c r="I51" s="15">
        <v>100.0</v>
      </c>
      <c r="J51" s="16"/>
      <c r="K51" s="16"/>
      <c r="L51" s="16"/>
      <c r="M51" s="4">
        <f t="shared" si="1"/>
        <v>100</v>
      </c>
      <c r="N51" s="17">
        <f t="shared" si="2"/>
        <v>818000</v>
      </c>
      <c r="O51" s="17">
        <f t="shared" si="3"/>
        <v>0</v>
      </c>
      <c r="P51" s="17">
        <f t="shared" si="4"/>
        <v>0</v>
      </c>
      <c r="Q51" s="17">
        <f t="shared" si="5"/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</row>
    <row r="52" hidden="1">
      <c r="A52" s="4"/>
      <c r="B52" s="20">
        <v>9.062046773E9</v>
      </c>
      <c r="C52" s="20" t="s">
        <v>63</v>
      </c>
      <c r="D52" s="21" t="s">
        <v>68</v>
      </c>
      <c r="E52" s="13" t="s">
        <v>65</v>
      </c>
      <c r="F52" s="20">
        <v>7000.0</v>
      </c>
      <c r="G52" s="20">
        <v>572600.0</v>
      </c>
      <c r="H52" s="22"/>
      <c r="I52" s="15">
        <v>100.0</v>
      </c>
      <c r="J52" s="16"/>
      <c r="K52" s="16"/>
      <c r="L52" s="16"/>
      <c r="M52" s="4">
        <f t="shared" si="1"/>
        <v>100</v>
      </c>
      <c r="N52" s="17">
        <f t="shared" si="2"/>
        <v>572600</v>
      </c>
      <c r="O52" s="17">
        <f t="shared" si="3"/>
        <v>0</v>
      </c>
      <c r="P52" s="17">
        <f t="shared" si="4"/>
        <v>0</v>
      </c>
      <c r="Q52" s="17">
        <f t="shared" si="5"/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</row>
    <row r="53" hidden="1">
      <c r="A53" s="4"/>
      <c r="B53" s="20">
        <v>9.062047015E9</v>
      </c>
      <c r="C53" s="23">
        <v>45109.0</v>
      </c>
      <c r="D53" s="21" t="s">
        <v>69</v>
      </c>
      <c r="E53" s="13" t="s">
        <v>65</v>
      </c>
      <c r="F53" s="20">
        <v>5000.0</v>
      </c>
      <c r="G53" s="20">
        <v>409000.0</v>
      </c>
      <c r="H53" s="22"/>
      <c r="I53" s="15">
        <v>100.0</v>
      </c>
      <c r="J53" s="16"/>
      <c r="K53" s="16"/>
      <c r="L53" s="16"/>
      <c r="M53" s="4">
        <f t="shared" si="1"/>
        <v>100</v>
      </c>
      <c r="N53" s="17">
        <f t="shared" si="2"/>
        <v>409000</v>
      </c>
      <c r="O53" s="17">
        <f t="shared" si="3"/>
        <v>0</v>
      </c>
      <c r="P53" s="17">
        <f t="shared" si="4"/>
        <v>0</v>
      </c>
      <c r="Q53" s="17">
        <f t="shared" si="5"/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</row>
    <row r="54" hidden="1">
      <c r="A54" s="4"/>
      <c r="B54" s="20">
        <v>9.062047015E9</v>
      </c>
      <c r="C54" s="23">
        <v>45109.0</v>
      </c>
      <c r="D54" s="21" t="s">
        <v>70</v>
      </c>
      <c r="E54" s="13" t="s">
        <v>65</v>
      </c>
      <c r="F54" s="20">
        <v>1400.0</v>
      </c>
      <c r="G54" s="20">
        <v>114520.0</v>
      </c>
      <c r="H54" s="22"/>
      <c r="I54" s="15">
        <v>100.0</v>
      </c>
      <c r="J54" s="16"/>
      <c r="K54" s="16"/>
      <c r="L54" s="16"/>
      <c r="M54" s="4">
        <f t="shared" si="1"/>
        <v>100</v>
      </c>
      <c r="N54" s="17">
        <f t="shared" si="2"/>
        <v>114520</v>
      </c>
      <c r="O54" s="17">
        <f t="shared" si="3"/>
        <v>0</v>
      </c>
      <c r="P54" s="17">
        <f t="shared" si="4"/>
        <v>0</v>
      </c>
      <c r="Q54" s="17">
        <f t="shared" si="5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</row>
    <row r="55" hidden="1">
      <c r="A55" s="4"/>
      <c r="B55" s="20">
        <v>9.062047015E9</v>
      </c>
      <c r="C55" s="23">
        <v>45109.0</v>
      </c>
      <c r="D55" s="21" t="s">
        <v>71</v>
      </c>
      <c r="E55" s="13" t="s">
        <v>65</v>
      </c>
      <c r="F55" s="20">
        <v>5000.0</v>
      </c>
      <c r="G55" s="20">
        <v>409000.0</v>
      </c>
      <c r="H55" s="22"/>
      <c r="I55" s="15"/>
      <c r="J55" s="19">
        <v>100.0</v>
      </c>
      <c r="K55" s="16"/>
      <c r="L55" s="16"/>
      <c r="M55" s="4">
        <f t="shared" si="1"/>
        <v>100</v>
      </c>
      <c r="N55" s="17">
        <f t="shared" si="2"/>
        <v>0</v>
      </c>
      <c r="O55" s="17">
        <f t="shared" si="3"/>
        <v>409000</v>
      </c>
      <c r="P55" s="17">
        <f t="shared" si="4"/>
        <v>0</v>
      </c>
      <c r="Q55" s="17">
        <f t="shared" si="5"/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</row>
    <row r="56" hidden="1">
      <c r="A56" s="4"/>
      <c r="B56" s="20">
        <v>9.062047015E9</v>
      </c>
      <c r="C56" s="23">
        <v>45109.0</v>
      </c>
      <c r="D56" s="21" t="s">
        <v>72</v>
      </c>
      <c r="E56" s="13" t="s">
        <v>65</v>
      </c>
      <c r="F56" s="20">
        <v>7500.0</v>
      </c>
      <c r="G56" s="20">
        <v>613500.0</v>
      </c>
      <c r="H56" s="22"/>
      <c r="I56" s="15"/>
      <c r="J56" s="19">
        <v>100.0</v>
      </c>
      <c r="K56" s="16"/>
      <c r="L56" s="16"/>
      <c r="M56" s="4">
        <f t="shared" si="1"/>
        <v>100</v>
      </c>
      <c r="N56" s="17">
        <f t="shared" si="2"/>
        <v>0</v>
      </c>
      <c r="O56" s="17">
        <f t="shared" si="3"/>
        <v>613500</v>
      </c>
      <c r="P56" s="17">
        <f t="shared" si="4"/>
        <v>0</v>
      </c>
      <c r="Q56" s="17">
        <f t="shared" si="5"/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</row>
    <row r="57" hidden="1">
      <c r="A57" s="4"/>
      <c r="B57" s="20">
        <v>9.062047755E9</v>
      </c>
      <c r="C57" s="23">
        <v>45204.0</v>
      </c>
      <c r="D57" s="21" t="s">
        <v>46</v>
      </c>
      <c r="E57" s="13" t="s">
        <v>22</v>
      </c>
      <c r="F57" s="20">
        <v>1271.0</v>
      </c>
      <c r="G57" s="20">
        <v>103967.8</v>
      </c>
      <c r="H57" s="22"/>
      <c r="I57" s="15"/>
      <c r="J57" s="16"/>
      <c r="K57" s="19">
        <v>100.0</v>
      </c>
      <c r="L57" s="16"/>
      <c r="M57" s="4">
        <f t="shared" si="1"/>
        <v>100</v>
      </c>
      <c r="N57" s="17">
        <f t="shared" si="2"/>
        <v>0</v>
      </c>
      <c r="O57" s="17">
        <f t="shared" si="3"/>
        <v>0</v>
      </c>
      <c r="P57" s="17">
        <f t="shared" si="4"/>
        <v>103967.8</v>
      </c>
      <c r="Q57" s="17">
        <f t="shared" si="5"/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</row>
    <row r="58" hidden="1">
      <c r="A58" s="4"/>
      <c r="B58" s="24"/>
      <c r="C58" s="25"/>
      <c r="D58" s="21" t="s">
        <v>73</v>
      </c>
      <c r="E58" s="13" t="s">
        <v>74</v>
      </c>
      <c r="F58" s="20">
        <v>8250.0</v>
      </c>
      <c r="G58" s="20">
        <v>674850.0</v>
      </c>
      <c r="H58" s="22"/>
      <c r="I58" s="15"/>
      <c r="J58" s="19">
        <v>100.0</v>
      </c>
      <c r="K58" s="16"/>
      <c r="L58" s="16"/>
      <c r="M58" s="4">
        <f t="shared" si="1"/>
        <v>100</v>
      </c>
      <c r="N58" s="17">
        <f t="shared" si="2"/>
        <v>0</v>
      </c>
      <c r="O58" s="17">
        <f t="shared" si="3"/>
        <v>674850</v>
      </c>
      <c r="P58" s="17">
        <f t="shared" si="4"/>
        <v>0</v>
      </c>
      <c r="Q58" s="17">
        <f t="shared" si="5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</row>
    <row r="59" hidden="1">
      <c r="A59" s="4"/>
      <c r="B59" s="20">
        <v>9.062047175E9</v>
      </c>
      <c r="C59" s="20" t="s">
        <v>75</v>
      </c>
      <c r="D59" s="21" t="s">
        <v>76</v>
      </c>
      <c r="E59" s="13" t="s">
        <v>77</v>
      </c>
      <c r="F59" s="20">
        <v>3000.0</v>
      </c>
      <c r="G59" s="20">
        <v>245400.0</v>
      </c>
      <c r="H59" s="22"/>
      <c r="I59" s="15"/>
      <c r="J59" s="19">
        <v>100.0</v>
      </c>
      <c r="K59" s="16"/>
      <c r="L59" s="16"/>
      <c r="M59" s="4">
        <f t="shared" si="1"/>
        <v>100</v>
      </c>
      <c r="N59" s="17">
        <f t="shared" si="2"/>
        <v>0</v>
      </c>
      <c r="O59" s="17">
        <f t="shared" si="3"/>
        <v>245400</v>
      </c>
      <c r="P59" s="17">
        <f t="shared" si="4"/>
        <v>0</v>
      </c>
      <c r="Q59" s="17">
        <f t="shared" si="5"/>
        <v>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</row>
    <row r="60" hidden="1">
      <c r="A60" s="4"/>
      <c r="B60" s="20">
        <v>9.062047175E9</v>
      </c>
      <c r="C60" s="20" t="s">
        <v>75</v>
      </c>
      <c r="D60" s="21" t="s">
        <v>78</v>
      </c>
      <c r="E60" s="13" t="s">
        <v>77</v>
      </c>
      <c r="F60" s="20">
        <v>3000.0</v>
      </c>
      <c r="G60" s="20">
        <v>245400.0</v>
      </c>
      <c r="H60" s="22"/>
      <c r="I60" s="16"/>
      <c r="J60" s="15"/>
      <c r="K60" s="16"/>
      <c r="L60" s="19">
        <v>100.0</v>
      </c>
      <c r="M60" s="4">
        <f t="shared" si="1"/>
        <v>100</v>
      </c>
      <c r="N60" s="17">
        <f t="shared" si="2"/>
        <v>0</v>
      </c>
      <c r="O60" s="17">
        <f t="shared" si="3"/>
        <v>0</v>
      </c>
      <c r="P60" s="17">
        <f t="shared" si="4"/>
        <v>0</v>
      </c>
      <c r="Q60" s="17">
        <f t="shared" si="5"/>
        <v>245400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</row>
    <row r="61" hidden="1">
      <c r="A61" s="4"/>
      <c r="B61" s="20">
        <v>9.062047175E9</v>
      </c>
      <c r="C61" s="20" t="s">
        <v>75</v>
      </c>
      <c r="D61" s="21" t="s">
        <v>79</v>
      </c>
      <c r="E61" s="13" t="s">
        <v>77</v>
      </c>
      <c r="F61" s="20">
        <v>3000.0</v>
      </c>
      <c r="G61" s="20">
        <v>245400.0</v>
      </c>
      <c r="H61" s="22"/>
      <c r="I61" s="16"/>
      <c r="J61" s="15">
        <v>100.0</v>
      </c>
      <c r="K61" s="16"/>
      <c r="L61" s="16"/>
      <c r="M61" s="4">
        <f t="shared" si="1"/>
        <v>100</v>
      </c>
      <c r="N61" s="17">
        <f t="shared" si="2"/>
        <v>0</v>
      </c>
      <c r="O61" s="17">
        <f t="shared" si="3"/>
        <v>245400</v>
      </c>
      <c r="P61" s="17">
        <f t="shared" si="4"/>
        <v>0</v>
      </c>
      <c r="Q61" s="17">
        <f t="shared" si="5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</row>
    <row r="62" hidden="1">
      <c r="A62" s="4"/>
      <c r="B62" s="20">
        <v>9.062047175E9</v>
      </c>
      <c r="C62" s="20" t="s">
        <v>75</v>
      </c>
      <c r="D62" s="21" t="s">
        <v>80</v>
      </c>
      <c r="E62" s="13" t="s">
        <v>77</v>
      </c>
      <c r="F62" s="20">
        <v>6000.0</v>
      </c>
      <c r="G62" s="20">
        <v>490800.0</v>
      </c>
      <c r="H62" s="22"/>
      <c r="I62" s="16"/>
      <c r="J62" s="16"/>
      <c r="K62" s="19">
        <v>100.0</v>
      </c>
      <c r="L62" s="15"/>
      <c r="M62" s="4">
        <f t="shared" si="1"/>
        <v>100</v>
      </c>
      <c r="N62" s="17">
        <f t="shared" si="2"/>
        <v>0</v>
      </c>
      <c r="O62" s="17">
        <f t="shared" si="3"/>
        <v>0</v>
      </c>
      <c r="P62" s="17">
        <f t="shared" si="4"/>
        <v>490800</v>
      </c>
      <c r="Q62" s="17">
        <f t="shared" si="5"/>
        <v>0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</row>
    <row r="63" hidden="1">
      <c r="A63" s="4"/>
      <c r="B63" s="20">
        <v>9.06204665E9</v>
      </c>
      <c r="C63" s="20" t="s">
        <v>81</v>
      </c>
      <c r="D63" s="21" t="s">
        <v>82</v>
      </c>
      <c r="E63" s="13" t="s">
        <v>77</v>
      </c>
      <c r="F63" s="20">
        <v>3000.0</v>
      </c>
      <c r="G63" s="20">
        <v>245400.0</v>
      </c>
      <c r="H63" s="22"/>
      <c r="I63" s="15"/>
      <c r="J63" s="19">
        <v>100.0</v>
      </c>
      <c r="K63" s="16"/>
      <c r="L63" s="16"/>
      <c r="M63" s="4">
        <f t="shared" si="1"/>
        <v>100</v>
      </c>
      <c r="N63" s="17">
        <f t="shared" si="2"/>
        <v>0</v>
      </c>
      <c r="O63" s="17">
        <f t="shared" si="3"/>
        <v>245400</v>
      </c>
      <c r="P63" s="17">
        <f t="shared" si="4"/>
        <v>0</v>
      </c>
      <c r="Q63" s="17">
        <f t="shared" si="5"/>
        <v>0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</row>
    <row r="64" hidden="1">
      <c r="A64" s="4"/>
      <c r="B64" s="20">
        <v>9.062047741E9</v>
      </c>
      <c r="C64" s="23">
        <v>45143.0</v>
      </c>
      <c r="D64" s="21" t="s">
        <v>83</v>
      </c>
      <c r="E64" s="13" t="s">
        <v>22</v>
      </c>
      <c r="F64" s="20">
        <v>3450.0</v>
      </c>
      <c r="G64" s="20">
        <v>282210.0</v>
      </c>
      <c r="H64" s="22"/>
      <c r="I64" s="15"/>
      <c r="J64" s="15">
        <v>100.0</v>
      </c>
      <c r="K64" s="15"/>
      <c r="L64" s="15"/>
      <c r="M64" s="4">
        <f t="shared" si="1"/>
        <v>100</v>
      </c>
      <c r="N64" s="17">
        <f t="shared" si="2"/>
        <v>0</v>
      </c>
      <c r="O64" s="17">
        <f t="shared" si="3"/>
        <v>282210</v>
      </c>
      <c r="P64" s="17">
        <f t="shared" si="4"/>
        <v>0</v>
      </c>
      <c r="Q64" s="17">
        <f t="shared" si="5"/>
        <v>0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</row>
    <row r="65" hidden="1">
      <c r="A65" s="4"/>
      <c r="B65" s="20">
        <v>9.062047741E9</v>
      </c>
      <c r="C65" s="23">
        <v>45143.0</v>
      </c>
      <c r="D65" s="21" t="s">
        <v>84</v>
      </c>
      <c r="E65" s="13" t="s">
        <v>22</v>
      </c>
      <c r="F65" s="20">
        <v>4200.0</v>
      </c>
      <c r="G65" s="20">
        <v>343560.0</v>
      </c>
      <c r="H65" s="22"/>
      <c r="I65" s="16"/>
      <c r="J65" s="15"/>
      <c r="K65" s="19">
        <v>100.0</v>
      </c>
      <c r="L65" s="16"/>
      <c r="M65" s="4">
        <f t="shared" si="1"/>
        <v>100</v>
      </c>
      <c r="N65" s="17">
        <f t="shared" si="2"/>
        <v>0</v>
      </c>
      <c r="O65" s="17">
        <f t="shared" si="3"/>
        <v>0</v>
      </c>
      <c r="P65" s="17">
        <f t="shared" si="4"/>
        <v>343560</v>
      </c>
      <c r="Q65" s="17">
        <f t="shared" si="5"/>
        <v>0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</row>
    <row r="66" hidden="1">
      <c r="A66" s="4"/>
      <c r="B66" s="20">
        <v>9.062047741E9</v>
      </c>
      <c r="C66" s="23">
        <v>45143.0</v>
      </c>
      <c r="D66" s="21" t="s">
        <v>85</v>
      </c>
      <c r="E66" s="13" t="s">
        <v>22</v>
      </c>
      <c r="F66" s="20">
        <v>2765.0</v>
      </c>
      <c r="G66" s="20">
        <v>226177.0</v>
      </c>
      <c r="H66" s="22"/>
      <c r="I66" s="16"/>
      <c r="J66" s="15">
        <v>100.0</v>
      </c>
      <c r="K66" s="16"/>
      <c r="L66" s="16"/>
      <c r="M66" s="4">
        <f t="shared" si="1"/>
        <v>100</v>
      </c>
      <c r="N66" s="17">
        <f t="shared" si="2"/>
        <v>0</v>
      </c>
      <c r="O66" s="17">
        <f t="shared" si="3"/>
        <v>226177</v>
      </c>
      <c r="P66" s="17">
        <f t="shared" si="4"/>
        <v>0</v>
      </c>
      <c r="Q66" s="17">
        <f t="shared" si="5"/>
        <v>0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</row>
    <row r="67" hidden="1">
      <c r="A67" s="4"/>
      <c r="B67" s="20">
        <v>9.062047741E9</v>
      </c>
      <c r="C67" s="23">
        <v>45143.0</v>
      </c>
      <c r="D67" s="21" t="s">
        <v>86</v>
      </c>
      <c r="E67" s="13" t="s">
        <v>22</v>
      </c>
      <c r="F67" s="20">
        <v>2100.0</v>
      </c>
      <c r="G67" s="20">
        <v>171780.0</v>
      </c>
      <c r="H67" s="22"/>
      <c r="I67" s="16"/>
      <c r="J67" s="15"/>
      <c r="K67" s="16"/>
      <c r="L67" s="19">
        <v>100.0</v>
      </c>
      <c r="M67" s="4">
        <f t="shared" si="1"/>
        <v>100</v>
      </c>
      <c r="N67" s="17">
        <f t="shared" si="2"/>
        <v>0</v>
      </c>
      <c r="O67" s="17">
        <f t="shared" si="3"/>
        <v>0</v>
      </c>
      <c r="P67" s="17">
        <f t="shared" si="4"/>
        <v>0</v>
      </c>
      <c r="Q67" s="17">
        <f t="shared" si="5"/>
        <v>171780</v>
      </c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</row>
    <row r="68" hidden="1">
      <c r="A68" s="4"/>
      <c r="B68" s="20">
        <v>9.062047741E9</v>
      </c>
      <c r="C68" s="23">
        <v>45143.0</v>
      </c>
      <c r="D68" s="21" t="s">
        <v>87</v>
      </c>
      <c r="E68" s="13" t="s">
        <v>22</v>
      </c>
      <c r="F68" s="20">
        <v>10800.0</v>
      </c>
      <c r="G68" s="20">
        <v>883440.0</v>
      </c>
      <c r="H68" s="22"/>
      <c r="I68" s="16"/>
      <c r="J68" s="15">
        <v>100.0</v>
      </c>
      <c r="K68" s="16"/>
      <c r="L68" s="16"/>
      <c r="M68" s="4">
        <f t="shared" si="1"/>
        <v>100</v>
      </c>
      <c r="N68" s="17">
        <f t="shared" si="2"/>
        <v>0</v>
      </c>
      <c r="O68" s="17">
        <f t="shared" si="3"/>
        <v>883440</v>
      </c>
      <c r="P68" s="17">
        <f t="shared" si="4"/>
        <v>0</v>
      </c>
      <c r="Q68" s="17">
        <f t="shared" si="5"/>
        <v>0</v>
      </c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</row>
    <row r="69" hidden="1">
      <c r="A69" s="4"/>
      <c r="B69" s="20">
        <v>9.062047741E9</v>
      </c>
      <c r="C69" s="23">
        <v>45143.0</v>
      </c>
      <c r="D69" s="21" t="s">
        <v>88</v>
      </c>
      <c r="E69" s="13" t="s">
        <v>22</v>
      </c>
      <c r="F69" s="20">
        <v>6760.0</v>
      </c>
      <c r="G69" s="20">
        <v>552968.0</v>
      </c>
      <c r="H69" s="22"/>
      <c r="I69" s="19">
        <v>100.0</v>
      </c>
      <c r="J69" s="15"/>
      <c r="K69" s="16"/>
      <c r="L69" s="16"/>
      <c r="M69" s="4">
        <f t="shared" si="1"/>
        <v>100</v>
      </c>
      <c r="N69" s="17">
        <f t="shared" si="2"/>
        <v>552968</v>
      </c>
      <c r="O69" s="17">
        <f t="shared" si="3"/>
        <v>0</v>
      </c>
      <c r="P69" s="17">
        <f t="shared" si="4"/>
        <v>0</v>
      </c>
      <c r="Q69" s="17">
        <f t="shared" si="5"/>
        <v>0</v>
      </c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</row>
    <row r="70" hidden="1">
      <c r="A70" s="4"/>
      <c r="B70" s="20">
        <v>9.062047741E9</v>
      </c>
      <c r="C70" s="23">
        <v>45143.0</v>
      </c>
      <c r="D70" s="21" t="s">
        <v>89</v>
      </c>
      <c r="E70" s="13" t="s">
        <v>22</v>
      </c>
      <c r="F70" s="20">
        <v>5530.0</v>
      </c>
      <c r="G70" s="20">
        <v>452354.0</v>
      </c>
      <c r="H70" s="22"/>
      <c r="I70" s="16"/>
      <c r="J70" s="15">
        <v>100.0</v>
      </c>
      <c r="K70" s="16"/>
      <c r="L70" s="16"/>
      <c r="M70" s="4">
        <f t="shared" si="1"/>
        <v>100</v>
      </c>
      <c r="N70" s="17">
        <f t="shared" si="2"/>
        <v>0</v>
      </c>
      <c r="O70" s="17">
        <f t="shared" si="3"/>
        <v>452354</v>
      </c>
      <c r="P70" s="17">
        <f t="shared" si="4"/>
        <v>0</v>
      </c>
      <c r="Q70" s="17">
        <f t="shared" si="5"/>
        <v>0</v>
      </c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</row>
    <row r="71" hidden="1">
      <c r="A71" s="4"/>
      <c r="B71" s="20">
        <v>9.062047741E9</v>
      </c>
      <c r="C71" s="23">
        <v>45143.0</v>
      </c>
      <c r="D71" s="21" t="s">
        <v>90</v>
      </c>
      <c r="E71" s="13" t="s">
        <v>22</v>
      </c>
      <c r="F71" s="20">
        <v>5530.0</v>
      </c>
      <c r="G71" s="20">
        <v>452354.0</v>
      </c>
      <c r="H71" s="22"/>
      <c r="I71" s="16"/>
      <c r="J71" s="15">
        <v>100.0</v>
      </c>
      <c r="K71" s="16"/>
      <c r="L71" s="16"/>
      <c r="M71" s="4">
        <f t="shared" si="1"/>
        <v>100</v>
      </c>
      <c r="N71" s="17">
        <f t="shared" si="2"/>
        <v>0</v>
      </c>
      <c r="O71" s="17">
        <f t="shared" si="3"/>
        <v>452354</v>
      </c>
      <c r="P71" s="17">
        <f t="shared" si="4"/>
        <v>0</v>
      </c>
      <c r="Q71" s="17">
        <f t="shared" si="5"/>
        <v>0</v>
      </c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</row>
    <row r="72" hidden="1">
      <c r="A72" s="4"/>
      <c r="B72" s="20">
        <v>9.062047741E9</v>
      </c>
      <c r="C72" s="23">
        <v>45143.0</v>
      </c>
      <c r="D72" s="21" t="s">
        <v>91</v>
      </c>
      <c r="E72" s="13" t="s">
        <v>22</v>
      </c>
      <c r="F72" s="20">
        <v>6000.0</v>
      </c>
      <c r="G72" s="20">
        <v>490800.0</v>
      </c>
      <c r="H72" s="22"/>
      <c r="I72" s="16"/>
      <c r="J72" s="15"/>
      <c r="K72" s="19">
        <v>100.0</v>
      </c>
      <c r="L72" s="16"/>
      <c r="M72" s="4">
        <f t="shared" si="1"/>
        <v>100</v>
      </c>
      <c r="N72" s="17">
        <f t="shared" si="2"/>
        <v>0</v>
      </c>
      <c r="O72" s="17">
        <f t="shared" si="3"/>
        <v>0</v>
      </c>
      <c r="P72" s="17">
        <f t="shared" si="4"/>
        <v>490800</v>
      </c>
      <c r="Q72" s="17">
        <f t="shared" si="5"/>
        <v>0</v>
      </c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</row>
    <row r="73" hidden="1">
      <c r="A73" s="4"/>
      <c r="B73" s="20">
        <v>9.062047741E9</v>
      </c>
      <c r="C73" s="23">
        <v>45143.0</v>
      </c>
      <c r="D73" s="21" t="s">
        <v>92</v>
      </c>
      <c r="E73" s="13" t="s">
        <v>22</v>
      </c>
      <c r="F73" s="20">
        <v>1500.0</v>
      </c>
      <c r="G73" s="20">
        <v>122700.0</v>
      </c>
      <c r="H73" s="22"/>
      <c r="I73" s="16"/>
      <c r="J73" s="16"/>
      <c r="K73" s="15"/>
      <c r="L73" s="19">
        <v>100.0</v>
      </c>
      <c r="M73" s="4">
        <f t="shared" si="1"/>
        <v>100</v>
      </c>
      <c r="N73" s="17">
        <f t="shared" si="2"/>
        <v>0</v>
      </c>
      <c r="O73" s="17">
        <f t="shared" si="3"/>
        <v>0</v>
      </c>
      <c r="P73" s="17">
        <f t="shared" si="4"/>
        <v>0</v>
      </c>
      <c r="Q73" s="17">
        <f t="shared" si="5"/>
        <v>122700</v>
      </c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</row>
    <row r="74" hidden="1">
      <c r="A74" s="4"/>
      <c r="B74" s="20">
        <v>9.062047741E9</v>
      </c>
      <c r="C74" s="23">
        <v>45143.0</v>
      </c>
      <c r="D74" s="21" t="s">
        <v>93</v>
      </c>
      <c r="E74" s="13" t="s">
        <v>22</v>
      </c>
      <c r="F74" s="20">
        <v>10800.0</v>
      </c>
      <c r="G74" s="20">
        <v>883440.0</v>
      </c>
      <c r="H74" s="22"/>
      <c r="I74" s="19">
        <v>100.0</v>
      </c>
      <c r="J74" s="16"/>
      <c r="K74" s="15"/>
      <c r="L74" s="16"/>
      <c r="M74" s="4">
        <f t="shared" si="1"/>
        <v>100</v>
      </c>
      <c r="N74" s="17">
        <f t="shared" si="2"/>
        <v>883440</v>
      </c>
      <c r="O74" s="17">
        <f t="shared" si="3"/>
        <v>0</v>
      </c>
      <c r="P74" s="17">
        <f t="shared" si="4"/>
        <v>0</v>
      </c>
      <c r="Q74" s="17">
        <f t="shared" si="5"/>
        <v>0</v>
      </c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</row>
    <row r="75" hidden="1">
      <c r="A75" s="4"/>
      <c r="B75" s="20">
        <v>9.062047741E9</v>
      </c>
      <c r="C75" s="23">
        <v>45143.0</v>
      </c>
      <c r="D75" s="21" t="s">
        <v>94</v>
      </c>
      <c r="E75" s="13" t="s">
        <v>22</v>
      </c>
      <c r="F75" s="20">
        <v>8850.0</v>
      </c>
      <c r="G75" s="20">
        <v>723930.0</v>
      </c>
      <c r="H75" s="22"/>
      <c r="I75" s="19">
        <v>100.0</v>
      </c>
      <c r="J75" s="16"/>
      <c r="K75" s="15"/>
      <c r="L75" s="16"/>
      <c r="M75" s="4">
        <f t="shared" si="1"/>
        <v>100</v>
      </c>
      <c r="N75" s="17">
        <f t="shared" si="2"/>
        <v>723930</v>
      </c>
      <c r="O75" s="17">
        <f t="shared" si="3"/>
        <v>0</v>
      </c>
      <c r="P75" s="17">
        <f t="shared" si="4"/>
        <v>0</v>
      </c>
      <c r="Q75" s="17">
        <f t="shared" si="5"/>
        <v>0</v>
      </c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</row>
    <row r="76" hidden="1">
      <c r="A76" s="4"/>
      <c r="B76" s="20">
        <v>9.062047741E9</v>
      </c>
      <c r="C76" s="23">
        <v>45143.0</v>
      </c>
      <c r="D76" s="21" t="s">
        <v>95</v>
      </c>
      <c r="E76" s="13" t="s">
        <v>22</v>
      </c>
      <c r="F76" s="20">
        <v>6571.0</v>
      </c>
      <c r="G76" s="20">
        <v>537507.8</v>
      </c>
      <c r="H76" s="22"/>
      <c r="I76" s="16"/>
      <c r="J76" s="19">
        <v>100.0</v>
      </c>
      <c r="K76" s="15"/>
      <c r="L76" s="16"/>
      <c r="M76" s="4">
        <f t="shared" si="1"/>
        <v>100</v>
      </c>
      <c r="N76" s="17">
        <f t="shared" si="2"/>
        <v>0</v>
      </c>
      <c r="O76" s="17">
        <f t="shared" si="3"/>
        <v>537507.8</v>
      </c>
      <c r="P76" s="17">
        <f t="shared" si="4"/>
        <v>0</v>
      </c>
      <c r="Q76" s="17">
        <f t="shared" si="5"/>
        <v>0</v>
      </c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</row>
    <row r="77" hidden="1">
      <c r="A77" s="4"/>
      <c r="B77" s="20">
        <v>9.062047741E9</v>
      </c>
      <c r="C77" s="23">
        <v>45143.0</v>
      </c>
      <c r="D77" s="21" t="s">
        <v>96</v>
      </c>
      <c r="E77" s="13" t="s">
        <v>22</v>
      </c>
      <c r="F77" s="20">
        <v>5800.0</v>
      </c>
      <c r="G77" s="20">
        <v>474440.0</v>
      </c>
      <c r="H77" s="22"/>
      <c r="I77" s="19">
        <v>100.0</v>
      </c>
      <c r="J77" s="16"/>
      <c r="K77" s="16"/>
      <c r="L77" s="15"/>
      <c r="M77" s="4">
        <f t="shared" si="1"/>
        <v>100</v>
      </c>
      <c r="N77" s="17">
        <f t="shared" si="2"/>
        <v>474440</v>
      </c>
      <c r="O77" s="17">
        <f t="shared" si="3"/>
        <v>0</v>
      </c>
      <c r="P77" s="17">
        <f t="shared" si="4"/>
        <v>0</v>
      </c>
      <c r="Q77" s="17">
        <f t="shared" si="5"/>
        <v>0</v>
      </c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</row>
    <row r="78" hidden="1">
      <c r="A78" s="4"/>
      <c r="B78" s="20">
        <v>9.062047741E9</v>
      </c>
      <c r="C78" s="23">
        <v>45143.0</v>
      </c>
      <c r="D78" s="21" t="s">
        <v>97</v>
      </c>
      <c r="E78" s="13" t="s">
        <v>22</v>
      </c>
      <c r="F78" s="20">
        <v>4900.0</v>
      </c>
      <c r="G78" s="20">
        <v>400820.0</v>
      </c>
      <c r="H78" s="22"/>
      <c r="I78" s="16"/>
      <c r="J78" s="16"/>
      <c r="K78" s="19">
        <v>100.0</v>
      </c>
      <c r="L78" s="15"/>
      <c r="M78" s="4">
        <f t="shared" si="1"/>
        <v>100</v>
      </c>
      <c r="N78" s="17">
        <f t="shared" si="2"/>
        <v>0</v>
      </c>
      <c r="O78" s="17">
        <f t="shared" si="3"/>
        <v>0</v>
      </c>
      <c r="P78" s="17">
        <f t="shared" si="4"/>
        <v>400820</v>
      </c>
      <c r="Q78" s="17">
        <f t="shared" si="5"/>
        <v>0</v>
      </c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</row>
    <row r="79" hidden="1">
      <c r="A79" s="4"/>
      <c r="B79" s="20">
        <v>9.062047741E9</v>
      </c>
      <c r="C79" s="23">
        <v>45143.0</v>
      </c>
      <c r="D79" s="21" t="s">
        <v>98</v>
      </c>
      <c r="E79" s="13" t="s">
        <v>22</v>
      </c>
      <c r="F79" s="20">
        <v>6760.0</v>
      </c>
      <c r="G79" s="20">
        <v>552968.0</v>
      </c>
      <c r="H79" s="22"/>
      <c r="I79" s="19">
        <v>100.0</v>
      </c>
      <c r="J79" s="16"/>
      <c r="K79" s="16"/>
      <c r="L79" s="15"/>
      <c r="M79" s="4">
        <f t="shared" si="1"/>
        <v>100</v>
      </c>
      <c r="N79" s="17">
        <f t="shared" si="2"/>
        <v>552968</v>
      </c>
      <c r="O79" s="17">
        <f t="shared" si="3"/>
        <v>0</v>
      </c>
      <c r="P79" s="17">
        <f t="shared" si="4"/>
        <v>0</v>
      </c>
      <c r="Q79" s="17">
        <f t="shared" si="5"/>
        <v>0</v>
      </c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</row>
    <row r="80" hidden="1">
      <c r="A80" s="4"/>
      <c r="B80" s="20">
        <v>9.062047741E9</v>
      </c>
      <c r="C80" s="23">
        <v>45143.0</v>
      </c>
      <c r="D80" s="21" t="s">
        <v>99</v>
      </c>
      <c r="E80" s="13" t="s">
        <v>22</v>
      </c>
      <c r="F80" s="20">
        <v>4200.0</v>
      </c>
      <c r="G80" s="20">
        <v>343560.0</v>
      </c>
      <c r="H80" s="22"/>
      <c r="I80" s="16"/>
      <c r="J80" s="16"/>
      <c r="K80" s="19">
        <v>100.0</v>
      </c>
      <c r="L80" s="15"/>
      <c r="M80" s="4">
        <f t="shared" si="1"/>
        <v>100</v>
      </c>
      <c r="N80" s="17">
        <f t="shared" si="2"/>
        <v>0</v>
      </c>
      <c r="O80" s="17">
        <f t="shared" si="3"/>
        <v>0</v>
      </c>
      <c r="P80" s="17">
        <f t="shared" si="4"/>
        <v>343560</v>
      </c>
      <c r="Q80" s="17">
        <f t="shared" si="5"/>
        <v>0</v>
      </c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</row>
    <row r="81" hidden="1">
      <c r="A81" s="4"/>
      <c r="B81" s="20">
        <v>9.062047741E9</v>
      </c>
      <c r="C81" s="23">
        <v>45143.0</v>
      </c>
      <c r="D81" s="21" t="s">
        <v>100</v>
      </c>
      <c r="E81" s="13" t="s">
        <v>22</v>
      </c>
      <c r="F81" s="20">
        <v>2500.0</v>
      </c>
      <c r="G81" s="20">
        <v>204500.0</v>
      </c>
      <c r="H81" s="22"/>
      <c r="I81" s="16"/>
      <c r="J81" s="16"/>
      <c r="K81" s="16"/>
      <c r="L81" s="15">
        <v>100.0</v>
      </c>
      <c r="M81" s="4">
        <f t="shared" si="1"/>
        <v>100</v>
      </c>
      <c r="N81" s="17">
        <f t="shared" si="2"/>
        <v>0</v>
      </c>
      <c r="O81" s="17">
        <f t="shared" si="3"/>
        <v>0</v>
      </c>
      <c r="P81" s="17">
        <f t="shared" si="4"/>
        <v>0</v>
      </c>
      <c r="Q81" s="17">
        <f t="shared" si="5"/>
        <v>204500</v>
      </c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</row>
    <row r="82" hidden="1">
      <c r="A82" s="4"/>
      <c r="B82" s="20">
        <v>9.062047741E9</v>
      </c>
      <c r="C82" s="23">
        <v>45143.0</v>
      </c>
      <c r="D82" s="21" t="s">
        <v>101</v>
      </c>
      <c r="E82" s="13" t="s">
        <v>22</v>
      </c>
      <c r="F82" s="20">
        <v>5530.0</v>
      </c>
      <c r="G82" s="20">
        <v>452354.0</v>
      </c>
      <c r="H82" s="22"/>
      <c r="I82" s="15"/>
      <c r="J82" s="19">
        <v>100.0</v>
      </c>
      <c r="K82" s="16"/>
      <c r="L82" s="16"/>
      <c r="M82" s="4">
        <f t="shared" si="1"/>
        <v>100</v>
      </c>
      <c r="N82" s="17">
        <f t="shared" si="2"/>
        <v>0</v>
      </c>
      <c r="O82" s="17">
        <f t="shared" si="3"/>
        <v>452354</v>
      </c>
      <c r="P82" s="17">
        <f t="shared" si="4"/>
        <v>0</v>
      </c>
      <c r="Q82" s="17">
        <f t="shared" si="5"/>
        <v>0</v>
      </c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</row>
    <row r="83" hidden="1">
      <c r="A83" s="4"/>
      <c r="B83" s="20">
        <v>9.062047741E9</v>
      </c>
      <c r="C83" s="23">
        <v>45143.0</v>
      </c>
      <c r="D83" s="21" t="s">
        <v>102</v>
      </c>
      <c r="E83" s="13" t="s">
        <v>22</v>
      </c>
      <c r="F83" s="20">
        <v>6760.0</v>
      </c>
      <c r="G83" s="20">
        <v>552968.0</v>
      </c>
      <c r="H83" s="22"/>
      <c r="I83" s="15">
        <v>100.0</v>
      </c>
      <c r="J83" s="16"/>
      <c r="K83" s="16"/>
      <c r="L83" s="16"/>
      <c r="M83" s="4">
        <f t="shared" si="1"/>
        <v>100</v>
      </c>
      <c r="N83" s="17">
        <f t="shared" si="2"/>
        <v>552968</v>
      </c>
      <c r="O83" s="17">
        <f t="shared" si="3"/>
        <v>0</v>
      </c>
      <c r="P83" s="17">
        <f t="shared" si="4"/>
        <v>0</v>
      </c>
      <c r="Q83" s="17">
        <f t="shared" si="5"/>
        <v>0</v>
      </c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</row>
    <row r="84" hidden="1">
      <c r="A84" s="4"/>
      <c r="B84" s="20">
        <v>9.062047741E9</v>
      </c>
      <c r="C84" s="23">
        <v>45143.0</v>
      </c>
      <c r="D84" s="21" t="s">
        <v>103</v>
      </c>
      <c r="E84" s="13" t="s">
        <v>22</v>
      </c>
      <c r="F84" s="20">
        <v>8850.0</v>
      </c>
      <c r="G84" s="20">
        <v>723930.0</v>
      </c>
      <c r="H84" s="22"/>
      <c r="I84" s="15">
        <v>100.0</v>
      </c>
      <c r="J84" s="16"/>
      <c r="K84" s="16"/>
      <c r="L84" s="16"/>
      <c r="M84" s="4">
        <f t="shared" si="1"/>
        <v>100</v>
      </c>
      <c r="N84" s="17">
        <f t="shared" si="2"/>
        <v>723930</v>
      </c>
      <c r="O84" s="17">
        <f t="shared" si="3"/>
        <v>0</v>
      </c>
      <c r="P84" s="17">
        <f t="shared" si="4"/>
        <v>0</v>
      </c>
      <c r="Q84" s="17">
        <f t="shared" si="5"/>
        <v>0</v>
      </c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</row>
    <row r="85" hidden="1">
      <c r="A85" s="4"/>
      <c r="B85" s="20">
        <v>9.062047741E9</v>
      </c>
      <c r="C85" s="23">
        <v>45143.0</v>
      </c>
      <c r="D85" s="21" t="s">
        <v>104</v>
      </c>
      <c r="E85" s="13" t="s">
        <v>22</v>
      </c>
      <c r="F85" s="20">
        <v>8850.0</v>
      </c>
      <c r="G85" s="20">
        <v>723930.0</v>
      </c>
      <c r="H85" s="22"/>
      <c r="I85" s="15">
        <v>100.0</v>
      </c>
      <c r="J85" s="16"/>
      <c r="K85" s="16"/>
      <c r="L85" s="16"/>
      <c r="M85" s="4">
        <f t="shared" si="1"/>
        <v>100</v>
      </c>
      <c r="N85" s="17">
        <f t="shared" si="2"/>
        <v>723930</v>
      </c>
      <c r="O85" s="17">
        <f t="shared" si="3"/>
        <v>0</v>
      </c>
      <c r="P85" s="17">
        <f t="shared" si="4"/>
        <v>0</v>
      </c>
      <c r="Q85" s="17">
        <f t="shared" si="5"/>
        <v>0</v>
      </c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</row>
    <row r="86" hidden="1">
      <c r="A86" s="4"/>
      <c r="B86" s="20">
        <v>9.062047741E9</v>
      </c>
      <c r="C86" s="23">
        <v>45143.0</v>
      </c>
      <c r="D86" s="21" t="s">
        <v>105</v>
      </c>
      <c r="E86" s="13" t="s">
        <v>22</v>
      </c>
      <c r="F86" s="20">
        <v>1500.0</v>
      </c>
      <c r="G86" s="20">
        <v>122700.0</v>
      </c>
      <c r="H86" s="22"/>
      <c r="I86" s="15"/>
      <c r="J86" s="16"/>
      <c r="K86" s="16"/>
      <c r="L86" s="19">
        <v>100.0</v>
      </c>
      <c r="M86" s="4">
        <f t="shared" si="1"/>
        <v>100</v>
      </c>
      <c r="N86" s="17">
        <f t="shared" si="2"/>
        <v>0</v>
      </c>
      <c r="O86" s="17">
        <f t="shared" si="3"/>
        <v>0</v>
      </c>
      <c r="P86" s="17">
        <f t="shared" si="4"/>
        <v>0</v>
      </c>
      <c r="Q86" s="17">
        <f t="shared" si="5"/>
        <v>122700</v>
      </c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</row>
    <row r="87" hidden="1">
      <c r="A87" s="4"/>
      <c r="B87" s="20">
        <v>9.062047741E9</v>
      </c>
      <c r="C87" s="23">
        <v>45143.0</v>
      </c>
      <c r="D87" s="21" t="s">
        <v>106</v>
      </c>
      <c r="E87" s="13" t="s">
        <v>22</v>
      </c>
      <c r="F87" s="20">
        <v>4977.0</v>
      </c>
      <c r="G87" s="20">
        <v>407118.6</v>
      </c>
      <c r="H87" s="22"/>
      <c r="I87" s="15"/>
      <c r="J87" s="19">
        <v>100.0</v>
      </c>
      <c r="K87" s="16"/>
      <c r="L87" s="16"/>
      <c r="M87" s="4">
        <f t="shared" si="1"/>
        <v>100</v>
      </c>
      <c r="N87" s="17">
        <f t="shared" si="2"/>
        <v>0</v>
      </c>
      <c r="O87" s="17">
        <f t="shared" si="3"/>
        <v>407118.6</v>
      </c>
      <c r="P87" s="17">
        <f t="shared" si="4"/>
        <v>0</v>
      </c>
      <c r="Q87" s="17">
        <f t="shared" si="5"/>
        <v>0</v>
      </c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</row>
    <row r="88" hidden="1">
      <c r="A88" s="4"/>
      <c r="B88" s="20">
        <v>9.062047741E9</v>
      </c>
      <c r="C88" s="23">
        <v>45143.0</v>
      </c>
      <c r="D88" s="21" t="s">
        <v>107</v>
      </c>
      <c r="E88" s="13" t="s">
        <v>22</v>
      </c>
      <c r="F88" s="20">
        <v>8850.0</v>
      </c>
      <c r="G88" s="20">
        <v>723930.0</v>
      </c>
      <c r="H88" s="22"/>
      <c r="I88" s="15">
        <v>100.0</v>
      </c>
      <c r="J88" s="16"/>
      <c r="K88" s="16"/>
      <c r="L88" s="16"/>
      <c r="M88" s="4">
        <f t="shared" si="1"/>
        <v>100</v>
      </c>
      <c r="N88" s="17">
        <f t="shared" si="2"/>
        <v>723930</v>
      </c>
      <c r="O88" s="17">
        <f t="shared" si="3"/>
        <v>0</v>
      </c>
      <c r="P88" s="17">
        <f t="shared" si="4"/>
        <v>0</v>
      </c>
      <c r="Q88" s="17">
        <f t="shared" si="5"/>
        <v>0</v>
      </c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</row>
    <row r="89" hidden="1">
      <c r="A89" s="4"/>
      <c r="B89" s="20">
        <v>9.062047741E9</v>
      </c>
      <c r="C89" s="23">
        <v>45143.0</v>
      </c>
      <c r="D89" s="21" t="s">
        <v>108</v>
      </c>
      <c r="E89" s="13" t="s">
        <v>22</v>
      </c>
      <c r="F89" s="20">
        <v>8300.0</v>
      </c>
      <c r="G89" s="20">
        <v>678940.0</v>
      </c>
      <c r="H89" s="22"/>
      <c r="I89" s="15">
        <v>100.0</v>
      </c>
      <c r="J89" s="16"/>
      <c r="K89" s="16"/>
      <c r="L89" s="16"/>
      <c r="M89" s="4">
        <f t="shared" si="1"/>
        <v>100</v>
      </c>
      <c r="N89" s="17">
        <f t="shared" si="2"/>
        <v>678940</v>
      </c>
      <c r="O89" s="17">
        <f t="shared" si="3"/>
        <v>0</v>
      </c>
      <c r="P89" s="17">
        <f t="shared" si="4"/>
        <v>0</v>
      </c>
      <c r="Q89" s="17">
        <f t="shared" si="5"/>
        <v>0</v>
      </c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</row>
    <row r="90" hidden="1">
      <c r="A90" s="4"/>
      <c r="B90" s="20">
        <v>9.062047741E9</v>
      </c>
      <c r="C90" s="23">
        <v>45143.0</v>
      </c>
      <c r="D90" s="21" t="s">
        <v>109</v>
      </c>
      <c r="E90" s="13" t="s">
        <v>22</v>
      </c>
      <c r="F90" s="20">
        <v>2100.0</v>
      </c>
      <c r="G90" s="20">
        <v>171780.0</v>
      </c>
      <c r="H90" s="22"/>
      <c r="I90" s="15"/>
      <c r="J90" s="16"/>
      <c r="K90" s="16"/>
      <c r="L90" s="19">
        <v>100.0</v>
      </c>
      <c r="M90" s="4">
        <f t="shared" si="1"/>
        <v>100</v>
      </c>
      <c r="N90" s="17">
        <f t="shared" si="2"/>
        <v>0</v>
      </c>
      <c r="O90" s="17">
        <f t="shared" si="3"/>
        <v>0</v>
      </c>
      <c r="P90" s="17">
        <f t="shared" si="4"/>
        <v>0</v>
      </c>
      <c r="Q90" s="17">
        <f t="shared" si="5"/>
        <v>171780</v>
      </c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</row>
    <row r="91" hidden="1">
      <c r="A91" s="4"/>
      <c r="B91" s="20">
        <v>9.062046721E9</v>
      </c>
      <c r="C91" s="23">
        <v>45170.0</v>
      </c>
      <c r="D91" s="26" t="s">
        <v>110</v>
      </c>
      <c r="E91" s="13" t="s">
        <v>77</v>
      </c>
      <c r="F91" s="20">
        <v>6348.0</v>
      </c>
      <c r="G91" s="20">
        <v>519266.4</v>
      </c>
      <c r="H91" s="22"/>
      <c r="I91" s="15">
        <v>30.0</v>
      </c>
      <c r="J91" s="19">
        <v>30.0</v>
      </c>
      <c r="K91" s="19">
        <v>20.0</v>
      </c>
      <c r="L91" s="19">
        <v>20.0</v>
      </c>
      <c r="M91" s="4">
        <f t="shared" si="1"/>
        <v>100</v>
      </c>
      <c r="N91" s="17">
        <f t="shared" si="2"/>
        <v>155779.92</v>
      </c>
      <c r="O91" s="17">
        <f t="shared" si="3"/>
        <v>155779.92</v>
      </c>
      <c r="P91" s="17">
        <f t="shared" si="4"/>
        <v>103853.28</v>
      </c>
      <c r="Q91" s="17">
        <f t="shared" si="5"/>
        <v>103853.28</v>
      </c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</row>
    <row r="92" hidden="1">
      <c r="A92" s="4"/>
      <c r="B92" s="20">
        <v>9.062047892E9</v>
      </c>
      <c r="C92" s="20" t="s">
        <v>111</v>
      </c>
      <c r="D92" s="21" t="s">
        <v>112</v>
      </c>
      <c r="E92" s="13" t="s">
        <v>22</v>
      </c>
      <c r="F92" s="20">
        <v>8850.0</v>
      </c>
      <c r="G92" s="20">
        <v>723930.0</v>
      </c>
      <c r="H92" s="22"/>
      <c r="I92" s="19">
        <v>100.0</v>
      </c>
      <c r="J92" s="15"/>
      <c r="K92" s="16"/>
      <c r="L92" s="16"/>
      <c r="M92" s="4">
        <f t="shared" si="1"/>
        <v>100</v>
      </c>
      <c r="N92" s="17">
        <f t="shared" si="2"/>
        <v>723930</v>
      </c>
      <c r="O92" s="17">
        <f t="shared" si="3"/>
        <v>0</v>
      </c>
      <c r="P92" s="17">
        <f t="shared" si="4"/>
        <v>0</v>
      </c>
      <c r="Q92" s="17">
        <f t="shared" si="5"/>
        <v>0</v>
      </c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</row>
    <row r="93" hidden="1">
      <c r="A93" s="4"/>
      <c r="B93" s="20">
        <v>9.062047892E9</v>
      </c>
      <c r="C93" s="20" t="s">
        <v>111</v>
      </c>
      <c r="D93" s="21" t="s">
        <v>113</v>
      </c>
      <c r="E93" s="13" t="s">
        <v>22</v>
      </c>
      <c r="F93" s="20">
        <v>6000.0</v>
      </c>
      <c r="G93" s="20">
        <v>490800.0</v>
      </c>
      <c r="H93" s="22"/>
      <c r="I93" s="16"/>
      <c r="J93" s="15"/>
      <c r="K93" s="19">
        <v>100.0</v>
      </c>
      <c r="L93" s="16"/>
      <c r="M93" s="4">
        <f t="shared" si="1"/>
        <v>100</v>
      </c>
      <c r="N93" s="17">
        <f t="shared" si="2"/>
        <v>0</v>
      </c>
      <c r="O93" s="17">
        <f t="shared" si="3"/>
        <v>0</v>
      </c>
      <c r="P93" s="17">
        <f t="shared" si="4"/>
        <v>490800</v>
      </c>
      <c r="Q93" s="17">
        <f t="shared" si="5"/>
        <v>0</v>
      </c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</row>
    <row r="94" hidden="1">
      <c r="A94" s="4"/>
      <c r="B94" s="20">
        <v>9.062047892E9</v>
      </c>
      <c r="C94" s="20" t="s">
        <v>111</v>
      </c>
      <c r="D94" s="21" t="s">
        <v>114</v>
      </c>
      <c r="E94" s="13" t="s">
        <v>22</v>
      </c>
      <c r="F94" s="20">
        <v>5530.0</v>
      </c>
      <c r="G94" s="20">
        <v>452354.0</v>
      </c>
      <c r="H94" s="22"/>
      <c r="I94" s="16"/>
      <c r="J94" s="15">
        <v>100.0</v>
      </c>
      <c r="K94" s="16"/>
      <c r="L94" s="16"/>
      <c r="M94" s="4">
        <f t="shared" si="1"/>
        <v>100</v>
      </c>
      <c r="N94" s="17">
        <f t="shared" si="2"/>
        <v>0</v>
      </c>
      <c r="O94" s="17">
        <f t="shared" si="3"/>
        <v>452354</v>
      </c>
      <c r="P94" s="17">
        <f t="shared" si="4"/>
        <v>0</v>
      </c>
      <c r="Q94" s="17">
        <f t="shared" si="5"/>
        <v>0</v>
      </c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</row>
    <row r="95" hidden="1">
      <c r="A95" s="4"/>
      <c r="B95" s="20">
        <v>9.062047892E9</v>
      </c>
      <c r="C95" s="20" t="s">
        <v>111</v>
      </c>
      <c r="D95" s="21" t="s">
        <v>115</v>
      </c>
      <c r="E95" s="13" t="s">
        <v>22</v>
      </c>
      <c r="F95" s="20">
        <v>8850.0</v>
      </c>
      <c r="G95" s="20">
        <v>723930.0</v>
      </c>
      <c r="H95" s="22"/>
      <c r="I95" s="19">
        <v>100.0</v>
      </c>
      <c r="J95" s="15"/>
      <c r="K95" s="16"/>
      <c r="L95" s="16"/>
      <c r="M95" s="4">
        <f t="shared" si="1"/>
        <v>100</v>
      </c>
      <c r="N95" s="17">
        <f t="shared" si="2"/>
        <v>723930</v>
      </c>
      <c r="O95" s="17">
        <f t="shared" si="3"/>
        <v>0</v>
      </c>
      <c r="P95" s="17">
        <f t="shared" si="4"/>
        <v>0</v>
      </c>
      <c r="Q95" s="17">
        <f t="shared" si="5"/>
        <v>0</v>
      </c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</row>
    <row r="96" hidden="1">
      <c r="A96" s="4"/>
      <c r="B96" s="20">
        <v>9.062047892E9</v>
      </c>
      <c r="C96" s="20" t="s">
        <v>111</v>
      </c>
      <c r="D96" s="21" t="s">
        <v>116</v>
      </c>
      <c r="E96" s="13" t="s">
        <v>22</v>
      </c>
      <c r="F96" s="20">
        <v>3150.0</v>
      </c>
      <c r="G96" s="20">
        <v>257670.0</v>
      </c>
      <c r="H96" s="22"/>
      <c r="I96" s="15"/>
      <c r="J96" s="15"/>
      <c r="K96" s="16"/>
      <c r="L96" s="19">
        <v>100.0</v>
      </c>
      <c r="M96" s="4">
        <f t="shared" si="1"/>
        <v>100</v>
      </c>
      <c r="N96" s="17">
        <f t="shared" si="2"/>
        <v>0</v>
      </c>
      <c r="O96" s="17">
        <f t="shared" si="3"/>
        <v>0</v>
      </c>
      <c r="P96" s="17">
        <f t="shared" si="4"/>
        <v>0</v>
      </c>
      <c r="Q96" s="17">
        <f t="shared" si="5"/>
        <v>257670</v>
      </c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</row>
    <row r="97" hidden="1">
      <c r="A97" s="4"/>
      <c r="B97" s="20">
        <v>9.062047892E9</v>
      </c>
      <c r="C97" s="20" t="s">
        <v>111</v>
      </c>
      <c r="D97" s="21" t="s">
        <v>117</v>
      </c>
      <c r="E97" s="13" t="s">
        <v>22</v>
      </c>
      <c r="F97" s="20">
        <v>5800.0</v>
      </c>
      <c r="G97" s="20">
        <v>474440.0</v>
      </c>
      <c r="H97" s="22"/>
      <c r="I97" s="19">
        <v>100.0</v>
      </c>
      <c r="J97" s="15"/>
      <c r="K97" s="16"/>
      <c r="L97" s="16"/>
      <c r="M97" s="4">
        <f t="shared" si="1"/>
        <v>100</v>
      </c>
      <c r="N97" s="17">
        <f t="shared" si="2"/>
        <v>474440</v>
      </c>
      <c r="O97" s="17">
        <f t="shared" si="3"/>
        <v>0</v>
      </c>
      <c r="P97" s="17">
        <f t="shared" si="4"/>
        <v>0</v>
      </c>
      <c r="Q97" s="17">
        <f t="shared" si="5"/>
        <v>0</v>
      </c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</row>
    <row r="98" hidden="1">
      <c r="A98" s="4"/>
      <c r="B98" s="20">
        <v>9.062047892E9</v>
      </c>
      <c r="C98" s="20" t="s">
        <v>111</v>
      </c>
      <c r="D98" s="21" t="s">
        <v>118</v>
      </c>
      <c r="E98" s="13" t="s">
        <v>22</v>
      </c>
      <c r="F98" s="20">
        <v>7000.0</v>
      </c>
      <c r="G98" s="20">
        <v>572600.0</v>
      </c>
      <c r="H98" s="22"/>
      <c r="I98" s="16"/>
      <c r="J98" s="15"/>
      <c r="K98" s="19">
        <v>100.0</v>
      </c>
      <c r="L98" s="16"/>
      <c r="M98" s="4">
        <f t="shared" si="1"/>
        <v>100</v>
      </c>
      <c r="N98" s="17">
        <f t="shared" si="2"/>
        <v>0</v>
      </c>
      <c r="O98" s="17">
        <f t="shared" si="3"/>
        <v>0</v>
      </c>
      <c r="P98" s="17">
        <f t="shared" si="4"/>
        <v>572600</v>
      </c>
      <c r="Q98" s="17">
        <f t="shared" si="5"/>
        <v>0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</row>
    <row r="99" hidden="1">
      <c r="A99" s="4"/>
      <c r="B99" s="20">
        <v>9.062047892E9</v>
      </c>
      <c r="C99" s="20" t="s">
        <v>111</v>
      </c>
      <c r="D99" s="21" t="s">
        <v>119</v>
      </c>
      <c r="E99" s="13" t="s">
        <v>22</v>
      </c>
      <c r="F99" s="20">
        <v>6243.0</v>
      </c>
      <c r="G99" s="20">
        <v>510677.4</v>
      </c>
      <c r="H99" s="22"/>
      <c r="I99" s="16"/>
      <c r="J99" s="15">
        <v>100.0</v>
      </c>
      <c r="K99" s="16"/>
      <c r="L99" s="16"/>
      <c r="M99" s="4">
        <f t="shared" si="1"/>
        <v>100</v>
      </c>
      <c r="N99" s="17">
        <f t="shared" si="2"/>
        <v>0</v>
      </c>
      <c r="O99" s="17">
        <f t="shared" si="3"/>
        <v>510677.4</v>
      </c>
      <c r="P99" s="17">
        <f t="shared" si="4"/>
        <v>0</v>
      </c>
      <c r="Q99" s="17">
        <f t="shared" si="5"/>
        <v>0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</row>
    <row r="100" hidden="1">
      <c r="A100" s="4"/>
      <c r="B100" s="20">
        <v>9.062047892E9</v>
      </c>
      <c r="C100" s="20" t="s">
        <v>111</v>
      </c>
      <c r="D100" s="21" t="s">
        <v>120</v>
      </c>
      <c r="E100" s="13" t="s">
        <v>22</v>
      </c>
      <c r="F100" s="20">
        <v>6760.0</v>
      </c>
      <c r="G100" s="20">
        <v>552968.0</v>
      </c>
      <c r="H100" s="22"/>
      <c r="I100" s="19">
        <v>100.0</v>
      </c>
      <c r="J100" s="16"/>
      <c r="K100" s="15"/>
      <c r="L100" s="16"/>
      <c r="M100" s="4">
        <f t="shared" si="1"/>
        <v>100</v>
      </c>
      <c r="N100" s="17">
        <f t="shared" si="2"/>
        <v>552968</v>
      </c>
      <c r="O100" s="17">
        <f t="shared" si="3"/>
        <v>0</v>
      </c>
      <c r="P100" s="17">
        <f t="shared" si="4"/>
        <v>0</v>
      </c>
      <c r="Q100" s="17">
        <f t="shared" si="5"/>
        <v>0</v>
      </c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</row>
    <row r="101" hidden="1">
      <c r="A101" s="4"/>
      <c r="B101" s="20">
        <v>9.062047892E9</v>
      </c>
      <c r="C101" s="20" t="s">
        <v>111</v>
      </c>
      <c r="D101" s="21" t="s">
        <v>121</v>
      </c>
      <c r="E101" s="13" t="s">
        <v>22</v>
      </c>
      <c r="F101" s="20">
        <v>6760.0</v>
      </c>
      <c r="G101" s="20">
        <v>552968.0</v>
      </c>
      <c r="H101" s="22"/>
      <c r="I101" s="19">
        <v>100.0</v>
      </c>
      <c r="J101" s="16"/>
      <c r="K101" s="15"/>
      <c r="L101" s="16"/>
      <c r="M101" s="4">
        <f t="shared" si="1"/>
        <v>100</v>
      </c>
      <c r="N101" s="17">
        <f t="shared" si="2"/>
        <v>552968</v>
      </c>
      <c r="O101" s="17">
        <f t="shared" si="3"/>
        <v>0</v>
      </c>
      <c r="P101" s="17">
        <f t="shared" si="4"/>
        <v>0</v>
      </c>
      <c r="Q101" s="17">
        <f t="shared" si="5"/>
        <v>0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</row>
    <row r="102" hidden="1">
      <c r="A102" s="4"/>
      <c r="B102" s="20">
        <v>9.062047892E9</v>
      </c>
      <c r="C102" s="20" t="s">
        <v>111</v>
      </c>
      <c r="D102" s="21" t="s">
        <v>122</v>
      </c>
      <c r="E102" s="13" t="s">
        <v>22</v>
      </c>
      <c r="F102" s="20">
        <v>8850.0</v>
      </c>
      <c r="G102" s="20">
        <v>723930.0</v>
      </c>
      <c r="H102" s="22"/>
      <c r="I102" s="19">
        <v>100.0</v>
      </c>
      <c r="J102" s="16"/>
      <c r="K102" s="15"/>
      <c r="L102" s="16"/>
      <c r="M102" s="4">
        <f t="shared" si="1"/>
        <v>100</v>
      </c>
      <c r="N102" s="17">
        <f t="shared" si="2"/>
        <v>723930</v>
      </c>
      <c r="O102" s="17">
        <f t="shared" si="3"/>
        <v>0</v>
      </c>
      <c r="P102" s="17">
        <f t="shared" si="4"/>
        <v>0</v>
      </c>
      <c r="Q102" s="17">
        <f t="shared" si="5"/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</row>
    <row r="103" hidden="1">
      <c r="A103" s="4"/>
      <c r="B103" s="20">
        <v>9.062047892E9</v>
      </c>
      <c r="C103" s="20" t="s">
        <v>111</v>
      </c>
      <c r="D103" s="21" t="s">
        <v>123</v>
      </c>
      <c r="E103" s="13" t="s">
        <v>22</v>
      </c>
      <c r="F103" s="20">
        <v>2500.0</v>
      </c>
      <c r="G103" s="20">
        <v>204500.0</v>
      </c>
      <c r="H103" s="22"/>
      <c r="I103" s="16"/>
      <c r="J103" s="16"/>
      <c r="K103" s="15"/>
      <c r="L103" s="19">
        <v>100.0</v>
      </c>
      <c r="M103" s="4">
        <f t="shared" si="1"/>
        <v>100</v>
      </c>
      <c r="N103" s="17">
        <f t="shared" si="2"/>
        <v>0</v>
      </c>
      <c r="O103" s="17">
        <f t="shared" si="3"/>
        <v>0</v>
      </c>
      <c r="P103" s="17">
        <f t="shared" si="4"/>
        <v>0</v>
      </c>
      <c r="Q103" s="17">
        <f t="shared" si="5"/>
        <v>204500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</row>
    <row r="104" hidden="1">
      <c r="A104" s="4"/>
      <c r="B104" s="20">
        <v>9.062047892E9</v>
      </c>
      <c r="C104" s="20" t="s">
        <v>111</v>
      </c>
      <c r="D104" s="21" t="s">
        <v>124</v>
      </c>
      <c r="E104" s="13" t="s">
        <v>22</v>
      </c>
      <c r="F104" s="20">
        <v>5530.0</v>
      </c>
      <c r="G104" s="20">
        <v>452354.0</v>
      </c>
      <c r="H104" s="22"/>
      <c r="I104" s="16"/>
      <c r="J104" s="19">
        <v>100.0</v>
      </c>
      <c r="K104" s="16"/>
      <c r="L104" s="15"/>
      <c r="M104" s="4">
        <f t="shared" si="1"/>
        <v>100</v>
      </c>
      <c r="N104" s="17">
        <f t="shared" si="2"/>
        <v>0</v>
      </c>
      <c r="O104" s="17">
        <f t="shared" si="3"/>
        <v>452354</v>
      </c>
      <c r="P104" s="17">
        <f t="shared" si="4"/>
        <v>0</v>
      </c>
      <c r="Q104" s="17">
        <f t="shared" si="5"/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</row>
    <row r="105" hidden="1">
      <c r="A105" s="4"/>
      <c r="B105" s="20">
        <v>9.062047892E9</v>
      </c>
      <c r="C105" s="20" t="s">
        <v>111</v>
      </c>
      <c r="D105" s="21" t="s">
        <v>125</v>
      </c>
      <c r="E105" s="13" t="s">
        <v>22</v>
      </c>
      <c r="F105" s="20">
        <v>2250.0</v>
      </c>
      <c r="G105" s="20">
        <v>184050.0</v>
      </c>
      <c r="H105" s="22"/>
      <c r="I105" s="16"/>
      <c r="J105" s="16"/>
      <c r="K105" s="16"/>
      <c r="L105" s="15">
        <v>100.0</v>
      </c>
      <c r="M105" s="4">
        <f t="shared" si="1"/>
        <v>100</v>
      </c>
      <c r="N105" s="17">
        <f t="shared" si="2"/>
        <v>0</v>
      </c>
      <c r="O105" s="17">
        <f t="shared" si="3"/>
        <v>0</v>
      </c>
      <c r="P105" s="17">
        <f t="shared" si="4"/>
        <v>0</v>
      </c>
      <c r="Q105" s="17">
        <f t="shared" si="5"/>
        <v>184050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</row>
    <row r="106" hidden="1">
      <c r="A106" s="4"/>
      <c r="B106" s="20">
        <v>9.062047892E9</v>
      </c>
      <c r="C106" s="20" t="s">
        <v>111</v>
      </c>
      <c r="D106" s="21" t="s">
        <v>126</v>
      </c>
      <c r="E106" s="13" t="s">
        <v>22</v>
      </c>
      <c r="F106" s="20">
        <v>10800.0</v>
      </c>
      <c r="G106" s="20">
        <v>883440.0</v>
      </c>
      <c r="H106" s="22"/>
      <c r="I106" s="19">
        <v>100.0</v>
      </c>
      <c r="J106" s="16"/>
      <c r="K106" s="16"/>
      <c r="L106" s="15"/>
      <c r="M106" s="4">
        <f t="shared" si="1"/>
        <v>100</v>
      </c>
      <c r="N106" s="17">
        <f t="shared" si="2"/>
        <v>883440</v>
      </c>
      <c r="O106" s="17">
        <f t="shared" si="3"/>
        <v>0</v>
      </c>
      <c r="P106" s="17">
        <f t="shared" si="4"/>
        <v>0</v>
      </c>
      <c r="Q106" s="17">
        <f t="shared" si="5"/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</row>
    <row r="107" hidden="1">
      <c r="A107" s="4"/>
      <c r="B107" s="20">
        <v>9.062047892E9</v>
      </c>
      <c r="C107" s="20" t="s">
        <v>111</v>
      </c>
      <c r="D107" s="21" t="s">
        <v>127</v>
      </c>
      <c r="E107" s="13" t="s">
        <v>22</v>
      </c>
      <c r="F107" s="20">
        <v>5530.0</v>
      </c>
      <c r="G107" s="20">
        <v>452354.0</v>
      </c>
      <c r="H107" s="22"/>
      <c r="I107" s="16"/>
      <c r="J107" s="19">
        <v>100.0</v>
      </c>
      <c r="K107" s="16"/>
      <c r="L107" s="15"/>
      <c r="M107" s="4">
        <f t="shared" si="1"/>
        <v>100</v>
      </c>
      <c r="N107" s="17">
        <f t="shared" si="2"/>
        <v>0</v>
      </c>
      <c r="O107" s="17">
        <f t="shared" si="3"/>
        <v>452354</v>
      </c>
      <c r="P107" s="17">
        <f t="shared" si="4"/>
        <v>0</v>
      </c>
      <c r="Q107" s="17">
        <f t="shared" si="5"/>
        <v>0</v>
      </c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</row>
    <row r="108" hidden="1">
      <c r="A108" s="4"/>
      <c r="B108" s="20">
        <v>9.062047892E9</v>
      </c>
      <c r="C108" s="20" t="s">
        <v>111</v>
      </c>
      <c r="D108" s="21" t="s">
        <v>128</v>
      </c>
      <c r="E108" s="13" t="s">
        <v>22</v>
      </c>
      <c r="F108" s="20">
        <v>6571.0</v>
      </c>
      <c r="G108" s="20">
        <v>537507.8</v>
      </c>
      <c r="H108" s="22"/>
      <c r="I108" s="16"/>
      <c r="J108" s="19">
        <v>100.0</v>
      </c>
      <c r="K108" s="16"/>
      <c r="L108" s="15"/>
      <c r="M108" s="4">
        <f t="shared" si="1"/>
        <v>100</v>
      </c>
      <c r="N108" s="17">
        <f t="shared" si="2"/>
        <v>0</v>
      </c>
      <c r="O108" s="17">
        <f t="shared" si="3"/>
        <v>537507.8</v>
      </c>
      <c r="P108" s="17">
        <f t="shared" si="4"/>
        <v>0</v>
      </c>
      <c r="Q108" s="17">
        <f t="shared" si="5"/>
        <v>0</v>
      </c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</row>
    <row r="109" hidden="1">
      <c r="A109" s="4"/>
      <c r="B109" s="20">
        <v>9.062047892E9</v>
      </c>
      <c r="C109" s="20" t="s">
        <v>111</v>
      </c>
      <c r="D109" s="21" t="s">
        <v>129</v>
      </c>
      <c r="E109" s="13" t="s">
        <v>22</v>
      </c>
      <c r="F109" s="20">
        <v>2250.0</v>
      </c>
      <c r="G109" s="20">
        <v>184050.0</v>
      </c>
      <c r="H109" s="22"/>
      <c r="I109" s="15"/>
      <c r="J109" s="16"/>
      <c r="K109" s="16"/>
      <c r="L109" s="19">
        <v>100.0</v>
      </c>
      <c r="M109" s="4">
        <f t="shared" si="1"/>
        <v>100</v>
      </c>
      <c r="N109" s="17">
        <f t="shared" si="2"/>
        <v>0</v>
      </c>
      <c r="O109" s="17">
        <f t="shared" si="3"/>
        <v>0</v>
      </c>
      <c r="P109" s="17">
        <f t="shared" si="4"/>
        <v>0</v>
      </c>
      <c r="Q109" s="17">
        <f t="shared" si="5"/>
        <v>184050</v>
      </c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</row>
    <row r="110" hidden="1">
      <c r="A110" s="4"/>
      <c r="B110" s="20">
        <v>9.062047892E9</v>
      </c>
      <c r="C110" s="20" t="s">
        <v>111</v>
      </c>
      <c r="D110" s="21" t="s">
        <v>130</v>
      </c>
      <c r="E110" s="13" t="s">
        <v>22</v>
      </c>
      <c r="F110" s="20">
        <v>2100.0</v>
      </c>
      <c r="G110" s="20">
        <v>171780.0</v>
      </c>
      <c r="H110" s="22"/>
      <c r="I110" s="15"/>
      <c r="J110" s="16"/>
      <c r="K110" s="16"/>
      <c r="L110" s="19">
        <v>100.0</v>
      </c>
      <c r="M110" s="4">
        <f t="shared" si="1"/>
        <v>100</v>
      </c>
      <c r="N110" s="17">
        <f t="shared" si="2"/>
        <v>0</v>
      </c>
      <c r="O110" s="17">
        <f t="shared" si="3"/>
        <v>0</v>
      </c>
      <c r="P110" s="17">
        <f t="shared" si="4"/>
        <v>0</v>
      </c>
      <c r="Q110" s="17">
        <f t="shared" si="5"/>
        <v>171780</v>
      </c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</row>
    <row r="111" hidden="1">
      <c r="A111" s="4"/>
      <c r="B111" s="20">
        <v>9.062047892E9</v>
      </c>
      <c r="C111" s="20" t="s">
        <v>111</v>
      </c>
      <c r="D111" s="21" t="s">
        <v>131</v>
      </c>
      <c r="E111" s="13" t="s">
        <v>22</v>
      </c>
      <c r="F111" s="20">
        <v>4977.0</v>
      </c>
      <c r="G111" s="20">
        <v>407118.6</v>
      </c>
      <c r="H111" s="22"/>
      <c r="I111" s="15"/>
      <c r="J111" s="19">
        <v>100.0</v>
      </c>
      <c r="K111" s="16"/>
      <c r="L111" s="16"/>
      <c r="M111" s="4">
        <f t="shared" si="1"/>
        <v>100</v>
      </c>
      <c r="N111" s="17">
        <f t="shared" si="2"/>
        <v>0</v>
      </c>
      <c r="O111" s="17">
        <f t="shared" si="3"/>
        <v>407118.6</v>
      </c>
      <c r="P111" s="17">
        <f t="shared" si="4"/>
        <v>0</v>
      </c>
      <c r="Q111" s="17">
        <f t="shared" si="5"/>
        <v>0</v>
      </c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</row>
    <row r="112" hidden="1">
      <c r="A112" s="4"/>
      <c r="B112" s="20">
        <v>9.062047892E9</v>
      </c>
      <c r="C112" s="20" t="s">
        <v>111</v>
      </c>
      <c r="D112" s="21" t="s">
        <v>132</v>
      </c>
      <c r="E112" s="13" t="s">
        <v>22</v>
      </c>
      <c r="F112" s="20">
        <v>8850.0</v>
      </c>
      <c r="G112" s="20">
        <v>723930.0</v>
      </c>
      <c r="H112" s="22"/>
      <c r="I112" s="15">
        <v>100.0</v>
      </c>
      <c r="J112" s="16"/>
      <c r="K112" s="16"/>
      <c r="L112" s="16"/>
      <c r="M112" s="4">
        <f t="shared" si="1"/>
        <v>100</v>
      </c>
      <c r="N112" s="17">
        <f t="shared" si="2"/>
        <v>723930</v>
      </c>
      <c r="O112" s="17">
        <f t="shared" si="3"/>
        <v>0</v>
      </c>
      <c r="P112" s="17">
        <f t="shared" si="4"/>
        <v>0</v>
      </c>
      <c r="Q112" s="17">
        <f t="shared" si="5"/>
        <v>0</v>
      </c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</row>
    <row r="113" hidden="1">
      <c r="A113" s="4"/>
      <c r="B113" s="20">
        <v>9.062047892E9</v>
      </c>
      <c r="C113" s="20" t="s">
        <v>111</v>
      </c>
      <c r="D113" s="21" t="s">
        <v>133</v>
      </c>
      <c r="E113" s="13" t="s">
        <v>22</v>
      </c>
      <c r="F113" s="20">
        <v>4900.0</v>
      </c>
      <c r="G113" s="20">
        <v>400820.0</v>
      </c>
      <c r="H113" s="22"/>
      <c r="I113" s="15"/>
      <c r="J113" s="16"/>
      <c r="K113" s="19">
        <v>100.0</v>
      </c>
      <c r="L113" s="16"/>
      <c r="M113" s="4">
        <f t="shared" si="1"/>
        <v>100</v>
      </c>
      <c r="N113" s="17">
        <f t="shared" si="2"/>
        <v>0</v>
      </c>
      <c r="O113" s="17">
        <f t="shared" si="3"/>
        <v>0</v>
      </c>
      <c r="P113" s="17">
        <f t="shared" si="4"/>
        <v>400820</v>
      </c>
      <c r="Q113" s="17">
        <f t="shared" si="5"/>
        <v>0</v>
      </c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</row>
    <row r="114" hidden="1">
      <c r="A114" s="4"/>
      <c r="B114" s="20">
        <v>9.062047892E9</v>
      </c>
      <c r="C114" s="20" t="s">
        <v>111</v>
      </c>
      <c r="D114" s="21" t="s">
        <v>134</v>
      </c>
      <c r="E114" s="13" t="s">
        <v>22</v>
      </c>
      <c r="F114" s="20">
        <v>6760.0</v>
      </c>
      <c r="G114" s="20">
        <v>552968.0</v>
      </c>
      <c r="H114" s="22"/>
      <c r="I114" s="15">
        <v>100.0</v>
      </c>
      <c r="J114" s="16"/>
      <c r="K114" s="16"/>
      <c r="L114" s="16"/>
      <c r="M114" s="4">
        <f t="shared" si="1"/>
        <v>100</v>
      </c>
      <c r="N114" s="17">
        <f t="shared" si="2"/>
        <v>552968</v>
      </c>
      <c r="O114" s="17">
        <f t="shared" si="3"/>
        <v>0</v>
      </c>
      <c r="P114" s="17">
        <f t="shared" si="4"/>
        <v>0</v>
      </c>
      <c r="Q114" s="17">
        <f t="shared" si="5"/>
        <v>0</v>
      </c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</row>
    <row r="115" hidden="1">
      <c r="A115" s="4"/>
      <c r="B115" s="20">
        <v>9.062047892E9</v>
      </c>
      <c r="C115" s="20" t="s">
        <v>111</v>
      </c>
      <c r="D115" s="21" t="s">
        <v>135</v>
      </c>
      <c r="E115" s="13" t="s">
        <v>22</v>
      </c>
      <c r="F115" s="20">
        <v>10000.0</v>
      </c>
      <c r="G115" s="20">
        <v>818000.0</v>
      </c>
      <c r="H115" s="22"/>
      <c r="I115" s="15"/>
      <c r="J115" s="19">
        <v>100.0</v>
      </c>
      <c r="K115" s="16"/>
      <c r="L115" s="16"/>
      <c r="M115" s="4">
        <f t="shared" si="1"/>
        <v>100</v>
      </c>
      <c r="N115" s="17">
        <f t="shared" si="2"/>
        <v>0</v>
      </c>
      <c r="O115" s="17">
        <f t="shared" si="3"/>
        <v>818000</v>
      </c>
      <c r="P115" s="17">
        <f t="shared" si="4"/>
        <v>0</v>
      </c>
      <c r="Q115" s="17">
        <f t="shared" si="5"/>
        <v>0</v>
      </c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</row>
    <row r="116" hidden="1">
      <c r="A116" s="4"/>
      <c r="B116" s="20">
        <v>9.062047892E9</v>
      </c>
      <c r="C116" s="20" t="s">
        <v>111</v>
      </c>
      <c r="D116" s="21" t="s">
        <v>136</v>
      </c>
      <c r="E116" s="13" t="s">
        <v>22</v>
      </c>
      <c r="F116" s="20">
        <v>8300.0</v>
      </c>
      <c r="G116" s="20">
        <v>678940.0</v>
      </c>
      <c r="H116" s="22"/>
      <c r="I116" s="15">
        <v>100.0</v>
      </c>
      <c r="J116" s="16"/>
      <c r="K116" s="16"/>
      <c r="L116" s="16"/>
      <c r="M116" s="4">
        <f t="shared" si="1"/>
        <v>100</v>
      </c>
      <c r="N116" s="17">
        <f t="shared" si="2"/>
        <v>678940</v>
      </c>
      <c r="O116" s="17">
        <f t="shared" si="3"/>
        <v>0</v>
      </c>
      <c r="P116" s="17">
        <f t="shared" si="4"/>
        <v>0</v>
      </c>
      <c r="Q116" s="17">
        <f t="shared" si="5"/>
        <v>0</v>
      </c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</row>
    <row r="117" hidden="1">
      <c r="A117" s="4"/>
      <c r="B117" s="20">
        <v>9.062047892E9</v>
      </c>
      <c r="C117" s="20" t="s">
        <v>111</v>
      </c>
      <c r="D117" s="21" t="s">
        <v>137</v>
      </c>
      <c r="E117" s="13" t="s">
        <v>22</v>
      </c>
      <c r="F117" s="20">
        <v>4148.0</v>
      </c>
      <c r="G117" s="20">
        <v>339306.4</v>
      </c>
      <c r="H117" s="22"/>
      <c r="I117" s="15"/>
      <c r="J117" s="19">
        <v>100.0</v>
      </c>
      <c r="K117" s="16"/>
      <c r="L117" s="16"/>
      <c r="M117" s="4">
        <f t="shared" si="1"/>
        <v>100</v>
      </c>
      <c r="N117" s="17">
        <f t="shared" si="2"/>
        <v>0</v>
      </c>
      <c r="O117" s="17">
        <f t="shared" si="3"/>
        <v>339306.4</v>
      </c>
      <c r="P117" s="17">
        <f t="shared" si="4"/>
        <v>0</v>
      </c>
      <c r="Q117" s="17">
        <f t="shared" si="5"/>
        <v>0</v>
      </c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</row>
    <row r="118" hidden="1">
      <c r="A118" s="4"/>
      <c r="B118" s="20">
        <v>9.062047892E9</v>
      </c>
      <c r="C118" s="20" t="s">
        <v>111</v>
      </c>
      <c r="D118" s="21" t="s">
        <v>138</v>
      </c>
      <c r="E118" s="13" t="s">
        <v>22</v>
      </c>
      <c r="F118" s="20">
        <v>7000.0</v>
      </c>
      <c r="G118" s="20">
        <v>572600.0</v>
      </c>
      <c r="H118" s="22"/>
      <c r="I118" s="15"/>
      <c r="J118" s="16"/>
      <c r="K118" s="19">
        <v>100.0</v>
      </c>
      <c r="L118" s="16"/>
      <c r="M118" s="4">
        <f t="shared" si="1"/>
        <v>100</v>
      </c>
      <c r="N118" s="17">
        <f t="shared" si="2"/>
        <v>0</v>
      </c>
      <c r="O118" s="17">
        <f t="shared" si="3"/>
        <v>0</v>
      </c>
      <c r="P118" s="17">
        <f t="shared" si="4"/>
        <v>572600</v>
      </c>
      <c r="Q118" s="17">
        <f t="shared" si="5"/>
        <v>0</v>
      </c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</row>
    <row r="119" hidden="1">
      <c r="A119" s="4"/>
      <c r="B119" s="20">
        <v>9.06204783E9</v>
      </c>
      <c r="C119" s="20" t="s">
        <v>139</v>
      </c>
      <c r="D119" s="26" t="s">
        <v>140</v>
      </c>
      <c r="E119" s="13" t="s">
        <v>77</v>
      </c>
      <c r="F119" s="20">
        <v>3000.0</v>
      </c>
      <c r="G119" s="20">
        <v>245400.0</v>
      </c>
      <c r="H119" s="22"/>
      <c r="I119" s="16"/>
      <c r="J119" s="15">
        <v>100.0</v>
      </c>
      <c r="K119" s="16"/>
      <c r="L119" s="16"/>
      <c r="M119" s="4">
        <f t="shared" si="1"/>
        <v>100</v>
      </c>
      <c r="N119" s="17">
        <f t="shared" si="2"/>
        <v>0</v>
      </c>
      <c r="O119" s="17">
        <f t="shared" si="3"/>
        <v>245400</v>
      </c>
      <c r="P119" s="17">
        <f t="shared" si="4"/>
        <v>0</v>
      </c>
      <c r="Q119" s="17">
        <f t="shared" si="5"/>
        <v>0</v>
      </c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</row>
    <row r="120" hidden="1">
      <c r="A120" s="4"/>
      <c r="B120" s="20">
        <v>9.06204783E9</v>
      </c>
      <c r="C120" s="20" t="s">
        <v>139</v>
      </c>
      <c r="D120" s="26" t="s">
        <v>141</v>
      </c>
      <c r="E120" s="13" t="s">
        <v>77</v>
      </c>
      <c r="F120" s="20">
        <v>3000.0</v>
      </c>
      <c r="G120" s="20">
        <v>245400.0</v>
      </c>
      <c r="H120" s="22"/>
      <c r="I120" s="16"/>
      <c r="J120" s="15">
        <v>100.0</v>
      </c>
      <c r="K120" s="16"/>
      <c r="L120" s="16"/>
      <c r="M120" s="4">
        <f t="shared" si="1"/>
        <v>100</v>
      </c>
      <c r="N120" s="17">
        <f t="shared" si="2"/>
        <v>0</v>
      </c>
      <c r="O120" s="17">
        <f t="shared" si="3"/>
        <v>245400</v>
      </c>
      <c r="P120" s="17">
        <f t="shared" si="4"/>
        <v>0</v>
      </c>
      <c r="Q120" s="17">
        <f t="shared" si="5"/>
        <v>0</v>
      </c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</row>
    <row r="121" hidden="1">
      <c r="A121" s="4"/>
      <c r="B121" s="20">
        <v>9.06204783E9</v>
      </c>
      <c r="C121" s="20" t="s">
        <v>139</v>
      </c>
      <c r="D121" s="26" t="s">
        <v>142</v>
      </c>
      <c r="E121" s="13" t="s">
        <v>77</v>
      </c>
      <c r="F121" s="20">
        <v>3000.0</v>
      </c>
      <c r="G121" s="20">
        <v>245400.0</v>
      </c>
      <c r="H121" s="22"/>
      <c r="I121" s="19">
        <v>100.0</v>
      </c>
      <c r="J121" s="15"/>
      <c r="K121" s="16"/>
      <c r="L121" s="16"/>
      <c r="M121" s="4">
        <f t="shared" si="1"/>
        <v>100</v>
      </c>
      <c r="N121" s="17">
        <f t="shared" si="2"/>
        <v>245400</v>
      </c>
      <c r="O121" s="17">
        <f t="shared" si="3"/>
        <v>0</v>
      </c>
      <c r="P121" s="17">
        <f t="shared" si="4"/>
        <v>0</v>
      </c>
      <c r="Q121" s="17">
        <f t="shared" si="5"/>
        <v>0</v>
      </c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</row>
    <row r="122" hidden="1">
      <c r="A122" s="27"/>
      <c r="B122" s="20">
        <v>9.06204783E9</v>
      </c>
      <c r="C122" s="20" t="s">
        <v>139</v>
      </c>
      <c r="D122" s="26" t="s">
        <v>143</v>
      </c>
      <c r="E122" s="13" t="s">
        <v>77</v>
      </c>
      <c r="F122" s="20">
        <v>57000.0</v>
      </c>
      <c r="G122" s="20">
        <v>4662600.0</v>
      </c>
      <c r="H122" s="22"/>
      <c r="I122" s="19">
        <v>20.0</v>
      </c>
      <c r="J122" s="15">
        <v>20.0</v>
      </c>
      <c r="K122" s="19">
        <v>30.0</v>
      </c>
      <c r="L122" s="19">
        <v>30.0</v>
      </c>
      <c r="M122" s="4">
        <f t="shared" si="1"/>
        <v>100</v>
      </c>
      <c r="N122" s="17">
        <f t="shared" si="2"/>
        <v>932520</v>
      </c>
      <c r="O122" s="17">
        <f t="shared" si="3"/>
        <v>932520</v>
      </c>
      <c r="P122" s="17">
        <f t="shared" si="4"/>
        <v>1398780</v>
      </c>
      <c r="Q122" s="17">
        <f t="shared" si="5"/>
        <v>1398780</v>
      </c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</row>
    <row r="123" hidden="1">
      <c r="A123" s="4"/>
      <c r="B123" s="20">
        <v>9.06204783E9</v>
      </c>
      <c r="C123" s="20" t="s">
        <v>139</v>
      </c>
      <c r="D123" s="26" t="s">
        <v>144</v>
      </c>
      <c r="E123" s="13" t="s">
        <v>77</v>
      </c>
      <c r="F123" s="20">
        <v>3000.0</v>
      </c>
      <c r="G123" s="20">
        <v>245400.0</v>
      </c>
      <c r="H123" s="22"/>
      <c r="I123" s="16"/>
      <c r="J123" s="15"/>
      <c r="K123" s="16"/>
      <c r="L123" s="19">
        <v>100.0</v>
      </c>
      <c r="M123" s="4">
        <f t="shared" si="1"/>
        <v>100</v>
      </c>
      <c r="N123" s="17">
        <f t="shared" si="2"/>
        <v>0</v>
      </c>
      <c r="O123" s="17">
        <f t="shared" si="3"/>
        <v>0</v>
      </c>
      <c r="P123" s="17">
        <f t="shared" si="4"/>
        <v>0</v>
      </c>
      <c r="Q123" s="17">
        <f t="shared" si="5"/>
        <v>245400</v>
      </c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</row>
    <row r="124" hidden="1">
      <c r="A124" s="4"/>
      <c r="B124" s="20">
        <v>9.062045173E9</v>
      </c>
      <c r="C124" s="20" t="s">
        <v>145</v>
      </c>
      <c r="D124" s="26" t="s">
        <v>146</v>
      </c>
      <c r="E124" s="13" t="s">
        <v>77</v>
      </c>
      <c r="F124" s="20">
        <v>15412.0</v>
      </c>
      <c r="G124" s="20">
        <v>1260701.6</v>
      </c>
      <c r="H124" s="22"/>
      <c r="I124" s="15"/>
      <c r="J124" s="15">
        <v>100.0</v>
      </c>
      <c r="K124" s="16"/>
      <c r="L124" s="16"/>
      <c r="M124" s="4">
        <f t="shared" si="1"/>
        <v>100</v>
      </c>
      <c r="N124" s="17">
        <f t="shared" si="2"/>
        <v>0</v>
      </c>
      <c r="O124" s="17">
        <f t="shared" si="3"/>
        <v>1260701.6</v>
      </c>
      <c r="P124" s="17">
        <f t="shared" si="4"/>
        <v>0</v>
      </c>
      <c r="Q124" s="17">
        <f t="shared" si="5"/>
        <v>0</v>
      </c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</row>
    <row r="125" hidden="1">
      <c r="A125" s="4"/>
      <c r="B125" s="20">
        <v>9.062046773E9</v>
      </c>
      <c r="C125" s="20" t="s">
        <v>63</v>
      </c>
      <c r="D125" s="21" t="s">
        <v>147</v>
      </c>
      <c r="E125" s="13" t="s">
        <v>65</v>
      </c>
      <c r="F125" s="20">
        <v>7000.0</v>
      </c>
      <c r="G125" s="20">
        <v>563500.0</v>
      </c>
      <c r="H125" s="22"/>
      <c r="I125" s="19">
        <v>100.0</v>
      </c>
      <c r="J125" s="15"/>
      <c r="K125" s="16"/>
      <c r="L125" s="16"/>
      <c r="M125" s="4">
        <f t="shared" si="1"/>
        <v>100</v>
      </c>
      <c r="N125" s="17">
        <f t="shared" si="2"/>
        <v>563500</v>
      </c>
      <c r="O125" s="17">
        <f t="shared" si="3"/>
        <v>0</v>
      </c>
      <c r="P125" s="17">
        <f t="shared" si="4"/>
        <v>0</v>
      </c>
      <c r="Q125" s="17">
        <f t="shared" si="5"/>
        <v>0</v>
      </c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</row>
    <row r="126" hidden="1">
      <c r="A126" s="4"/>
      <c r="B126" s="20">
        <v>9.062046773E9</v>
      </c>
      <c r="C126" s="20" t="s">
        <v>63</v>
      </c>
      <c r="D126" s="21" t="s">
        <v>148</v>
      </c>
      <c r="E126" s="13" t="s">
        <v>65</v>
      </c>
      <c r="F126" s="20">
        <v>2500.0</v>
      </c>
      <c r="G126" s="20">
        <v>201250.0</v>
      </c>
      <c r="H126" s="22"/>
      <c r="I126" s="16"/>
      <c r="J126" s="15">
        <v>100.0</v>
      </c>
      <c r="K126" s="16"/>
      <c r="L126" s="16"/>
      <c r="M126" s="4">
        <f t="shared" si="1"/>
        <v>100</v>
      </c>
      <c r="N126" s="17">
        <f t="shared" si="2"/>
        <v>0</v>
      </c>
      <c r="O126" s="17">
        <f t="shared" si="3"/>
        <v>201250</v>
      </c>
      <c r="P126" s="17">
        <f t="shared" si="4"/>
        <v>0</v>
      </c>
      <c r="Q126" s="17">
        <f t="shared" si="5"/>
        <v>0</v>
      </c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</row>
    <row r="127" hidden="1">
      <c r="A127" s="4"/>
      <c r="B127" s="20">
        <v>9.062046773E9</v>
      </c>
      <c r="C127" s="20" t="s">
        <v>63</v>
      </c>
      <c r="D127" s="21" t="s">
        <v>149</v>
      </c>
      <c r="E127" s="13" t="s">
        <v>65</v>
      </c>
      <c r="F127" s="20">
        <v>5250.0</v>
      </c>
      <c r="G127" s="20">
        <v>422625.0</v>
      </c>
      <c r="H127" s="22"/>
      <c r="I127" s="16"/>
      <c r="J127" s="15">
        <v>100.0</v>
      </c>
      <c r="K127" s="16"/>
      <c r="L127" s="16"/>
      <c r="M127" s="4">
        <f t="shared" si="1"/>
        <v>100</v>
      </c>
      <c r="N127" s="17">
        <f t="shared" si="2"/>
        <v>0</v>
      </c>
      <c r="O127" s="17">
        <f t="shared" si="3"/>
        <v>422625</v>
      </c>
      <c r="P127" s="17">
        <f t="shared" si="4"/>
        <v>0</v>
      </c>
      <c r="Q127" s="17">
        <f t="shared" si="5"/>
        <v>0</v>
      </c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</row>
    <row r="128" hidden="1">
      <c r="A128" s="4"/>
      <c r="B128" s="20">
        <v>9.062046773E9</v>
      </c>
      <c r="C128" s="20" t="s">
        <v>63</v>
      </c>
      <c r="D128" s="21" t="s">
        <v>150</v>
      </c>
      <c r="E128" s="13" t="s">
        <v>65</v>
      </c>
      <c r="F128" s="20">
        <v>2500.0</v>
      </c>
      <c r="G128" s="20">
        <v>201250.0</v>
      </c>
      <c r="H128" s="22"/>
      <c r="I128" s="19">
        <v>100.0</v>
      </c>
      <c r="J128" s="15"/>
      <c r="K128" s="16"/>
      <c r="L128" s="16"/>
      <c r="M128" s="4">
        <f t="shared" si="1"/>
        <v>100</v>
      </c>
      <c r="N128" s="17">
        <f t="shared" si="2"/>
        <v>201250</v>
      </c>
      <c r="O128" s="17">
        <f t="shared" si="3"/>
        <v>0</v>
      </c>
      <c r="P128" s="17">
        <f t="shared" si="4"/>
        <v>0</v>
      </c>
      <c r="Q128" s="17">
        <f t="shared" si="5"/>
        <v>0</v>
      </c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</row>
    <row r="129" hidden="1">
      <c r="A129" s="4"/>
      <c r="B129" s="20">
        <v>9.062046773E9</v>
      </c>
      <c r="C129" s="20" t="s">
        <v>63</v>
      </c>
      <c r="D129" s="21" t="s">
        <v>151</v>
      </c>
      <c r="E129" s="13" t="s">
        <v>65</v>
      </c>
      <c r="F129" s="20">
        <v>3000.0</v>
      </c>
      <c r="G129" s="20">
        <v>241500.0</v>
      </c>
      <c r="H129" s="22"/>
      <c r="I129" s="19">
        <v>100.0</v>
      </c>
      <c r="J129" s="15"/>
      <c r="K129" s="16"/>
      <c r="L129" s="16"/>
      <c r="M129" s="4">
        <f t="shared" si="1"/>
        <v>100</v>
      </c>
      <c r="N129" s="17">
        <f t="shared" si="2"/>
        <v>241500</v>
      </c>
      <c r="O129" s="17">
        <f t="shared" si="3"/>
        <v>0</v>
      </c>
      <c r="P129" s="17">
        <f t="shared" si="4"/>
        <v>0</v>
      </c>
      <c r="Q129" s="17">
        <f t="shared" si="5"/>
        <v>0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</row>
    <row r="130" hidden="1">
      <c r="A130" s="4"/>
      <c r="B130" s="20">
        <v>9.062046773E9</v>
      </c>
      <c r="C130" s="20" t="s">
        <v>63</v>
      </c>
      <c r="D130" s="21" t="s">
        <v>152</v>
      </c>
      <c r="E130" s="13" t="s">
        <v>65</v>
      </c>
      <c r="F130" s="20">
        <v>1750.0</v>
      </c>
      <c r="G130" s="20">
        <v>140875.0</v>
      </c>
      <c r="H130" s="22"/>
      <c r="I130" s="16"/>
      <c r="J130" s="19">
        <v>100.0</v>
      </c>
      <c r="K130" s="15"/>
      <c r="L130" s="16"/>
      <c r="M130" s="4">
        <f t="shared" si="1"/>
        <v>100</v>
      </c>
      <c r="N130" s="17">
        <f t="shared" si="2"/>
        <v>0</v>
      </c>
      <c r="O130" s="17">
        <f t="shared" si="3"/>
        <v>140875</v>
      </c>
      <c r="P130" s="17">
        <f t="shared" si="4"/>
        <v>0</v>
      </c>
      <c r="Q130" s="17">
        <f t="shared" si="5"/>
        <v>0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</row>
    <row r="131" hidden="1">
      <c r="A131" s="4"/>
      <c r="B131" s="20">
        <v>9.062047015E9</v>
      </c>
      <c r="C131" s="23">
        <v>45109.0</v>
      </c>
      <c r="D131" s="21" t="s">
        <v>72</v>
      </c>
      <c r="E131" s="13" t="s">
        <v>65</v>
      </c>
      <c r="F131" s="20">
        <v>4500.0</v>
      </c>
      <c r="G131" s="20">
        <v>362250.0</v>
      </c>
      <c r="H131" s="22"/>
      <c r="I131" s="16"/>
      <c r="J131" s="19">
        <v>100.0</v>
      </c>
      <c r="K131" s="15"/>
      <c r="L131" s="16"/>
      <c r="M131" s="4">
        <f t="shared" si="1"/>
        <v>100</v>
      </c>
      <c r="N131" s="17">
        <f t="shared" si="2"/>
        <v>0</v>
      </c>
      <c r="O131" s="17">
        <f t="shared" si="3"/>
        <v>362250</v>
      </c>
      <c r="P131" s="17">
        <f t="shared" si="4"/>
        <v>0</v>
      </c>
      <c r="Q131" s="17">
        <f t="shared" si="5"/>
        <v>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</row>
    <row r="132" hidden="1">
      <c r="A132" s="4"/>
      <c r="B132" s="20">
        <v>9.062047015E9</v>
      </c>
      <c r="C132" s="23">
        <v>45109.0</v>
      </c>
      <c r="D132" s="21" t="s">
        <v>71</v>
      </c>
      <c r="E132" s="13" t="s">
        <v>65</v>
      </c>
      <c r="F132" s="20">
        <v>1000.0</v>
      </c>
      <c r="G132" s="20">
        <v>80500.0</v>
      </c>
      <c r="H132" s="22"/>
      <c r="I132" s="16"/>
      <c r="J132" s="19">
        <v>100.0</v>
      </c>
      <c r="K132" s="15"/>
      <c r="L132" s="16"/>
      <c r="M132" s="4">
        <f t="shared" si="1"/>
        <v>100</v>
      </c>
      <c r="N132" s="17">
        <f t="shared" si="2"/>
        <v>0</v>
      </c>
      <c r="O132" s="17">
        <f t="shared" si="3"/>
        <v>80500</v>
      </c>
      <c r="P132" s="17">
        <f t="shared" si="4"/>
        <v>0</v>
      </c>
      <c r="Q132" s="17">
        <f t="shared" si="5"/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</row>
    <row r="133" hidden="1">
      <c r="A133" s="4"/>
      <c r="B133" s="20">
        <v>9.062047015E9</v>
      </c>
      <c r="C133" s="23">
        <v>45109.0</v>
      </c>
      <c r="D133" s="21" t="s">
        <v>153</v>
      </c>
      <c r="E133" s="13" t="s">
        <v>65</v>
      </c>
      <c r="F133" s="20">
        <v>4600.0</v>
      </c>
      <c r="G133" s="20">
        <v>370300.0</v>
      </c>
      <c r="H133" s="22"/>
      <c r="I133" s="19">
        <v>100.0</v>
      </c>
      <c r="J133" s="16"/>
      <c r="K133" s="15"/>
      <c r="L133" s="16"/>
      <c r="M133" s="4">
        <f t="shared" si="1"/>
        <v>100</v>
      </c>
      <c r="N133" s="17">
        <f t="shared" si="2"/>
        <v>370300</v>
      </c>
      <c r="O133" s="17">
        <f t="shared" si="3"/>
        <v>0</v>
      </c>
      <c r="P133" s="17">
        <f t="shared" si="4"/>
        <v>0</v>
      </c>
      <c r="Q133" s="17">
        <f t="shared" si="5"/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</row>
    <row r="134" hidden="1">
      <c r="A134" s="4"/>
      <c r="B134" s="20">
        <v>9.062047015E9</v>
      </c>
      <c r="C134" s="23">
        <v>45109.0</v>
      </c>
      <c r="D134" s="21" t="s">
        <v>154</v>
      </c>
      <c r="E134" s="13" t="s">
        <v>65</v>
      </c>
      <c r="F134" s="20">
        <v>1000.0</v>
      </c>
      <c r="G134" s="20">
        <v>80500.0</v>
      </c>
      <c r="H134" s="22"/>
      <c r="I134" s="19">
        <v>100.0</v>
      </c>
      <c r="J134" s="16"/>
      <c r="K134" s="16"/>
      <c r="L134" s="15"/>
      <c r="M134" s="4">
        <f t="shared" si="1"/>
        <v>100</v>
      </c>
      <c r="N134" s="17">
        <f t="shared" si="2"/>
        <v>80500</v>
      </c>
      <c r="O134" s="17">
        <f t="shared" si="3"/>
        <v>0</v>
      </c>
      <c r="P134" s="17">
        <f t="shared" si="4"/>
        <v>0</v>
      </c>
      <c r="Q134" s="17">
        <f t="shared" si="5"/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</row>
    <row r="135" hidden="1">
      <c r="A135" s="4"/>
      <c r="B135" s="20">
        <v>9.062047917E9</v>
      </c>
      <c r="C135" s="23">
        <v>45083.0</v>
      </c>
      <c r="D135" s="21" t="s">
        <v>155</v>
      </c>
      <c r="E135" s="13" t="s">
        <v>65</v>
      </c>
      <c r="F135" s="20">
        <v>7000.0</v>
      </c>
      <c r="G135" s="20">
        <v>563500.0</v>
      </c>
      <c r="H135" s="22"/>
      <c r="I135" s="16"/>
      <c r="J135" s="19">
        <v>100.0</v>
      </c>
      <c r="K135" s="16"/>
      <c r="L135" s="15"/>
      <c r="M135" s="4">
        <f t="shared" si="1"/>
        <v>100</v>
      </c>
      <c r="N135" s="17">
        <f t="shared" si="2"/>
        <v>0</v>
      </c>
      <c r="O135" s="17">
        <f t="shared" si="3"/>
        <v>563500</v>
      </c>
      <c r="P135" s="17">
        <f t="shared" si="4"/>
        <v>0</v>
      </c>
      <c r="Q135" s="17">
        <f t="shared" si="5"/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</row>
    <row r="136" hidden="1">
      <c r="A136" s="4"/>
      <c r="B136" s="20">
        <v>9.062047917E9</v>
      </c>
      <c r="C136" s="23">
        <v>45083.0</v>
      </c>
      <c r="D136" s="21" t="s">
        <v>156</v>
      </c>
      <c r="E136" s="13" t="s">
        <v>65</v>
      </c>
      <c r="F136" s="20">
        <v>1600.0</v>
      </c>
      <c r="G136" s="20">
        <v>128800.0</v>
      </c>
      <c r="H136" s="22"/>
      <c r="I136" s="19">
        <v>100.0</v>
      </c>
      <c r="J136" s="16"/>
      <c r="K136" s="16"/>
      <c r="L136" s="15"/>
      <c r="M136" s="4">
        <f t="shared" si="1"/>
        <v>100</v>
      </c>
      <c r="N136" s="17">
        <f t="shared" si="2"/>
        <v>128800</v>
      </c>
      <c r="O136" s="17">
        <f t="shared" si="3"/>
        <v>0</v>
      </c>
      <c r="P136" s="17">
        <f t="shared" si="4"/>
        <v>0</v>
      </c>
      <c r="Q136" s="17">
        <f t="shared" si="5"/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</row>
    <row r="137" hidden="1">
      <c r="A137" s="4"/>
      <c r="B137" s="20">
        <v>9.062047917E9</v>
      </c>
      <c r="C137" s="23">
        <v>45083.0</v>
      </c>
      <c r="D137" s="21" t="s">
        <v>157</v>
      </c>
      <c r="E137" s="13" t="s">
        <v>65</v>
      </c>
      <c r="F137" s="20">
        <v>1500.0</v>
      </c>
      <c r="G137" s="20">
        <v>120750.0</v>
      </c>
      <c r="H137" s="22"/>
      <c r="I137" s="16"/>
      <c r="J137" s="19">
        <v>100.0</v>
      </c>
      <c r="K137" s="16"/>
      <c r="L137" s="15"/>
      <c r="M137" s="4">
        <f t="shared" si="1"/>
        <v>100</v>
      </c>
      <c r="N137" s="17">
        <f t="shared" si="2"/>
        <v>0</v>
      </c>
      <c r="O137" s="17">
        <f t="shared" si="3"/>
        <v>120750</v>
      </c>
      <c r="P137" s="17">
        <f t="shared" si="4"/>
        <v>0</v>
      </c>
      <c r="Q137" s="17">
        <f t="shared" si="5"/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</row>
    <row r="138" hidden="1">
      <c r="A138" s="4"/>
      <c r="B138" s="20">
        <v>9.062047917E9</v>
      </c>
      <c r="C138" s="23">
        <v>45083.0</v>
      </c>
      <c r="D138" s="21" t="s">
        <v>158</v>
      </c>
      <c r="E138" s="13" t="s">
        <v>65</v>
      </c>
      <c r="F138" s="20">
        <v>1500.0</v>
      </c>
      <c r="G138" s="20">
        <v>120750.0</v>
      </c>
      <c r="H138" s="22"/>
      <c r="I138" s="19">
        <v>100.0</v>
      </c>
      <c r="J138" s="16"/>
      <c r="K138" s="16"/>
      <c r="L138" s="15"/>
      <c r="M138" s="4">
        <f t="shared" si="1"/>
        <v>100</v>
      </c>
      <c r="N138" s="17">
        <f t="shared" si="2"/>
        <v>120750</v>
      </c>
      <c r="O138" s="17">
        <f t="shared" si="3"/>
        <v>0</v>
      </c>
      <c r="P138" s="17">
        <f t="shared" si="4"/>
        <v>0</v>
      </c>
      <c r="Q138" s="17">
        <f t="shared" si="5"/>
        <v>0</v>
      </c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</row>
    <row r="139" hidden="1">
      <c r="A139" s="4"/>
      <c r="B139" s="24"/>
      <c r="C139" s="25"/>
      <c r="D139" s="21" t="s">
        <v>159</v>
      </c>
      <c r="E139" s="13" t="s">
        <v>74</v>
      </c>
      <c r="F139" s="20">
        <v>51000.0</v>
      </c>
      <c r="G139" s="20">
        <v>4105500.0</v>
      </c>
      <c r="H139" s="22"/>
      <c r="I139" s="15"/>
      <c r="J139" s="19">
        <v>100.0</v>
      </c>
      <c r="K139" s="16"/>
      <c r="L139" s="16"/>
      <c r="M139" s="4">
        <f t="shared" si="1"/>
        <v>100</v>
      </c>
      <c r="N139" s="17">
        <f t="shared" si="2"/>
        <v>0</v>
      </c>
      <c r="O139" s="17">
        <f t="shared" si="3"/>
        <v>4105500</v>
      </c>
      <c r="P139" s="17">
        <f t="shared" si="4"/>
        <v>0</v>
      </c>
      <c r="Q139" s="17">
        <f t="shared" si="5"/>
        <v>0</v>
      </c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</row>
    <row r="140" hidden="1">
      <c r="A140" s="4"/>
      <c r="B140" s="20">
        <v>9.062048045E9</v>
      </c>
      <c r="C140" s="20" t="s">
        <v>160</v>
      </c>
      <c r="D140" s="21" t="s">
        <v>161</v>
      </c>
      <c r="E140" s="13" t="s">
        <v>22</v>
      </c>
      <c r="F140" s="20">
        <v>10800.0</v>
      </c>
      <c r="G140" s="20">
        <v>869400.0</v>
      </c>
      <c r="H140" s="22"/>
      <c r="I140" s="15"/>
      <c r="J140" s="19">
        <v>100.0</v>
      </c>
      <c r="K140" s="16"/>
      <c r="L140" s="16"/>
      <c r="M140" s="4">
        <f t="shared" si="1"/>
        <v>100</v>
      </c>
      <c r="N140" s="17">
        <f t="shared" si="2"/>
        <v>0</v>
      </c>
      <c r="O140" s="17">
        <f t="shared" si="3"/>
        <v>869400</v>
      </c>
      <c r="P140" s="17">
        <f t="shared" si="4"/>
        <v>0</v>
      </c>
      <c r="Q140" s="17">
        <f t="shared" si="5"/>
        <v>0</v>
      </c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</row>
    <row r="141" hidden="1">
      <c r="A141" s="4"/>
      <c r="B141" s="20">
        <v>9.062048045E9</v>
      </c>
      <c r="C141" s="20" t="s">
        <v>160</v>
      </c>
      <c r="D141" s="21" t="s">
        <v>162</v>
      </c>
      <c r="E141" s="13" t="s">
        <v>22</v>
      </c>
      <c r="F141" s="20">
        <v>8613.0</v>
      </c>
      <c r="G141" s="20">
        <v>693346.5</v>
      </c>
      <c r="H141" s="22"/>
      <c r="I141" s="15">
        <v>100.0</v>
      </c>
      <c r="J141" s="16"/>
      <c r="K141" s="16"/>
      <c r="L141" s="16"/>
      <c r="M141" s="4">
        <f t="shared" si="1"/>
        <v>100</v>
      </c>
      <c r="N141" s="17">
        <f t="shared" si="2"/>
        <v>693346.5</v>
      </c>
      <c r="O141" s="17">
        <f t="shared" si="3"/>
        <v>0</v>
      </c>
      <c r="P141" s="17">
        <f t="shared" si="4"/>
        <v>0</v>
      </c>
      <c r="Q141" s="17">
        <f t="shared" si="5"/>
        <v>0</v>
      </c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</row>
    <row r="142" hidden="1">
      <c r="A142" s="4"/>
      <c r="B142" s="20">
        <v>9.062048045E9</v>
      </c>
      <c r="C142" s="20" t="s">
        <v>160</v>
      </c>
      <c r="D142" s="21" t="s">
        <v>163</v>
      </c>
      <c r="E142" s="13" t="s">
        <v>22</v>
      </c>
      <c r="F142" s="20">
        <v>5530.0</v>
      </c>
      <c r="G142" s="20">
        <v>445165.0</v>
      </c>
      <c r="H142" s="22"/>
      <c r="I142" s="15"/>
      <c r="J142" s="19">
        <v>100.0</v>
      </c>
      <c r="K142" s="16"/>
      <c r="L142" s="16"/>
      <c r="M142" s="4">
        <f t="shared" si="1"/>
        <v>100</v>
      </c>
      <c r="N142" s="17">
        <f t="shared" si="2"/>
        <v>0</v>
      </c>
      <c r="O142" s="17">
        <f t="shared" si="3"/>
        <v>445165</v>
      </c>
      <c r="P142" s="17">
        <f t="shared" si="4"/>
        <v>0</v>
      </c>
      <c r="Q142" s="17">
        <f t="shared" si="5"/>
        <v>0</v>
      </c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</row>
    <row r="143" hidden="1">
      <c r="A143" s="4"/>
      <c r="B143" s="20">
        <v>9.062048045E9</v>
      </c>
      <c r="C143" s="20" t="s">
        <v>160</v>
      </c>
      <c r="D143" s="21" t="s">
        <v>164</v>
      </c>
      <c r="E143" s="13" t="s">
        <v>22</v>
      </c>
      <c r="F143" s="20">
        <v>5530.0</v>
      </c>
      <c r="G143" s="20">
        <v>445165.0</v>
      </c>
      <c r="H143" s="22"/>
      <c r="I143" s="15"/>
      <c r="J143" s="19">
        <v>100.0</v>
      </c>
      <c r="K143" s="16"/>
      <c r="L143" s="16"/>
      <c r="M143" s="4">
        <f t="shared" si="1"/>
        <v>100</v>
      </c>
      <c r="N143" s="17">
        <f t="shared" si="2"/>
        <v>0</v>
      </c>
      <c r="O143" s="17">
        <f t="shared" si="3"/>
        <v>445165</v>
      </c>
      <c r="P143" s="17">
        <f t="shared" si="4"/>
        <v>0</v>
      </c>
      <c r="Q143" s="17">
        <f t="shared" si="5"/>
        <v>0</v>
      </c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</row>
    <row r="144" hidden="1">
      <c r="A144" s="4"/>
      <c r="B144" s="20">
        <v>9.062048045E9</v>
      </c>
      <c r="C144" s="20" t="s">
        <v>160</v>
      </c>
      <c r="D144" s="21" t="s">
        <v>165</v>
      </c>
      <c r="E144" s="13" t="s">
        <v>22</v>
      </c>
      <c r="F144" s="20">
        <v>7000.0</v>
      </c>
      <c r="G144" s="20">
        <v>563500.0</v>
      </c>
      <c r="H144" s="22"/>
      <c r="I144" s="15"/>
      <c r="J144" s="16"/>
      <c r="K144" s="19">
        <v>100.0</v>
      </c>
      <c r="L144" s="16"/>
      <c r="M144" s="4">
        <f t="shared" si="1"/>
        <v>100</v>
      </c>
      <c r="N144" s="17">
        <f t="shared" si="2"/>
        <v>0</v>
      </c>
      <c r="O144" s="17">
        <f t="shared" si="3"/>
        <v>0</v>
      </c>
      <c r="P144" s="17">
        <f t="shared" si="4"/>
        <v>563500</v>
      </c>
      <c r="Q144" s="17">
        <f t="shared" si="5"/>
        <v>0</v>
      </c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</row>
    <row r="145" hidden="1">
      <c r="A145" s="4"/>
      <c r="B145" s="20">
        <v>9.062048045E9</v>
      </c>
      <c r="C145" s="20" t="s">
        <v>160</v>
      </c>
      <c r="D145" s="21" t="s">
        <v>166</v>
      </c>
      <c r="E145" s="13" t="s">
        <v>22</v>
      </c>
      <c r="F145" s="20">
        <v>6760.0</v>
      </c>
      <c r="G145" s="20">
        <v>544180.0</v>
      </c>
      <c r="H145" s="22"/>
      <c r="I145" s="15">
        <v>100.0</v>
      </c>
      <c r="J145" s="16"/>
      <c r="K145" s="16"/>
      <c r="L145" s="16"/>
      <c r="M145" s="4">
        <f t="shared" si="1"/>
        <v>100</v>
      </c>
      <c r="N145" s="17">
        <f t="shared" si="2"/>
        <v>544180</v>
      </c>
      <c r="O145" s="17">
        <f t="shared" si="3"/>
        <v>0</v>
      </c>
      <c r="P145" s="17">
        <f t="shared" si="4"/>
        <v>0</v>
      </c>
      <c r="Q145" s="17">
        <f t="shared" si="5"/>
        <v>0</v>
      </c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</row>
    <row r="146" hidden="1">
      <c r="A146" s="4"/>
      <c r="B146" s="20">
        <v>9.062048045E9</v>
      </c>
      <c r="C146" s="20" t="s">
        <v>160</v>
      </c>
      <c r="D146" s="21" t="s">
        <v>167</v>
      </c>
      <c r="E146" s="13" t="s">
        <v>22</v>
      </c>
      <c r="F146" s="20">
        <v>7000.0</v>
      </c>
      <c r="G146" s="20">
        <v>563500.0</v>
      </c>
      <c r="H146" s="22"/>
      <c r="I146" s="15"/>
      <c r="J146" s="16"/>
      <c r="K146" s="19">
        <v>100.0</v>
      </c>
      <c r="L146" s="16"/>
      <c r="M146" s="4">
        <f t="shared" si="1"/>
        <v>100</v>
      </c>
      <c r="N146" s="17">
        <f t="shared" si="2"/>
        <v>0</v>
      </c>
      <c r="O146" s="17">
        <f t="shared" si="3"/>
        <v>0</v>
      </c>
      <c r="P146" s="17">
        <f t="shared" si="4"/>
        <v>563500</v>
      </c>
      <c r="Q146" s="17">
        <f t="shared" si="5"/>
        <v>0</v>
      </c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</row>
    <row r="147" hidden="1">
      <c r="A147" s="4"/>
      <c r="B147" s="20">
        <v>9.062048045E9</v>
      </c>
      <c r="C147" s="20" t="s">
        <v>160</v>
      </c>
      <c r="D147" s="21" t="s">
        <v>168</v>
      </c>
      <c r="E147" s="13" t="s">
        <v>22</v>
      </c>
      <c r="F147" s="20">
        <v>8850.0</v>
      </c>
      <c r="G147" s="20">
        <v>712425.0</v>
      </c>
      <c r="H147" s="22"/>
      <c r="I147" s="15">
        <v>100.0</v>
      </c>
      <c r="J147" s="16"/>
      <c r="K147" s="16"/>
      <c r="L147" s="16"/>
      <c r="M147" s="4">
        <f t="shared" si="1"/>
        <v>100</v>
      </c>
      <c r="N147" s="17">
        <f t="shared" si="2"/>
        <v>712425</v>
      </c>
      <c r="O147" s="17">
        <f t="shared" si="3"/>
        <v>0</v>
      </c>
      <c r="P147" s="17">
        <f t="shared" si="4"/>
        <v>0</v>
      </c>
      <c r="Q147" s="17">
        <f t="shared" si="5"/>
        <v>0</v>
      </c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</row>
    <row r="148" hidden="1">
      <c r="A148" s="4"/>
      <c r="B148" s="20">
        <v>9.062048045E9</v>
      </c>
      <c r="C148" s="20" t="s">
        <v>160</v>
      </c>
      <c r="D148" s="21" t="s">
        <v>169</v>
      </c>
      <c r="E148" s="13" t="s">
        <v>22</v>
      </c>
      <c r="F148" s="20">
        <v>6243.0</v>
      </c>
      <c r="G148" s="20">
        <v>502561.5</v>
      </c>
      <c r="H148" s="22"/>
      <c r="I148" s="15"/>
      <c r="J148" s="19">
        <v>100.0</v>
      </c>
      <c r="K148" s="16"/>
      <c r="L148" s="16"/>
      <c r="M148" s="4">
        <f t="shared" si="1"/>
        <v>100</v>
      </c>
      <c r="N148" s="17">
        <f t="shared" si="2"/>
        <v>0</v>
      </c>
      <c r="O148" s="17">
        <f t="shared" si="3"/>
        <v>502561.5</v>
      </c>
      <c r="P148" s="17">
        <f t="shared" si="4"/>
        <v>0</v>
      </c>
      <c r="Q148" s="17">
        <f t="shared" si="5"/>
        <v>0</v>
      </c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</row>
    <row r="149" hidden="1">
      <c r="A149" s="4"/>
      <c r="B149" s="20">
        <v>9.062048045E9</v>
      </c>
      <c r="C149" s="20" t="s">
        <v>160</v>
      </c>
      <c r="D149" s="21" t="s">
        <v>94</v>
      </c>
      <c r="E149" s="13" t="s">
        <v>22</v>
      </c>
      <c r="F149" s="20">
        <v>8850.0</v>
      </c>
      <c r="G149" s="20">
        <v>712425.0</v>
      </c>
      <c r="H149" s="22"/>
      <c r="I149" s="19">
        <v>100.0</v>
      </c>
      <c r="J149" s="15"/>
      <c r="K149" s="16"/>
      <c r="L149" s="16"/>
      <c r="M149" s="4">
        <f t="shared" si="1"/>
        <v>100</v>
      </c>
      <c r="N149" s="17">
        <f t="shared" si="2"/>
        <v>712425</v>
      </c>
      <c r="O149" s="17">
        <f t="shared" si="3"/>
        <v>0</v>
      </c>
      <c r="P149" s="17">
        <f t="shared" si="4"/>
        <v>0</v>
      </c>
      <c r="Q149" s="17">
        <f t="shared" si="5"/>
        <v>0</v>
      </c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</row>
    <row r="150" hidden="1">
      <c r="A150" s="4"/>
      <c r="B150" s="20">
        <v>9.062048045E9</v>
      </c>
      <c r="C150" s="20" t="s">
        <v>160</v>
      </c>
      <c r="D150" s="21" t="s">
        <v>170</v>
      </c>
      <c r="E150" s="13" t="s">
        <v>22</v>
      </c>
      <c r="F150" s="20">
        <v>2100.0</v>
      </c>
      <c r="G150" s="20">
        <v>169050.0</v>
      </c>
      <c r="H150" s="22"/>
      <c r="I150" s="16"/>
      <c r="J150" s="15"/>
      <c r="K150" s="16"/>
      <c r="L150" s="19">
        <v>100.0</v>
      </c>
      <c r="M150" s="4">
        <f t="shared" si="1"/>
        <v>100</v>
      </c>
      <c r="N150" s="17">
        <f t="shared" si="2"/>
        <v>0</v>
      </c>
      <c r="O150" s="17">
        <f t="shared" si="3"/>
        <v>0</v>
      </c>
      <c r="P150" s="17">
        <f t="shared" si="4"/>
        <v>0</v>
      </c>
      <c r="Q150" s="17">
        <f t="shared" si="5"/>
        <v>169050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</row>
    <row r="151" hidden="1">
      <c r="A151" s="4"/>
      <c r="B151" s="20">
        <v>9.062048045E9</v>
      </c>
      <c r="C151" s="20" t="s">
        <v>160</v>
      </c>
      <c r="D151" s="21" t="s">
        <v>171</v>
      </c>
      <c r="E151" s="13" t="s">
        <v>22</v>
      </c>
      <c r="F151" s="20">
        <v>6571.0</v>
      </c>
      <c r="G151" s="20">
        <v>528965.5</v>
      </c>
      <c r="H151" s="22"/>
      <c r="I151" s="16"/>
      <c r="J151" s="15">
        <v>100.0</v>
      </c>
      <c r="K151" s="16"/>
      <c r="L151" s="16"/>
      <c r="M151" s="4">
        <f t="shared" si="1"/>
        <v>100</v>
      </c>
      <c r="N151" s="17">
        <f t="shared" si="2"/>
        <v>0</v>
      </c>
      <c r="O151" s="17">
        <f t="shared" si="3"/>
        <v>528965.5</v>
      </c>
      <c r="P151" s="17">
        <f t="shared" si="4"/>
        <v>0</v>
      </c>
      <c r="Q151" s="17">
        <f t="shared" si="5"/>
        <v>0</v>
      </c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</row>
    <row r="152" hidden="1">
      <c r="A152" s="4"/>
      <c r="B152" s="20">
        <v>9.062048045E9</v>
      </c>
      <c r="C152" s="20" t="s">
        <v>160</v>
      </c>
      <c r="D152" s="21" t="s">
        <v>172</v>
      </c>
      <c r="E152" s="13" t="s">
        <v>22</v>
      </c>
      <c r="F152" s="20">
        <v>5530.0</v>
      </c>
      <c r="G152" s="20">
        <v>445165.0</v>
      </c>
      <c r="H152" s="22"/>
      <c r="I152" s="16"/>
      <c r="J152" s="15">
        <v>100.0</v>
      </c>
      <c r="K152" s="16"/>
      <c r="L152" s="16"/>
      <c r="M152" s="4">
        <f t="shared" si="1"/>
        <v>100</v>
      </c>
      <c r="N152" s="17">
        <f t="shared" si="2"/>
        <v>0</v>
      </c>
      <c r="O152" s="17">
        <f t="shared" si="3"/>
        <v>445165</v>
      </c>
      <c r="P152" s="17">
        <f t="shared" si="4"/>
        <v>0</v>
      </c>
      <c r="Q152" s="17">
        <f t="shared" si="5"/>
        <v>0</v>
      </c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</row>
    <row r="153" hidden="1">
      <c r="A153" s="4"/>
      <c r="B153" s="20">
        <v>9.062048045E9</v>
      </c>
      <c r="C153" s="20" t="s">
        <v>160</v>
      </c>
      <c r="D153" s="21" t="s">
        <v>173</v>
      </c>
      <c r="E153" s="13" t="s">
        <v>22</v>
      </c>
      <c r="F153" s="20">
        <v>4000.0</v>
      </c>
      <c r="G153" s="20">
        <v>322000.0</v>
      </c>
      <c r="H153" s="22"/>
      <c r="I153" s="16"/>
      <c r="J153" s="15"/>
      <c r="K153" s="19">
        <v>100.0</v>
      </c>
      <c r="L153" s="16"/>
      <c r="M153" s="4">
        <f t="shared" si="1"/>
        <v>100</v>
      </c>
      <c r="N153" s="17">
        <f t="shared" si="2"/>
        <v>0</v>
      </c>
      <c r="O153" s="17">
        <f t="shared" si="3"/>
        <v>0</v>
      </c>
      <c r="P153" s="17">
        <f t="shared" si="4"/>
        <v>322000</v>
      </c>
      <c r="Q153" s="17">
        <f t="shared" si="5"/>
        <v>0</v>
      </c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</row>
    <row r="154" hidden="1">
      <c r="A154" s="4"/>
      <c r="B154" s="20">
        <v>9.062048045E9</v>
      </c>
      <c r="C154" s="20" t="s">
        <v>160</v>
      </c>
      <c r="D154" s="21" t="s">
        <v>174</v>
      </c>
      <c r="E154" s="13" t="s">
        <v>22</v>
      </c>
      <c r="F154" s="20">
        <v>3000.0</v>
      </c>
      <c r="G154" s="20">
        <v>241500.0</v>
      </c>
      <c r="H154" s="22"/>
      <c r="I154" s="16"/>
      <c r="J154" s="15"/>
      <c r="K154" s="16"/>
      <c r="L154" s="19">
        <v>100.0</v>
      </c>
      <c r="M154" s="4">
        <f t="shared" si="1"/>
        <v>100</v>
      </c>
      <c r="N154" s="17">
        <f t="shared" si="2"/>
        <v>0</v>
      </c>
      <c r="O154" s="17">
        <f t="shared" si="3"/>
        <v>0</v>
      </c>
      <c r="P154" s="17">
        <f t="shared" si="4"/>
        <v>0</v>
      </c>
      <c r="Q154" s="17">
        <f t="shared" si="5"/>
        <v>241500</v>
      </c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</row>
    <row r="155" hidden="1">
      <c r="A155" s="4"/>
      <c r="B155" s="20">
        <v>9.062048045E9</v>
      </c>
      <c r="C155" s="20" t="s">
        <v>160</v>
      </c>
      <c r="D155" s="21" t="s">
        <v>175</v>
      </c>
      <c r="E155" s="13" t="s">
        <v>22</v>
      </c>
      <c r="F155" s="20">
        <v>6760.0</v>
      </c>
      <c r="G155" s="20">
        <v>544180.0</v>
      </c>
      <c r="H155" s="22"/>
      <c r="I155" s="19">
        <v>100.0</v>
      </c>
      <c r="J155" s="15"/>
      <c r="K155" s="16"/>
      <c r="L155" s="16"/>
      <c r="M155" s="4">
        <f t="shared" si="1"/>
        <v>100</v>
      </c>
      <c r="N155" s="17">
        <f t="shared" si="2"/>
        <v>544180</v>
      </c>
      <c r="O155" s="17">
        <f t="shared" si="3"/>
        <v>0</v>
      </c>
      <c r="P155" s="17">
        <f t="shared" si="4"/>
        <v>0</v>
      </c>
      <c r="Q155" s="17">
        <f t="shared" si="5"/>
        <v>0</v>
      </c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</row>
    <row r="156" hidden="1">
      <c r="A156" s="4"/>
      <c r="B156" s="20">
        <v>9.062048045E9</v>
      </c>
      <c r="C156" s="20" t="s">
        <v>160</v>
      </c>
      <c r="D156" s="21" t="s">
        <v>176</v>
      </c>
      <c r="E156" s="13" t="s">
        <v>22</v>
      </c>
      <c r="F156" s="20">
        <v>10800.0</v>
      </c>
      <c r="G156" s="20">
        <v>869400.0</v>
      </c>
      <c r="H156" s="22"/>
      <c r="I156" s="19">
        <v>100.0</v>
      </c>
      <c r="J156" s="15"/>
      <c r="K156" s="16"/>
      <c r="L156" s="16"/>
      <c r="M156" s="4">
        <f t="shared" si="1"/>
        <v>100</v>
      </c>
      <c r="N156" s="17">
        <f t="shared" si="2"/>
        <v>869400</v>
      </c>
      <c r="O156" s="17">
        <f t="shared" si="3"/>
        <v>0</v>
      </c>
      <c r="P156" s="17">
        <f t="shared" si="4"/>
        <v>0</v>
      </c>
      <c r="Q156" s="17">
        <f t="shared" si="5"/>
        <v>0</v>
      </c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</row>
    <row r="157" hidden="1">
      <c r="A157" s="4"/>
      <c r="B157" s="20">
        <v>9.062048045E9</v>
      </c>
      <c r="C157" s="20" t="s">
        <v>160</v>
      </c>
      <c r="D157" s="21" t="s">
        <v>177</v>
      </c>
      <c r="E157" s="13" t="s">
        <v>22</v>
      </c>
      <c r="F157" s="20">
        <v>4200.0</v>
      </c>
      <c r="G157" s="20">
        <v>338100.0</v>
      </c>
      <c r="H157" s="22"/>
      <c r="I157" s="16"/>
      <c r="J157" s="15"/>
      <c r="K157" s="19">
        <v>100.0</v>
      </c>
      <c r="L157" s="16"/>
      <c r="M157" s="4">
        <f t="shared" si="1"/>
        <v>100</v>
      </c>
      <c r="N157" s="17">
        <f t="shared" si="2"/>
        <v>0</v>
      </c>
      <c r="O157" s="17">
        <f t="shared" si="3"/>
        <v>0</v>
      </c>
      <c r="P157" s="17">
        <f t="shared" si="4"/>
        <v>338100</v>
      </c>
      <c r="Q157" s="17">
        <f t="shared" si="5"/>
        <v>0</v>
      </c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</row>
    <row r="158" hidden="1">
      <c r="A158" s="4"/>
      <c r="B158" s="20">
        <v>9.062048045E9</v>
      </c>
      <c r="C158" s="20" t="s">
        <v>160</v>
      </c>
      <c r="D158" s="21" t="s">
        <v>178</v>
      </c>
      <c r="E158" s="13" t="s">
        <v>22</v>
      </c>
      <c r="F158" s="20">
        <v>8850.0</v>
      </c>
      <c r="G158" s="20">
        <v>712425.0</v>
      </c>
      <c r="H158" s="22"/>
      <c r="I158" s="19">
        <v>100.0</v>
      </c>
      <c r="J158" s="15"/>
      <c r="K158" s="16"/>
      <c r="L158" s="16"/>
      <c r="M158" s="4">
        <f t="shared" si="1"/>
        <v>100</v>
      </c>
      <c r="N158" s="17">
        <f t="shared" si="2"/>
        <v>712425</v>
      </c>
      <c r="O158" s="17">
        <f t="shared" si="3"/>
        <v>0</v>
      </c>
      <c r="P158" s="17">
        <f t="shared" si="4"/>
        <v>0</v>
      </c>
      <c r="Q158" s="17">
        <f t="shared" si="5"/>
        <v>0</v>
      </c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</row>
    <row r="159" hidden="1">
      <c r="A159" s="4"/>
      <c r="B159" s="20">
        <v>9.062048045E9</v>
      </c>
      <c r="C159" s="20" t="s">
        <v>160</v>
      </c>
      <c r="D159" s="21" t="s">
        <v>179</v>
      </c>
      <c r="E159" s="13" t="s">
        <v>22</v>
      </c>
      <c r="F159" s="20">
        <v>8300.0</v>
      </c>
      <c r="G159" s="20">
        <v>668150.0</v>
      </c>
      <c r="H159" s="22"/>
      <c r="I159" s="19">
        <v>100.0</v>
      </c>
      <c r="J159" s="16"/>
      <c r="K159" s="15"/>
      <c r="L159" s="16"/>
      <c r="M159" s="4">
        <f t="shared" si="1"/>
        <v>100</v>
      </c>
      <c r="N159" s="17">
        <f t="shared" si="2"/>
        <v>668150</v>
      </c>
      <c r="O159" s="17">
        <f t="shared" si="3"/>
        <v>0</v>
      </c>
      <c r="P159" s="17">
        <f t="shared" si="4"/>
        <v>0</v>
      </c>
      <c r="Q159" s="17">
        <f t="shared" si="5"/>
        <v>0</v>
      </c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</row>
    <row r="160" hidden="1">
      <c r="A160" s="4"/>
      <c r="B160" s="20">
        <v>9.062048045E9</v>
      </c>
      <c r="C160" s="20" t="s">
        <v>160</v>
      </c>
      <c r="D160" s="21" t="s">
        <v>180</v>
      </c>
      <c r="E160" s="13" t="s">
        <v>22</v>
      </c>
      <c r="F160" s="20">
        <v>4200.0</v>
      </c>
      <c r="G160" s="20">
        <v>338100.0</v>
      </c>
      <c r="H160" s="22"/>
      <c r="I160" s="15"/>
      <c r="J160" s="16"/>
      <c r="K160" s="15"/>
      <c r="L160" s="19">
        <v>100.0</v>
      </c>
      <c r="M160" s="4">
        <f t="shared" si="1"/>
        <v>100</v>
      </c>
      <c r="N160" s="17">
        <f t="shared" si="2"/>
        <v>0</v>
      </c>
      <c r="O160" s="17">
        <f t="shared" si="3"/>
        <v>0</v>
      </c>
      <c r="P160" s="17">
        <f t="shared" si="4"/>
        <v>0</v>
      </c>
      <c r="Q160" s="17">
        <f t="shared" si="5"/>
        <v>338100</v>
      </c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</row>
    <row r="161" hidden="1">
      <c r="A161" s="4"/>
      <c r="B161" s="20">
        <v>9.062048045E9</v>
      </c>
      <c r="C161" s="20" t="s">
        <v>160</v>
      </c>
      <c r="D161" s="21" t="s">
        <v>181</v>
      </c>
      <c r="E161" s="13" t="s">
        <v>22</v>
      </c>
      <c r="F161" s="20">
        <v>6760.0</v>
      </c>
      <c r="G161" s="20">
        <v>544180.0</v>
      </c>
      <c r="H161" s="22"/>
      <c r="I161" s="19">
        <v>100.0</v>
      </c>
      <c r="J161" s="16"/>
      <c r="K161" s="15"/>
      <c r="L161" s="16"/>
      <c r="M161" s="4">
        <f t="shared" si="1"/>
        <v>100</v>
      </c>
      <c r="N161" s="17">
        <f t="shared" si="2"/>
        <v>544180</v>
      </c>
      <c r="O161" s="17">
        <f t="shared" si="3"/>
        <v>0</v>
      </c>
      <c r="P161" s="17">
        <f t="shared" si="4"/>
        <v>0</v>
      </c>
      <c r="Q161" s="17">
        <f t="shared" si="5"/>
        <v>0</v>
      </c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</row>
    <row r="162" hidden="1">
      <c r="A162" s="4"/>
      <c r="B162" s="20">
        <v>9.062048045E9</v>
      </c>
      <c r="C162" s="20" t="s">
        <v>160</v>
      </c>
      <c r="D162" s="21" t="s">
        <v>182</v>
      </c>
      <c r="E162" s="13" t="s">
        <v>22</v>
      </c>
      <c r="F162" s="20">
        <v>4977.0</v>
      </c>
      <c r="G162" s="20">
        <v>400648.5</v>
      </c>
      <c r="H162" s="22"/>
      <c r="I162" s="16"/>
      <c r="J162" s="19">
        <v>100.0</v>
      </c>
      <c r="K162" s="15"/>
      <c r="L162" s="16"/>
      <c r="M162" s="4">
        <f t="shared" si="1"/>
        <v>100</v>
      </c>
      <c r="N162" s="17">
        <f t="shared" si="2"/>
        <v>0</v>
      </c>
      <c r="O162" s="17">
        <f t="shared" si="3"/>
        <v>400648.5</v>
      </c>
      <c r="P162" s="17">
        <f t="shared" si="4"/>
        <v>0</v>
      </c>
      <c r="Q162" s="17">
        <f t="shared" si="5"/>
        <v>0</v>
      </c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</row>
    <row r="163" hidden="1">
      <c r="A163" s="4"/>
      <c r="B163" s="20">
        <v>9.062048045E9</v>
      </c>
      <c r="C163" s="20" t="s">
        <v>160</v>
      </c>
      <c r="D163" s="21" t="s">
        <v>183</v>
      </c>
      <c r="E163" s="13" t="s">
        <v>22</v>
      </c>
      <c r="F163" s="20">
        <v>3000.0</v>
      </c>
      <c r="G163" s="20">
        <v>241500.0</v>
      </c>
      <c r="H163" s="22"/>
      <c r="I163" s="16"/>
      <c r="J163" s="16"/>
      <c r="K163" s="16"/>
      <c r="L163" s="15">
        <v>100.0</v>
      </c>
      <c r="M163" s="4">
        <f t="shared" si="1"/>
        <v>100</v>
      </c>
      <c r="N163" s="17">
        <f t="shared" si="2"/>
        <v>0</v>
      </c>
      <c r="O163" s="17">
        <f t="shared" si="3"/>
        <v>0</v>
      </c>
      <c r="P163" s="17">
        <f t="shared" si="4"/>
        <v>0</v>
      </c>
      <c r="Q163" s="17">
        <f t="shared" si="5"/>
        <v>241500</v>
      </c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</row>
    <row r="164" hidden="1">
      <c r="A164" s="4"/>
      <c r="B164" s="20">
        <v>9.062048045E9</v>
      </c>
      <c r="C164" s="20" t="s">
        <v>160</v>
      </c>
      <c r="D164" s="21" t="s">
        <v>184</v>
      </c>
      <c r="E164" s="13" t="s">
        <v>22</v>
      </c>
      <c r="F164" s="20">
        <v>5800.0</v>
      </c>
      <c r="G164" s="20">
        <v>466900.0</v>
      </c>
      <c r="H164" s="22"/>
      <c r="I164" s="19">
        <v>100.0</v>
      </c>
      <c r="J164" s="16"/>
      <c r="K164" s="16"/>
      <c r="L164" s="15"/>
      <c r="M164" s="4">
        <f t="shared" si="1"/>
        <v>100</v>
      </c>
      <c r="N164" s="17">
        <f t="shared" si="2"/>
        <v>466900</v>
      </c>
      <c r="O164" s="17">
        <f t="shared" si="3"/>
        <v>0</v>
      </c>
      <c r="P164" s="17">
        <f t="shared" si="4"/>
        <v>0</v>
      </c>
      <c r="Q164" s="17">
        <f t="shared" si="5"/>
        <v>0</v>
      </c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</row>
    <row r="165" hidden="1">
      <c r="A165" s="4"/>
      <c r="B165" s="20">
        <v>9.062048045E9</v>
      </c>
      <c r="C165" s="20" t="s">
        <v>160</v>
      </c>
      <c r="D165" s="21" t="s">
        <v>185</v>
      </c>
      <c r="E165" s="13" t="s">
        <v>22</v>
      </c>
      <c r="F165" s="20">
        <v>5530.0</v>
      </c>
      <c r="G165" s="20">
        <v>445165.0</v>
      </c>
      <c r="H165" s="22"/>
      <c r="I165" s="16"/>
      <c r="J165" s="19">
        <v>100.0</v>
      </c>
      <c r="K165" s="16"/>
      <c r="L165" s="15"/>
      <c r="M165" s="4">
        <f t="shared" si="1"/>
        <v>100</v>
      </c>
      <c r="N165" s="17">
        <f t="shared" si="2"/>
        <v>0</v>
      </c>
      <c r="O165" s="17">
        <f t="shared" si="3"/>
        <v>445165</v>
      </c>
      <c r="P165" s="17">
        <f t="shared" si="4"/>
        <v>0</v>
      </c>
      <c r="Q165" s="17">
        <f t="shared" si="5"/>
        <v>0</v>
      </c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</row>
    <row r="166" hidden="1">
      <c r="A166" s="4"/>
      <c r="B166" s="20">
        <v>9.062048045E9</v>
      </c>
      <c r="C166" s="20" t="s">
        <v>160</v>
      </c>
      <c r="D166" s="21" t="s">
        <v>186</v>
      </c>
      <c r="E166" s="13" t="s">
        <v>22</v>
      </c>
      <c r="F166" s="20">
        <v>3750.0</v>
      </c>
      <c r="G166" s="20">
        <v>301875.0</v>
      </c>
      <c r="H166" s="22"/>
      <c r="I166" s="16"/>
      <c r="J166" s="16"/>
      <c r="K166" s="16"/>
      <c r="L166" s="15">
        <v>100.0</v>
      </c>
      <c r="M166" s="4">
        <f t="shared" si="1"/>
        <v>100</v>
      </c>
      <c r="N166" s="17">
        <f t="shared" si="2"/>
        <v>0</v>
      </c>
      <c r="O166" s="17">
        <f t="shared" si="3"/>
        <v>0</v>
      </c>
      <c r="P166" s="17">
        <f t="shared" si="4"/>
        <v>0</v>
      </c>
      <c r="Q166" s="17">
        <f t="shared" si="5"/>
        <v>301875</v>
      </c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</row>
    <row r="167" hidden="1">
      <c r="A167" s="4"/>
      <c r="B167" s="20">
        <v>9.062048349E9</v>
      </c>
      <c r="C167" s="23">
        <v>45177.0</v>
      </c>
      <c r="D167" s="26" t="s">
        <v>187</v>
      </c>
      <c r="E167" s="13" t="s">
        <v>77</v>
      </c>
      <c r="F167" s="20">
        <v>2800.0</v>
      </c>
      <c r="G167" s="20">
        <v>225400.0</v>
      </c>
      <c r="H167" s="22"/>
      <c r="I167" s="19">
        <v>30.0</v>
      </c>
      <c r="J167" s="19">
        <v>30.0</v>
      </c>
      <c r="K167" s="19">
        <v>20.0</v>
      </c>
      <c r="L167" s="15">
        <v>20.0</v>
      </c>
      <c r="M167" s="4">
        <f t="shared" si="1"/>
        <v>100</v>
      </c>
      <c r="N167" s="17">
        <f t="shared" si="2"/>
        <v>67620</v>
      </c>
      <c r="O167" s="17">
        <f t="shared" si="3"/>
        <v>67620</v>
      </c>
      <c r="P167" s="17">
        <f t="shared" si="4"/>
        <v>45080</v>
      </c>
      <c r="Q167" s="17">
        <f t="shared" si="5"/>
        <v>45080</v>
      </c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</row>
    <row r="168" hidden="1">
      <c r="A168" s="4"/>
      <c r="B168" s="20">
        <v>9.062046622E9</v>
      </c>
      <c r="C168" s="20" t="s">
        <v>188</v>
      </c>
      <c r="D168" s="26" t="s">
        <v>189</v>
      </c>
      <c r="E168" s="13" t="s">
        <v>77</v>
      </c>
      <c r="F168" s="20">
        <v>49000.0</v>
      </c>
      <c r="G168" s="20">
        <v>3944500.0</v>
      </c>
      <c r="H168" s="22"/>
      <c r="I168" s="15"/>
      <c r="J168" s="19">
        <v>100.0</v>
      </c>
      <c r="K168" s="16"/>
      <c r="L168" s="16"/>
      <c r="M168" s="4">
        <f t="shared" si="1"/>
        <v>100</v>
      </c>
      <c r="N168" s="17">
        <f t="shared" si="2"/>
        <v>0</v>
      </c>
      <c r="O168" s="17">
        <f t="shared" si="3"/>
        <v>3944500</v>
      </c>
      <c r="P168" s="17">
        <f t="shared" si="4"/>
        <v>0</v>
      </c>
      <c r="Q168" s="17">
        <f t="shared" si="5"/>
        <v>0</v>
      </c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</row>
    <row r="169" hidden="1">
      <c r="A169" s="4"/>
      <c r="B169" s="20">
        <v>9.06204832E9</v>
      </c>
      <c r="C169" s="23">
        <v>45024.0</v>
      </c>
      <c r="D169" s="21" t="s">
        <v>190</v>
      </c>
      <c r="E169" s="13" t="s">
        <v>22</v>
      </c>
      <c r="F169" s="20">
        <v>5267.0</v>
      </c>
      <c r="G169" s="20">
        <v>434527.5</v>
      </c>
      <c r="H169" s="22"/>
      <c r="I169" s="15"/>
      <c r="J169" s="19">
        <v>100.0</v>
      </c>
      <c r="K169" s="16"/>
      <c r="L169" s="16"/>
      <c r="M169" s="4">
        <f t="shared" si="1"/>
        <v>100</v>
      </c>
      <c r="N169" s="17">
        <f t="shared" si="2"/>
        <v>0</v>
      </c>
      <c r="O169" s="17">
        <f t="shared" si="3"/>
        <v>434527.5</v>
      </c>
      <c r="P169" s="17">
        <f t="shared" si="4"/>
        <v>0</v>
      </c>
      <c r="Q169" s="17">
        <f t="shared" si="5"/>
        <v>0</v>
      </c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</row>
    <row r="170" hidden="1">
      <c r="A170" s="4"/>
      <c r="B170" s="20">
        <v>9.06204832E9</v>
      </c>
      <c r="C170" s="23">
        <v>45024.0</v>
      </c>
      <c r="D170" s="21" t="s">
        <v>191</v>
      </c>
      <c r="E170" s="13" t="s">
        <v>22</v>
      </c>
      <c r="F170" s="20">
        <v>8850.0</v>
      </c>
      <c r="G170" s="20">
        <v>730125.0</v>
      </c>
      <c r="H170" s="22"/>
      <c r="I170" s="15">
        <v>100.0</v>
      </c>
      <c r="J170" s="16"/>
      <c r="K170" s="16"/>
      <c r="L170" s="16"/>
      <c r="M170" s="4">
        <f t="shared" si="1"/>
        <v>100</v>
      </c>
      <c r="N170" s="17">
        <f t="shared" si="2"/>
        <v>730125</v>
      </c>
      <c r="O170" s="17">
        <f t="shared" si="3"/>
        <v>0</v>
      </c>
      <c r="P170" s="17">
        <f t="shared" si="4"/>
        <v>0</v>
      </c>
      <c r="Q170" s="17">
        <f t="shared" si="5"/>
        <v>0</v>
      </c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</row>
    <row r="171" hidden="1">
      <c r="A171" s="4"/>
      <c r="B171" s="20">
        <v>9.06204832E9</v>
      </c>
      <c r="C171" s="23">
        <v>45024.0</v>
      </c>
      <c r="D171" s="21" t="s">
        <v>192</v>
      </c>
      <c r="E171" s="13" t="s">
        <v>22</v>
      </c>
      <c r="F171" s="20">
        <v>5530.0</v>
      </c>
      <c r="G171" s="20">
        <v>456225.0</v>
      </c>
      <c r="H171" s="22"/>
      <c r="I171" s="15"/>
      <c r="J171" s="19">
        <v>100.0</v>
      </c>
      <c r="K171" s="16"/>
      <c r="L171" s="16"/>
      <c r="M171" s="4">
        <f t="shared" si="1"/>
        <v>100</v>
      </c>
      <c r="N171" s="17">
        <f t="shared" si="2"/>
        <v>0</v>
      </c>
      <c r="O171" s="17">
        <f t="shared" si="3"/>
        <v>456225</v>
      </c>
      <c r="P171" s="17">
        <f t="shared" si="4"/>
        <v>0</v>
      </c>
      <c r="Q171" s="17">
        <f t="shared" si="5"/>
        <v>0</v>
      </c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</row>
    <row r="172" hidden="1">
      <c r="A172" s="4"/>
      <c r="B172" s="20">
        <v>9.06204832E9</v>
      </c>
      <c r="C172" s="23">
        <v>45024.0</v>
      </c>
      <c r="D172" s="21" t="s">
        <v>193</v>
      </c>
      <c r="E172" s="13" t="s">
        <v>22</v>
      </c>
      <c r="F172" s="20">
        <v>6400.0</v>
      </c>
      <c r="G172" s="20">
        <v>528000.0</v>
      </c>
      <c r="H172" s="22"/>
      <c r="I172" s="15">
        <v>100.0</v>
      </c>
      <c r="J172" s="16"/>
      <c r="K172" s="16"/>
      <c r="L172" s="16"/>
      <c r="M172" s="4">
        <f t="shared" si="1"/>
        <v>100</v>
      </c>
      <c r="N172" s="17">
        <f t="shared" si="2"/>
        <v>528000</v>
      </c>
      <c r="O172" s="17">
        <f t="shared" si="3"/>
        <v>0</v>
      </c>
      <c r="P172" s="17">
        <f t="shared" si="4"/>
        <v>0</v>
      </c>
      <c r="Q172" s="17">
        <f t="shared" si="5"/>
        <v>0</v>
      </c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</row>
    <row r="173" hidden="1">
      <c r="A173" s="4"/>
      <c r="B173" s="20">
        <v>9.06204832E9</v>
      </c>
      <c r="C173" s="23">
        <v>45024.0</v>
      </c>
      <c r="D173" s="21" t="s">
        <v>194</v>
      </c>
      <c r="E173" s="13" t="s">
        <v>22</v>
      </c>
      <c r="F173" s="20">
        <v>6760.0</v>
      </c>
      <c r="G173" s="20">
        <v>557700.0</v>
      </c>
      <c r="H173" s="22"/>
      <c r="I173" s="15">
        <v>100.0</v>
      </c>
      <c r="J173" s="16"/>
      <c r="K173" s="16"/>
      <c r="L173" s="16"/>
      <c r="M173" s="4">
        <f t="shared" si="1"/>
        <v>100</v>
      </c>
      <c r="N173" s="17">
        <f t="shared" si="2"/>
        <v>557700</v>
      </c>
      <c r="O173" s="17">
        <f t="shared" si="3"/>
        <v>0</v>
      </c>
      <c r="P173" s="17">
        <f t="shared" si="4"/>
        <v>0</v>
      </c>
      <c r="Q173" s="17">
        <f t="shared" si="5"/>
        <v>0</v>
      </c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</row>
    <row r="174" hidden="1">
      <c r="A174" s="4"/>
      <c r="B174" s="20">
        <v>9.06204832E9</v>
      </c>
      <c r="C174" s="23">
        <v>45024.0</v>
      </c>
      <c r="D174" s="21" t="s">
        <v>195</v>
      </c>
      <c r="E174" s="13" t="s">
        <v>22</v>
      </c>
      <c r="F174" s="20">
        <v>8850.0</v>
      </c>
      <c r="G174" s="20">
        <v>730125.0</v>
      </c>
      <c r="H174" s="22"/>
      <c r="I174" s="15">
        <v>100.0</v>
      </c>
      <c r="J174" s="16"/>
      <c r="K174" s="16"/>
      <c r="L174" s="16"/>
      <c r="M174" s="4">
        <f t="shared" si="1"/>
        <v>100</v>
      </c>
      <c r="N174" s="17">
        <f t="shared" si="2"/>
        <v>730125</v>
      </c>
      <c r="O174" s="17">
        <f t="shared" si="3"/>
        <v>0</v>
      </c>
      <c r="P174" s="17">
        <f t="shared" si="4"/>
        <v>0</v>
      </c>
      <c r="Q174" s="17">
        <f t="shared" si="5"/>
        <v>0</v>
      </c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</row>
    <row r="175" hidden="1">
      <c r="A175" s="4"/>
      <c r="B175" s="20">
        <v>9.06204832E9</v>
      </c>
      <c r="C175" s="23">
        <v>45024.0</v>
      </c>
      <c r="D175" s="21" t="s">
        <v>196</v>
      </c>
      <c r="E175" s="13" t="s">
        <v>22</v>
      </c>
      <c r="F175" s="20">
        <v>3000.0</v>
      </c>
      <c r="G175" s="20">
        <v>247500.0</v>
      </c>
      <c r="H175" s="22"/>
      <c r="I175" s="15"/>
      <c r="J175" s="16"/>
      <c r="K175" s="16"/>
      <c r="L175" s="19">
        <v>100.0</v>
      </c>
      <c r="M175" s="4">
        <f t="shared" si="1"/>
        <v>100</v>
      </c>
      <c r="N175" s="17">
        <f t="shared" si="2"/>
        <v>0</v>
      </c>
      <c r="O175" s="17">
        <f t="shared" si="3"/>
        <v>0</v>
      </c>
      <c r="P175" s="17">
        <f t="shared" si="4"/>
        <v>0</v>
      </c>
      <c r="Q175" s="17">
        <f t="shared" si="5"/>
        <v>247500</v>
      </c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</row>
    <row r="176" hidden="1">
      <c r="A176" s="4"/>
      <c r="B176" s="20">
        <v>9.06204832E9</v>
      </c>
      <c r="C176" s="23">
        <v>45024.0</v>
      </c>
      <c r="D176" s="21" t="s">
        <v>197</v>
      </c>
      <c r="E176" s="13" t="s">
        <v>22</v>
      </c>
      <c r="F176" s="20">
        <v>5530.0</v>
      </c>
      <c r="G176" s="20">
        <v>456225.0</v>
      </c>
      <c r="H176" s="22"/>
      <c r="I176" s="15"/>
      <c r="J176" s="19">
        <v>100.0</v>
      </c>
      <c r="K176" s="16"/>
      <c r="L176" s="16"/>
      <c r="M176" s="4">
        <f t="shared" si="1"/>
        <v>100</v>
      </c>
      <c r="N176" s="17">
        <f t="shared" si="2"/>
        <v>0</v>
      </c>
      <c r="O176" s="17">
        <f t="shared" si="3"/>
        <v>456225</v>
      </c>
      <c r="P176" s="17">
        <f t="shared" si="4"/>
        <v>0</v>
      </c>
      <c r="Q176" s="17">
        <f t="shared" si="5"/>
        <v>0</v>
      </c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</row>
    <row r="177" hidden="1">
      <c r="A177" s="4"/>
      <c r="B177" s="20">
        <v>9.06204832E9</v>
      </c>
      <c r="C177" s="23">
        <v>45024.0</v>
      </c>
      <c r="D177" s="21" t="s">
        <v>198</v>
      </c>
      <c r="E177" s="13" t="s">
        <v>22</v>
      </c>
      <c r="F177" s="20">
        <v>3750.0</v>
      </c>
      <c r="G177" s="20">
        <v>309375.0</v>
      </c>
      <c r="H177" s="22"/>
      <c r="I177" s="15"/>
      <c r="J177" s="16"/>
      <c r="K177" s="16"/>
      <c r="L177" s="19">
        <v>100.0</v>
      </c>
      <c r="M177" s="4">
        <f t="shared" si="1"/>
        <v>100</v>
      </c>
      <c r="N177" s="17">
        <f t="shared" si="2"/>
        <v>0</v>
      </c>
      <c r="O177" s="17">
        <f t="shared" si="3"/>
        <v>0</v>
      </c>
      <c r="P177" s="17">
        <f t="shared" si="4"/>
        <v>0</v>
      </c>
      <c r="Q177" s="17">
        <f t="shared" si="5"/>
        <v>309375</v>
      </c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</row>
    <row r="178" hidden="1">
      <c r="A178" s="4"/>
      <c r="B178" s="20">
        <v>9.06204832E9</v>
      </c>
      <c r="C178" s="23">
        <v>45024.0</v>
      </c>
      <c r="D178" s="21" t="s">
        <v>199</v>
      </c>
      <c r="E178" s="13" t="s">
        <v>22</v>
      </c>
      <c r="F178" s="20">
        <v>10800.0</v>
      </c>
      <c r="G178" s="20">
        <v>891000.0</v>
      </c>
      <c r="H178" s="22"/>
      <c r="I178" s="19">
        <v>100.0</v>
      </c>
      <c r="J178" s="15"/>
      <c r="K178" s="16"/>
      <c r="L178" s="16"/>
      <c r="M178" s="4">
        <f t="shared" si="1"/>
        <v>100</v>
      </c>
      <c r="N178" s="17">
        <f t="shared" si="2"/>
        <v>891000</v>
      </c>
      <c r="O178" s="17">
        <f t="shared" si="3"/>
        <v>0</v>
      </c>
      <c r="P178" s="17">
        <f t="shared" si="4"/>
        <v>0</v>
      </c>
      <c r="Q178" s="17">
        <f t="shared" si="5"/>
        <v>0</v>
      </c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</row>
    <row r="179" hidden="1">
      <c r="A179" s="4"/>
      <c r="B179" s="20">
        <v>9.06204832E9</v>
      </c>
      <c r="C179" s="23">
        <v>45024.0</v>
      </c>
      <c r="D179" s="21" t="s">
        <v>200</v>
      </c>
      <c r="E179" s="13" t="s">
        <v>22</v>
      </c>
      <c r="F179" s="20">
        <v>2100.0</v>
      </c>
      <c r="G179" s="20">
        <v>173250.0</v>
      </c>
      <c r="H179" s="22"/>
      <c r="I179" s="16"/>
      <c r="J179" s="15"/>
      <c r="K179" s="16"/>
      <c r="L179" s="19">
        <v>100.0</v>
      </c>
      <c r="M179" s="4">
        <f t="shared" si="1"/>
        <v>100</v>
      </c>
      <c r="N179" s="17">
        <f t="shared" si="2"/>
        <v>0</v>
      </c>
      <c r="O179" s="17">
        <f t="shared" si="3"/>
        <v>0</v>
      </c>
      <c r="P179" s="17">
        <f t="shared" si="4"/>
        <v>0</v>
      </c>
      <c r="Q179" s="17">
        <f t="shared" si="5"/>
        <v>173250</v>
      </c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</row>
    <row r="180" hidden="1">
      <c r="A180" s="4"/>
      <c r="B180" s="20">
        <v>9.06204832E9</v>
      </c>
      <c r="C180" s="23">
        <v>45024.0</v>
      </c>
      <c r="D180" s="21" t="s">
        <v>201</v>
      </c>
      <c r="E180" s="13" t="s">
        <v>22</v>
      </c>
      <c r="F180" s="20">
        <v>7000.0</v>
      </c>
      <c r="G180" s="20">
        <v>577500.0</v>
      </c>
      <c r="H180" s="22"/>
      <c r="I180" s="16"/>
      <c r="J180" s="15"/>
      <c r="K180" s="19">
        <v>100.0</v>
      </c>
      <c r="L180" s="16"/>
      <c r="M180" s="4">
        <f t="shared" si="1"/>
        <v>100</v>
      </c>
      <c r="N180" s="17">
        <f t="shared" si="2"/>
        <v>0</v>
      </c>
      <c r="O180" s="17">
        <f t="shared" si="3"/>
        <v>0</v>
      </c>
      <c r="P180" s="17">
        <f t="shared" si="4"/>
        <v>577500</v>
      </c>
      <c r="Q180" s="17">
        <f t="shared" si="5"/>
        <v>0</v>
      </c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</row>
    <row r="181" hidden="1">
      <c r="A181" s="4"/>
      <c r="B181" s="20">
        <v>9.06204832E9</v>
      </c>
      <c r="C181" s="23">
        <v>45024.0</v>
      </c>
      <c r="D181" s="21" t="s">
        <v>202</v>
      </c>
      <c r="E181" s="13" t="s">
        <v>22</v>
      </c>
      <c r="F181" s="20">
        <v>8850.0</v>
      </c>
      <c r="G181" s="20">
        <v>730125.0</v>
      </c>
      <c r="H181" s="22"/>
      <c r="I181" s="19">
        <v>100.0</v>
      </c>
      <c r="J181" s="15"/>
      <c r="K181" s="16"/>
      <c r="L181" s="16"/>
      <c r="M181" s="4">
        <f t="shared" si="1"/>
        <v>100</v>
      </c>
      <c r="N181" s="17">
        <f t="shared" si="2"/>
        <v>730125</v>
      </c>
      <c r="O181" s="17">
        <f t="shared" si="3"/>
        <v>0</v>
      </c>
      <c r="P181" s="17">
        <f t="shared" si="4"/>
        <v>0</v>
      </c>
      <c r="Q181" s="17">
        <f t="shared" si="5"/>
        <v>0</v>
      </c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</row>
    <row r="182" hidden="1">
      <c r="A182" s="4"/>
      <c r="B182" s="20">
        <v>9.06204832E9</v>
      </c>
      <c r="C182" s="23">
        <v>45024.0</v>
      </c>
      <c r="D182" s="21" t="s">
        <v>203</v>
      </c>
      <c r="E182" s="13" t="s">
        <v>22</v>
      </c>
      <c r="F182" s="20">
        <v>4200.0</v>
      </c>
      <c r="G182" s="20">
        <v>346500.0</v>
      </c>
      <c r="H182" s="22"/>
      <c r="I182" s="19"/>
      <c r="J182" s="15"/>
      <c r="K182" s="16"/>
      <c r="L182" s="19">
        <v>100.0</v>
      </c>
      <c r="M182" s="4">
        <f t="shared" si="1"/>
        <v>100</v>
      </c>
      <c r="N182" s="17">
        <f t="shared" si="2"/>
        <v>0</v>
      </c>
      <c r="O182" s="17">
        <f t="shared" si="3"/>
        <v>0</v>
      </c>
      <c r="P182" s="17">
        <f t="shared" si="4"/>
        <v>0</v>
      </c>
      <c r="Q182" s="17">
        <f t="shared" si="5"/>
        <v>346500</v>
      </c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</row>
    <row r="183" hidden="1">
      <c r="A183" s="4"/>
      <c r="B183" s="20">
        <v>9.06204832E9</v>
      </c>
      <c r="C183" s="23">
        <v>45024.0</v>
      </c>
      <c r="D183" s="21" t="s">
        <v>204</v>
      </c>
      <c r="E183" s="13" t="s">
        <v>22</v>
      </c>
      <c r="F183" s="20">
        <v>7000.0</v>
      </c>
      <c r="G183" s="20">
        <v>577500.0</v>
      </c>
      <c r="H183" s="22"/>
      <c r="I183" s="16"/>
      <c r="J183" s="15"/>
      <c r="K183" s="19">
        <v>100.0</v>
      </c>
      <c r="L183" s="16"/>
      <c r="M183" s="4">
        <f t="shared" si="1"/>
        <v>100</v>
      </c>
      <c r="N183" s="17">
        <f t="shared" si="2"/>
        <v>0</v>
      </c>
      <c r="O183" s="17">
        <f t="shared" si="3"/>
        <v>0</v>
      </c>
      <c r="P183" s="17">
        <f t="shared" si="4"/>
        <v>577500</v>
      </c>
      <c r="Q183" s="17">
        <f t="shared" si="5"/>
        <v>0</v>
      </c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</row>
    <row r="184" hidden="1">
      <c r="A184" s="4"/>
      <c r="B184" s="20">
        <v>9.06204832E9</v>
      </c>
      <c r="C184" s="23">
        <v>45024.0</v>
      </c>
      <c r="D184" s="21" t="s">
        <v>205</v>
      </c>
      <c r="E184" s="13" t="s">
        <v>22</v>
      </c>
      <c r="F184" s="20">
        <v>7000.0</v>
      </c>
      <c r="G184" s="20">
        <v>577500.0</v>
      </c>
      <c r="H184" s="22"/>
      <c r="I184" s="16"/>
      <c r="J184" s="15"/>
      <c r="K184" s="19">
        <v>100.0</v>
      </c>
      <c r="L184" s="16"/>
      <c r="M184" s="4">
        <f t="shared" si="1"/>
        <v>100</v>
      </c>
      <c r="N184" s="17">
        <f t="shared" si="2"/>
        <v>0</v>
      </c>
      <c r="O184" s="17">
        <f t="shared" si="3"/>
        <v>0</v>
      </c>
      <c r="P184" s="17">
        <f t="shared" si="4"/>
        <v>577500</v>
      </c>
      <c r="Q184" s="17">
        <f t="shared" si="5"/>
        <v>0</v>
      </c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</row>
    <row r="185" hidden="1">
      <c r="A185" s="4"/>
      <c r="B185" s="20">
        <v>9.06204832E9</v>
      </c>
      <c r="C185" s="23">
        <v>45024.0</v>
      </c>
      <c r="D185" s="21" t="s">
        <v>206</v>
      </c>
      <c r="E185" s="13" t="s">
        <v>22</v>
      </c>
      <c r="F185" s="20">
        <v>5398.0</v>
      </c>
      <c r="G185" s="20">
        <v>445335.0</v>
      </c>
      <c r="H185" s="22"/>
      <c r="I185" s="16"/>
      <c r="J185" s="15">
        <v>100.0</v>
      </c>
      <c r="K185" s="16"/>
      <c r="L185" s="16"/>
      <c r="M185" s="4">
        <f t="shared" si="1"/>
        <v>100</v>
      </c>
      <c r="N185" s="17">
        <f t="shared" si="2"/>
        <v>0</v>
      </c>
      <c r="O185" s="17">
        <f t="shared" si="3"/>
        <v>445335</v>
      </c>
      <c r="P185" s="17">
        <f t="shared" si="4"/>
        <v>0</v>
      </c>
      <c r="Q185" s="17">
        <f t="shared" si="5"/>
        <v>0</v>
      </c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</row>
    <row r="186" hidden="1">
      <c r="A186" s="4"/>
      <c r="B186" s="20">
        <v>9.06204832E9</v>
      </c>
      <c r="C186" s="23">
        <v>45024.0</v>
      </c>
      <c r="D186" s="26" t="s">
        <v>207</v>
      </c>
      <c r="E186" s="13" t="s">
        <v>77</v>
      </c>
      <c r="F186" s="20">
        <v>4860.0</v>
      </c>
      <c r="G186" s="20">
        <v>400950.0</v>
      </c>
      <c r="H186" s="22"/>
      <c r="I186" s="16"/>
      <c r="J186" s="15">
        <v>100.0</v>
      </c>
      <c r="K186" s="16"/>
      <c r="L186" s="16"/>
      <c r="M186" s="4">
        <f t="shared" si="1"/>
        <v>100</v>
      </c>
      <c r="N186" s="17">
        <f t="shared" si="2"/>
        <v>0</v>
      </c>
      <c r="O186" s="17">
        <f t="shared" si="3"/>
        <v>400950</v>
      </c>
      <c r="P186" s="17">
        <f t="shared" si="4"/>
        <v>0</v>
      </c>
      <c r="Q186" s="17">
        <f t="shared" si="5"/>
        <v>0</v>
      </c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</row>
    <row r="187" hidden="1">
      <c r="A187" s="4"/>
      <c r="B187" s="20">
        <v>9.06204832E9</v>
      </c>
      <c r="C187" s="23">
        <v>45024.0</v>
      </c>
      <c r="D187" s="21" t="s">
        <v>208</v>
      </c>
      <c r="E187" s="13" t="s">
        <v>22</v>
      </c>
      <c r="F187" s="20">
        <v>6760.0</v>
      </c>
      <c r="G187" s="20">
        <v>557700.0</v>
      </c>
      <c r="H187" s="22"/>
      <c r="I187" s="19">
        <v>100.0</v>
      </c>
      <c r="J187" s="15"/>
      <c r="K187" s="16"/>
      <c r="L187" s="16"/>
      <c r="M187" s="4">
        <f t="shared" si="1"/>
        <v>100</v>
      </c>
      <c r="N187" s="17">
        <f t="shared" si="2"/>
        <v>557700</v>
      </c>
      <c r="O187" s="17">
        <f t="shared" si="3"/>
        <v>0</v>
      </c>
      <c r="P187" s="17">
        <f t="shared" si="4"/>
        <v>0</v>
      </c>
      <c r="Q187" s="17">
        <f t="shared" si="5"/>
        <v>0</v>
      </c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</row>
    <row r="188" hidden="1">
      <c r="A188" s="4"/>
      <c r="B188" s="20">
        <v>9.06204832E9</v>
      </c>
      <c r="C188" s="23">
        <v>45024.0</v>
      </c>
      <c r="D188" s="21" t="s">
        <v>209</v>
      </c>
      <c r="E188" s="13" t="s">
        <v>22</v>
      </c>
      <c r="F188" s="20">
        <v>5586.0</v>
      </c>
      <c r="G188" s="20">
        <v>460845.0</v>
      </c>
      <c r="H188" s="22"/>
      <c r="I188" s="16"/>
      <c r="J188" s="15">
        <v>100.0</v>
      </c>
      <c r="K188" s="16"/>
      <c r="L188" s="16"/>
      <c r="M188" s="4">
        <f t="shared" si="1"/>
        <v>100</v>
      </c>
      <c r="N188" s="17">
        <f t="shared" si="2"/>
        <v>0</v>
      </c>
      <c r="O188" s="17">
        <f t="shared" si="3"/>
        <v>460845</v>
      </c>
      <c r="P188" s="17">
        <f t="shared" si="4"/>
        <v>0</v>
      </c>
      <c r="Q188" s="17">
        <f t="shared" si="5"/>
        <v>0</v>
      </c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</row>
    <row r="189" hidden="1">
      <c r="A189" s="4"/>
      <c r="B189" s="20">
        <v>9.06204832E9</v>
      </c>
      <c r="C189" s="23">
        <v>45024.0</v>
      </c>
      <c r="D189" s="21" t="s">
        <v>210</v>
      </c>
      <c r="E189" s="13" t="s">
        <v>22</v>
      </c>
      <c r="F189" s="20">
        <v>8300.0</v>
      </c>
      <c r="G189" s="20">
        <v>684750.0</v>
      </c>
      <c r="H189" s="22"/>
      <c r="I189" s="19">
        <v>100.0</v>
      </c>
      <c r="J189" s="16"/>
      <c r="K189" s="15"/>
      <c r="L189" s="16"/>
      <c r="M189" s="4">
        <f t="shared" si="1"/>
        <v>100</v>
      </c>
      <c r="N189" s="17">
        <f t="shared" si="2"/>
        <v>684750</v>
      </c>
      <c r="O189" s="17">
        <f t="shared" si="3"/>
        <v>0</v>
      </c>
      <c r="P189" s="17">
        <f t="shared" si="4"/>
        <v>0</v>
      </c>
      <c r="Q189" s="17">
        <f t="shared" si="5"/>
        <v>0</v>
      </c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</row>
    <row r="190" hidden="1">
      <c r="A190" s="4"/>
      <c r="B190" s="20">
        <v>9.06204832E9</v>
      </c>
      <c r="C190" s="23">
        <v>45024.0</v>
      </c>
      <c r="D190" s="21" t="s">
        <v>211</v>
      </c>
      <c r="E190" s="13" t="s">
        <v>22</v>
      </c>
      <c r="F190" s="20">
        <v>4977.0</v>
      </c>
      <c r="G190" s="20">
        <v>410602.5</v>
      </c>
      <c r="H190" s="22"/>
      <c r="I190" s="16"/>
      <c r="J190" s="19">
        <v>100.0</v>
      </c>
      <c r="K190" s="15"/>
      <c r="L190" s="16"/>
      <c r="M190" s="4">
        <f t="shared" si="1"/>
        <v>100</v>
      </c>
      <c r="N190" s="17">
        <f t="shared" si="2"/>
        <v>0</v>
      </c>
      <c r="O190" s="17">
        <f t="shared" si="3"/>
        <v>410602.5</v>
      </c>
      <c r="P190" s="17">
        <f t="shared" si="4"/>
        <v>0</v>
      </c>
      <c r="Q190" s="17">
        <f t="shared" si="5"/>
        <v>0</v>
      </c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</row>
    <row r="191" hidden="1">
      <c r="A191" s="4"/>
      <c r="B191" s="20">
        <v>9.06204832E9</v>
      </c>
      <c r="C191" s="23">
        <v>45024.0</v>
      </c>
      <c r="D191" s="21" t="s">
        <v>212</v>
      </c>
      <c r="E191" s="13" t="s">
        <v>22</v>
      </c>
      <c r="F191" s="20">
        <v>5464.0</v>
      </c>
      <c r="G191" s="20">
        <v>450780.0</v>
      </c>
      <c r="H191" s="22"/>
      <c r="I191" s="16"/>
      <c r="J191" s="19">
        <v>100.0</v>
      </c>
      <c r="K191" s="15"/>
      <c r="L191" s="16"/>
      <c r="M191" s="4">
        <f t="shared" si="1"/>
        <v>100</v>
      </c>
      <c r="N191" s="17">
        <f t="shared" si="2"/>
        <v>0</v>
      </c>
      <c r="O191" s="17">
        <f t="shared" si="3"/>
        <v>450780</v>
      </c>
      <c r="P191" s="17">
        <f t="shared" si="4"/>
        <v>0</v>
      </c>
      <c r="Q191" s="17">
        <f t="shared" si="5"/>
        <v>0</v>
      </c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</row>
    <row r="192" hidden="1">
      <c r="A192" s="4"/>
      <c r="B192" s="20">
        <v>9.06204832E9</v>
      </c>
      <c r="C192" s="23">
        <v>45024.0</v>
      </c>
      <c r="D192" s="21" t="s">
        <v>213</v>
      </c>
      <c r="E192" s="13" t="s">
        <v>22</v>
      </c>
      <c r="F192" s="20">
        <v>3000.0</v>
      </c>
      <c r="G192" s="20">
        <v>247500.0</v>
      </c>
      <c r="H192" s="22"/>
      <c r="I192" s="16"/>
      <c r="J192" s="16"/>
      <c r="K192" s="15"/>
      <c r="L192" s="19">
        <v>100.0</v>
      </c>
      <c r="M192" s="4">
        <f t="shared" si="1"/>
        <v>100</v>
      </c>
      <c r="N192" s="17">
        <f t="shared" si="2"/>
        <v>0</v>
      </c>
      <c r="O192" s="17">
        <f t="shared" si="3"/>
        <v>0</v>
      </c>
      <c r="P192" s="17">
        <f t="shared" si="4"/>
        <v>0</v>
      </c>
      <c r="Q192" s="17">
        <f t="shared" si="5"/>
        <v>247500</v>
      </c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</row>
    <row r="193" hidden="1">
      <c r="A193" s="4"/>
      <c r="B193" s="20">
        <v>9.06204832E9</v>
      </c>
      <c r="C193" s="23">
        <v>45024.0</v>
      </c>
      <c r="D193" s="21" t="s">
        <v>214</v>
      </c>
      <c r="E193" s="13" t="s">
        <v>22</v>
      </c>
      <c r="F193" s="20">
        <v>6760.0</v>
      </c>
      <c r="G193" s="20">
        <v>557700.0</v>
      </c>
      <c r="H193" s="22"/>
      <c r="I193" s="19">
        <v>100.0</v>
      </c>
      <c r="J193" s="16"/>
      <c r="K193" s="16"/>
      <c r="L193" s="15"/>
      <c r="M193" s="4">
        <f t="shared" si="1"/>
        <v>100</v>
      </c>
      <c r="N193" s="17">
        <f t="shared" si="2"/>
        <v>557700</v>
      </c>
      <c r="O193" s="17">
        <f t="shared" si="3"/>
        <v>0</v>
      </c>
      <c r="P193" s="17">
        <f t="shared" si="4"/>
        <v>0</v>
      </c>
      <c r="Q193" s="17">
        <f t="shared" si="5"/>
        <v>0</v>
      </c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</row>
    <row r="194" hidden="1">
      <c r="A194" s="4"/>
      <c r="B194" s="20">
        <v>9.06204832E9</v>
      </c>
      <c r="C194" s="23">
        <v>45024.0</v>
      </c>
      <c r="D194" s="21" t="s">
        <v>215</v>
      </c>
      <c r="E194" s="13" t="s">
        <v>22</v>
      </c>
      <c r="F194" s="20">
        <v>5003.0</v>
      </c>
      <c r="G194" s="20">
        <v>412747.5</v>
      </c>
      <c r="H194" s="22"/>
      <c r="I194" s="16"/>
      <c r="J194" s="19">
        <v>100.0</v>
      </c>
      <c r="K194" s="16"/>
      <c r="L194" s="15"/>
      <c r="M194" s="4">
        <f t="shared" si="1"/>
        <v>100</v>
      </c>
      <c r="N194" s="17">
        <f t="shared" si="2"/>
        <v>0</v>
      </c>
      <c r="O194" s="17">
        <f t="shared" si="3"/>
        <v>412747.5</v>
      </c>
      <c r="P194" s="17">
        <f t="shared" si="4"/>
        <v>0</v>
      </c>
      <c r="Q194" s="17">
        <f t="shared" si="5"/>
        <v>0</v>
      </c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</row>
    <row r="195" hidden="1">
      <c r="A195" s="4"/>
      <c r="B195" s="20">
        <v>9.06204832E9</v>
      </c>
      <c r="C195" s="23">
        <v>45024.0</v>
      </c>
      <c r="D195" s="21" t="s">
        <v>216</v>
      </c>
      <c r="E195" s="13" t="s">
        <v>22</v>
      </c>
      <c r="F195" s="20">
        <v>6243.0</v>
      </c>
      <c r="G195" s="20">
        <v>515047.5</v>
      </c>
      <c r="H195" s="22"/>
      <c r="I195" s="16"/>
      <c r="J195" s="19">
        <v>100.0</v>
      </c>
      <c r="K195" s="16"/>
      <c r="L195" s="15"/>
      <c r="M195" s="4">
        <f t="shared" si="1"/>
        <v>100</v>
      </c>
      <c r="N195" s="17">
        <f t="shared" si="2"/>
        <v>0</v>
      </c>
      <c r="O195" s="17">
        <f t="shared" si="3"/>
        <v>515047.5</v>
      </c>
      <c r="P195" s="17">
        <f t="shared" si="4"/>
        <v>0</v>
      </c>
      <c r="Q195" s="17">
        <f t="shared" si="5"/>
        <v>0</v>
      </c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</row>
    <row r="196" hidden="1">
      <c r="A196" s="4"/>
      <c r="B196" s="20">
        <v>9.06204832E9</v>
      </c>
      <c r="C196" s="23">
        <v>45024.0</v>
      </c>
      <c r="D196" s="21" t="s">
        <v>217</v>
      </c>
      <c r="E196" s="13" t="s">
        <v>22</v>
      </c>
      <c r="F196" s="20">
        <v>10800.0</v>
      </c>
      <c r="G196" s="20">
        <v>891000.0</v>
      </c>
      <c r="H196" s="22"/>
      <c r="I196" s="16"/>
      <c r="J196" s="19">
        <v>100.0</v>
      </c>
      <c r="K196" s="16"/>
      <c r="L196" s="15"/>
      <c r="M196" s="4">
        <f t="shared" si="1"/>
        <v>100</v>
      </c>
      <c r="N196" s="17">
        <f t="shared" si="2"/>
        <v>0</v>
      </c>
      <c r="O196" s="17">
        <f t="shared" si="3"/>
        <v>891000</v>
      </c>
      <c r="P196" s="17">
        <f t="shared" si="4"/>
        <v>0</v>
      </c>
      <c r="Q196" s="17">
        <f t="shared" si="5"/>
        <v>0</v>
      </c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</row>
    <row r="197" hidden="1">
      <c r="A197" s="4"/>
      <c r="B197" s="20">
        <v>9.06204832E9</v>
      </c>
      <c r="C197" s="23">
        <v>45024.0</v>
      </c>
      <c r="D197" s="21" t="s">
        <v>218</v>
      </c>
      <c r="E197" s="13" t="s">
        <v>22</v>
      </c>
      <c r="F197" s="20">
        <v>5800.0</v>
      </c>
      <c r="G197" s="20">
        <v>478500.0</v>
      </c>
      <c r="H197" s="22"/>
      <c r="I197" s="19">
        <v>100.0</v>
      </c>
      <c r="J197" s="16"/>
      <c r="K197" s="16"/>
      <c r="L197" s="15"/>
      <c r="M197" s="4">
        <f t="shared" si="1"/>
        <v>100</v>
      </c>
      <c r="N197" s="17">
        <f t="shared" si="2"/>
        <v>478500</v>
      </c>
      <c r="O197" s="17">
        <f t="shared" si="3"/>
        <v>0</v>
      </c>
      <c r="P197" s="17">
        <f t="shared" si="4"/>
        <v>0</v>
      </c>
      <c r="Q197" s="17">
        <f t="shared" si="5"/>
        <v>0</v>
      </c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</row>
    <row r="198" hidden="1">
      <c r="A198" s="4"/>
      <c r="B198" s="20">
        <v>9.06204832E9</v>
      </c>
      <c r="C198" s="23">
        <v>45024.0</v>
      </c>
      <c r="D198" s="21" t="s">
        <v>219</v>
      </c>
      <c r="E198" s="13" t="s">
        <v>22</v>
      </c>
      <c r="F198" s="20">
        <v>6000.0</v>
      </c>
      <c r="G198" s="20">
        <v>495000.0</v>
      </c>
      <c r="H198" s="22"/>
      <c r="I198" s="15"/>
      <c r="J198" s="16"/>
      <c r="K198" s="19">
        <v>100.0</v>
      </c>
      <c r="L198" s="16"/>
      <c r="M198" s="4">
        <f t="shared" si="1"/>
        <v>100</v>
      </c>
      <c r="N198" s="17">
        <f t="shared" si="2"/>
        <v>0</v>
      </c>
      <c r="O198" s="17">
        <f t="shared" si="3"/>
        <v>0</v>
      </c>
      <c r="P198" s="17">
        <f t="shared" si="4"/>
        <v>495000</v>
      </c>
      <c r="Q198" s="17">
        <f t="shared" si="5"/>
        <v>0</v>
      </c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</row>
    <row r="199" hidden="1">
      <c r="A199" s="4"/>
      <c r="B199" s="24"/>
      <c r="C199" s="25"/>
      <c r="D199" s="21" t="s">
        <v>220</v>
      </c>
      <c r="E199" s="13" t="s">
        <v>74</v>
      </c>
      <c r="F199" s="20">
        <v>78875.0</v>
      </c>
      <c r="G199" s="20">
        <v>6507187.5</v>
      </c>
      <c r="H199" s="22"/>
      <c r="I199" s="15"/>
      <c r="J199" s="19">
        <v>100.0</v>
      </c>
      <c r="K199" s="16"/>
      <c r="L199" s="16"/>
      <c r="M199" s="4">
        <f t="shared" si="1"/>
        <v>100</v>
      </c>
      <c r="N199" s="17">
        <f t="shared" si="2"/>
        <v>0</v>
      </c>
      <c r="O199" s="17">
        <f t="shared" si="3"/>
        <v>6507187.5</v>
      </c>
      <c r="P199" s="17">
        <f t="shared" si="4"/>
        <v>0</v>
      </c>
      <c r="Q199" s="17">
        <f t="shared" si="5"/>
        <v>0</v>
      </c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</row>
    <row r="200" hidden="1">
      <c r="A200" s="4"/>
      <c r="B200" s="20">
        <v>9.062048947E9</v>
      </c>
      <c r="C200" s="20" t="s">
        <v>221</v>
      </c>
      <c r="D200" s="21" t="s">
        <v>222</v>
      </c>
      <c r="E200" s="13" t="s">
        <v>77</v>
      </c>
      <c r="F200" s="20">
        <v>580.0</v>
      </c>
      <c r="G200" s="20">
        <v>47850.0</v>
      </c>
      <c r="H200" s="22"/>
      <c r="I200" s="15"/>
      <c r="J200" s="16"/>
      <c r="K200" s="19">
        <v>100.0</v>
      </c>
      <c r="L200" s="16"/>
      <c r="M200" s="4">
        <f t="shared" si="1"/>
        <v>100</v>
      </c>
      <c r="N200" s="17">
        <f t="shared" si="2"/>
        <v>0</v>
      </c>
      <c r="O200" s="17">
        <f t="shared" si="3"/>
        <v>0</v>
      </c>
      <c r="P200" s="17">
        <f t="shared" si="4"/>
        <v>47850</v>
      </c>
      <c r="Q200" s="17">
        <f t="shared" si="5"/>
        <v>0</v>
      </c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</row>
    <row r="201" hidden="1">
      <c r="A201" s="4"/>
      <c r="B201" s="20">
        <v>9.062048947E9</v>
      </c>
      <c r="C201" s="20" t="s">
        <v>221</v>
      </c>
      <c r="D201" s="21" t="s">
        <v>223</v>
      </c>
      <c r="E201" s="13" t="s">
        <v>77</v>
      </c>
      <c r="F201" s="20">
        <v>250.0</v>
      </c>
      <c r="G201" s="20">
        <v>20625.0</v>
      </c>
      <c r="H201" s="22"/>
      <c r="I201" s="15"/>
      <c r="J201" s="16"/>
      <c r="K201" s="19">
        <v>100.0</v>
      </c>
      <c r="L201" s="16"/>
      <c r="M201" s="4">
        <f t="shared" si="1"/>
        <v>100</v>
      </c>
      <c r="N201" s="17">
        <f t="shared" si="2"/>
        <v>0</v>
      </c>
      <c r="O201" s="17">
        <f t="shared" si="3"/>
        <v>0</v>
      </c>
      <c r="P201" s="17">
        <f t="shared" si="4"/>
        <v>20625</v>
      </c>
      <c r="Q201" s="17">
        <f t="shared" si="5"/>
        <v>0</v>
      </c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</row>
    <row r="202" hidden="1">
      <c r="A202" s="4"/>
      <c r="B202" s="20">
        <v>9.062048548E9</v>
      </c>
      <c r="C202" s="23">
        <v>45116.0</v>
      </c>
      <c r="D202" s="21" t="s">
        <v>224</v>
      </c>
      <c r="E202" s="13" t="s">
        <v>22</v>
      </c>
      <c r="F202" s="20">
        <v>6000.0</v>
      </c>
      <c r="G202" s="20">
        <v>495000.0</v>
      </c>
      <c r="H202" s="22"/>
      <c r="I202" s="15"/>
      <c r="J202" s="16"/>
      <c r="K202" s="19">
        <v>100.0</v>
      </c>
      <c r="L202" s="16"/>
      <c r="M202" s="4">
        <f t="shared" si="1"/>
        <v>100</v>
      </c>
      <c r="N202" s="17">
        <f t="shared" si="2"/>
        <v>0</v>
      </c>
      <c r="O202" s="17">
        <f t="shared" si="3"/>
        <v>0</v>
      </c>
      <c r="P202" s="17">
        <f t="shared" si="4"/>
        <v>495000</v>
      </c>
      <c r="Q202" s="17">
        <f t="shared" si="5"/>
        <v>0</v>
      </c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</row>
    <row r="203" hidden="1">
      <c r="A203" s="4"/>
      <c r="B203" s="20">
        <v>9.062048548E9</v>
      </c>
      <c r="C203" s="23">
        <v>45116.0</v>
      </c>
      <c r="D203" s="21" t="s">
        <v>225</v>
      </c>
      <c r="E203" s="13" t="s">
        <v>22</v>
      </c>
      <c r="F203" s="20">
        <v>6579.0</v>
      </c>
      <c r="G203" s="20">
        <v>542767.5</v>
      </c>
      <c r="H203" s="22"/>
      <c r="I203" s="15">
        <v>100.0</v>
      </c>
      <c r="J203" s="16"/>
      <c r="K203" s="16"/>
      <c r="L203" s="16"/>
      <c r="M203" s="4">
        <f t="shared" si="1"/>
        <v>100</v>
      </c>
      <c r="N203" s="17">
        <f t="shared" si="2"/>
        <v>542767.5</v>
      </c>
      <c r="O203" s="17">
        <f t="shared" si="3"/>
        <v>0</v>
      </c>
      <c r="P203" s="17">
        <f t="shared" si="4"/>
        <v>0</v>
      </c>
      <c r="Q203" s="17">
        <f t="shared" si="5"/>
        <v>0</v>
      </c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</row>
    <row r="204" hidden="1">
      <c r="A204" s="4"/>
      <c r="B204" s="20">
        <v>9.062048548E9</v>
      </c>
      <c r="C204" s="23">
        <v>45116.0</v>
      </c>
      <c r="D204" s="21" t="s">
        <v>226</v>
      </c>
      <c r="E204" s="13" t="s">
        <v>22</v>
      </c>
      <c r="F204" s="20">
        <v>4477.0</v>
      </c>
      <c r="G204" s="20">
        <v>369352.5</v>
      </c>
      <c r="H204" s="22"/>
      <c r="I204" s="15"/>
      <c r="J204" s="19">
        <v>100.0</v>
      </c>
      <c r="K204" s="16"/>
      <c r="L204" s="16"/>
      <c r="M204" s="4">
        <f t="shared" si="1"/>
        <v>100</v>
      </c>
      <c r="N204" s="17">
        <f t="shared" si="2"/>
        <v>0</v>
      </c>
      <c r="O204" s="17">
        <f t="shared" si="3"/>
        <v>369352.5</v>
      </c>
      <c r="P204" s="17">
        <f t="shared" si="4"/>
        <v>0</v>
      </c>
      <c r="Q204" s="17">
        <f t="shared" si="5"/>
        <v>0</v>
      </c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</row>
    <row r="205" hidden="1">
      <c r="A205" s="4"/>
      <c r="B205" s="20">
        <v>9.062048548E9</v>
      </c>
      <c r="C205" s="23">
        <v>45116.0</v>
      </c>
      <c r="D205" s="21" t="s">
        <v>227</v>
      </c>
      <c r="E205" s="13" t="s">
        <v>22</v>
      </c>
      <c r="F205" s="20">
        <v>6599.0</v>
      </c>
      <c r="G205" s="20">
        <v>544417.5</v>
      </c>
      <c r="H205" s="22"/>
      <c r="I205" s="15">
        <v>100.0</v>
      </c>
      <c r="J205" s="16"/>
      <c r="K205" s="16"/>
      <c r="L205" s="16"/>
      <c r="M205" s="4">
        <f t="shared" si="1"/>
        <v>100</v>
      </c>
      <c r="N205" s="17">
        <f t="shared" si="2"/>
        <v>544417.5</v>
      </c>
      <c r="O205" s="17">
        <f t="shared" si="3"/>
        <v>0</v>
      </c>
      <c r="P205" s="17">
        <f t="shared" si="4"/>
        <v>0</v>
      </c>
      <c r="Q205" s="17">
        <f t="shared" si="5"/>
        <v>0</v>
      </c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</row>
    <row r="206" hidden="1">
      <c r="A206" s="4"/>
      <c r="B206" s="20">
        <v>9.062048548E9</v>
      </c>
      <c r="C206" s="23">
        <v>45116.0</v>
      </c>
      <c r="D206" s="21" t="s">
        <v>228</v>
      </c>
      <c r="E206" s="13" t="s">
        <v>22</v>
      </c>
      <c r="F206" s="20">
        <v>6243.0</v>
      </c>
      <c r="G206" s="20">
        <v>515047.5</v>
      </c>
      <c r="H206" s="22"/>
      <c r="I206" s="15"/>
      <c r="J206" s="19">
        <v>100.0</v>
      </c>
      <c r="K206" s="16"/>
      <c r="L206" s="16"/>
      <c r="M206" s="4">
        <f t="shared" si="1"/>
        <v>100</v>
      </c>
      <c r="N206" s="17">
        <f t="shared" si="2"/>
        <v>0</v>
      </c>
      <c r="O206" s="17">
        <f t="shared" si="3"/>
        <v>515047.5</v>
      </c>
      <c r="P206" s="17">
        <f t="shared" si="4"/>
        <v>0</v>
      </c>
      <c r="Q206" s="17">
        <f t="shared" si="5"/>
        <v>0</v>
      </c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</row>
    <row r="207" hidden="1">
      <c r="A207" s="4"/>
      <c r="B207" s="20">
        <v>9.062048548E9</v>
      </c>
      <c r="C207" s="23">
        <v>45116.0</v>
      </c>
      <c r="D207" s="21" t="s">
        <v>229</v>
      </c>
      <c r="E207" s="13" t="s">
        <v>22</v>
      </c>
      <c r="F207" s="20">
        <v>5003.0</v>
      </c>
      <c r="G207" s="20">
        <v>412747.5</v>
      </c>
      <c r="H207" s="22"/>
      <c r="I207" s="15"/>
      <c r="J207" s="19">
        <v>100.0</v>
      </c>
      <c r="K207" s="16"/>
      <c r="L207" s="16"/>
      <c r="M207" s="4">
        <f t="shared" si="1"/>
        <v>100</v>
      </c>
      <c r="N207" s="17">
        <f t="shared" si="2"/>
        <v>0</v>
      </c>
      <c r="O207" s="17">
        <f t="shared" si="3"/>
        <v>412747.5</v>
      </c>
      <c r="P207" s="17">
        <f t="shared" si="4"/>
        <v>0</v>
      </c>
      <c r="Q207" s="17">
        <f t="shared" si="5"/>
        <v>0</v>
      </c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</row>
    <row r="208" hidden="1">
      <c r="A208" s="4"/>
      <c r="B208" s="20">
        <v>9.062048548E9</v>
      </c>
      <c r="C208" s="23">
        <v>45116.0</v>
      </c>
      <c r="D208" s="21" t="s">
        <v>230</v>
      </c>
      <c r="E208" s="13" t="s">
        <v>22</v>
      </c>
      <c r="F208" s="20">
        <v>2000.0</v>
      </c>
      <c r="G208" s="20">
        <v>165000.0</v>
      </c>
      <c r="H208" s="22"/>
      <c r="I208" s="16"/>
      <c r="J208" s="15"/>
      <c r="K208" s="16"/>
      <c r="L208" s="19">
        <v>100.0</v>
      </c>
      <c r="M208" s="4">
        <f t="shared" si="1"/>
        <v>100</v>
      </c>
      <c r="N208" s="17">
        <f t="shared" si="2"/>
        <v>0</v>
      </c>
      <c r="O208" s="17">
        <f t="shared" si="3"/>
        <v>0</v>
      </c>
      <c r="P208" s="17">
        <f t="shared" si="4"/>
        <v>0</v>
      </c>
      <c r="Q208" s="17">
        <f t="shared" si="5"/>
        <v>165000</v>
      </c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</row>
    <row r="209" hidden="1">
      <c r="A209" s="4"/>
      <c r="B209" s="20">
        <v>9.062048548E9</v>
      </c>
      <c r="C209" s="23">
        <v>45116.0</v>
      </c>
      <c r="D209" s="21" t="s">
        <v>231</v>
      </c>
      <c r="E209" s="13" t="s">
        <v>22</v>
      </c>
      <c r="F209" s="20">
        <v>3750.0</v>
      </c>
      <c r="G209" s="20">
        <v>309375.0</v>
      </c>
      <c r="H209" s="22"/>
      <c r="I209" s="16"/>
      <c r="J209" s="15"/>
      <c r="K209" s="16"/>
      <c r="L209" s="19">
        <v>100.0</v>
      </c>
      <c r="M209" s="4">
        <f t="shared" si="1"/>
        <v>100</v>
      </c>
      <c r="N209" s="17">
        <f t="shared" si="2"/>
        <v>0</v>
      </c>
      <c r="O209" s="17">
        <f t="shared" si="3"/>
        <v>0</v>
      </c>
      <c r="P209" s="17">
        <f t="shared" si="4"/>
        <v>0</v>
      </c>
      <c r="Q209" s="17">
        <f t="shared" si="5"/>
        <v>309375</v>
      </c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</row>
    <row r="210" hidden="1">
      <c r="A210" s="4"/>
      <c r="B210" s="20">
        <v>9.062048548E9</v>
      </c>
      <c r="C210" s="23">
        <v>45116.0</v>
      </c>
      <c r="D210" s="21" t="s">
        <v>232</v>
      </c>
      <c r="E210" s="13" t="s">
        <v>22</v>
      </c>
      <c r="F210" s="20">
        <v>6243.0</v>
      </c>
      <c r="G210" s="20">
        <v>515047.5</v>
      </c>
      <c r="H210" s="22"/>
      <c r="I210" s="16"/>
      <c r="J210" s="15">
        <v>100.0</v>
      </c>
      <c r="K210" s="16"/>
      <c r="L210" s="16"/>
      <c r="M210" s="4">
        <f t="shared" si="1"/>
        <v>100</v>
      </c>
      <c r="N210" s="17">
        <f t="shared" si="2"/>
        <v>0</v>
      </c>
      <c r="O210" s="17">
        <f t="shared" si="3"/>
        <v>515047.5</v>
      </c>
      <c r="P210" s="17">
        <f t="shared" si="4"/>
        <v>0</v>
      </c>
      <c r="Q210" s="17">
        <f t="shared" si="5"/>
        <v>0</v>
      </c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</row>
    <row r="211" hidden="1">
      <c r="A211" s="4"/>
      <c r="B211" s="20">
        <v>9.062048548E9</v>
      </c>
      <c r="C211" s="23">
        <v>45116.0</v>
      </c>
      <c r="D211" s="21" t="s">
        <v>233</v>
      </c>
      <c r="E211" s="13" t="s">
        <v>22</v>
      </c>
      <c r="F211" s="20">
        <v>8850.0</v>
      </c>
      <c r="G211" s="20">
        <v>730125.0</v>
      </c>
      <c r="H211" s="22"/>
      <c r="I211" s="19">
        <v>100.0</v>
      </c>
      <c r="J211" s="15"/>
      <c r="K211" s="16"/>
      <c r="L211" s="16"/>
      <c r="M211" s="4">
        <f t="shared" si="1"/>
        <v>100</v>
      </c>
      <c r="N211" s="17">
        <f t="shared" si="2"/>
        <v>730125</v>
      </c>
      <c r="O211" s="17">
        <f t="shared" si="3"/>
        <v>0</v>
      </c>
      <c r="P211" s="17">
        <f t="shared" si="4"/>
        <v>0</v>
      </c>
      <c r="Q211" s="17">
        <f t="shared" si="5"/>
        <v>0</v>
      </c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</row>
    <row r="212" hidden="1">
      <c r="A212" s="4"/>
      <c r="B212" s="20">
        <v>9.062048548E9</v>
      </c>
      <c r="C212" s="23">
        <v>45116.0</v>
      </c>
      <c r="D212" s="21" t="s">
        <v>234</v>
      </c>
      <c r="E212" s="13" t="s">
        <v>22</v>
      </c>
      <c r="F212" s="20">
        <v>6000.0</v>
      </c>
      <c r="G212" s="20">
        <v>495000.0</v>
      </c>
      <c r="H212" s="22"/>
      <c r="I212" s="16"/>
      <c r="J212" s="15"/>
      <c r="K212" s="19">
        <v>100.0</v>
      </c>
      <c r="L212" s="16"/>
      <c r="M212" s="4">
        <f t="shared" si="1"/>
        <v>100</v>
      </c>
      <c r="N212" s="17">
        <f t="shared" si="2"/>
        <v>0</v>
      </c>
      <c r="O212" s="17">
        <f t="shared" si="3"/>
        <v>0</v>
      </c>
      <c r="P212" s="17">
        <f t="shared" si="4"/>
        <v>495000</v>
      </c>
      <c r="Q212" s="17">
        <f t="shared" si="5"/>
        <v>0</v>
      </c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</row>
    <row r="213" hidden="1">
      <c r="A213" s="4"/>
      <c r="B213" s="20">
        <v>9.062048548E9</v>
      </c>
      <c r="C213" s="23">
        <v>45116.0</v>
      </c>
      <c r="D213" s="21" t="s">
        <v>235</v>
      </c>
      <c r="E213" s="13" t="s">
        <v>22</v>
      </c>
      <c r="F213" s="20">
        <v>6954.0</v>
      </c>
      <c r="G213" s="20">
        <v>573705.0</v>
      </c>
      <c r="H213" s="22"/>
      <c r="I213" s="19">
        <v>100.0</v>
      </c>
      <c r="J213" s="15"/>
      <c r="K213" s="16"/>
      <c r="L213" s="16"/>
      <c r="M213" s="4">
        <f t="shared" si="1"/>
        <v>100</v>
      </c>
      <c r="N213" s="17">
        <f t="shared" si="2"/>
        <v>573705</v>
      </c>
      <c r="O213" s="17">
        <f t="shared" si="3"/>
        <v>0</v>
      </c>
      <c r="P213" s="17">
        <f t="shared" si="4"/>
        <v>0</v>
      </c>
      <c r="Q213" s="17">
        <f t="shared" si="5"/>
        <v>0</v>
      </c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</row>
    <row r="214" hidden="1">
      <c r="A214" s="4"/>
      <c r="B214" s="20">
        <v>9.062048548E9</v>
      </c>
      <c r="C214" s="23">
        <v>45116.0</v>
      </c>
      <c r="D214" s="21" t="s">
        <v>236</v>
      </c>
      <c r="E214" s="13" t="s">
        <v>22</v>
      </c>
      <c r="F214" s="20">
        <v>5003.0</v>
      </c>
      <c r="G214" s="20">
        <v>412747.5</v>
      </c>
      <c r="H214" s="22"/>
      <c r="I214" s="15"/>
      <c r="J214" s="19">
        <v>100.0</v>
      </c>
      <c r="K214" s="16"/>
      <c r="L214" s="16"/>
      <c r="M214" s="4">
        <f t="shared" si="1"/>
        <v>100</v>
      </c>
      <c r="N214" s="17">
        <f t="shared" si="2"/>
        <v>0</v>
      </c>
      <c r="O214" s="17">
        <f t="shared" si="3"/>
        <v>412747.5</v>
      </c>
      <c r="P214" s="17">
        <f t="shared" si="4"/>
        <v>0</v>
      </c>
      <c r="Q214" s="17">
        <f t="shared" si="5"/>
        <v>0</v>
      </c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</row>
    <row r="215" hidden="1">
      <c r="A215" s="4"/>
      <c r="B215" s="20">
        <v>9.062048548E9</v>
      </c>
      <c r="C215" s="23">
        <v>45116.0</v>
      </c>
      <c r="D215" s="21" t="s">
        <v>237</v>
      </c>
      <c r="E215" s="13" t="s">
        <v>22</v>
      </c>
      <c r="F215" s="20">
        <v>6760.0</v>
      </c>
      <c r="G215" s="20">
        <v>557700.0</v>
      </c>
      <c r="H215" s="22"/>
      <c r="I215" s="15">
        <v>100.0</v>
      </c>
      <c r="J215" s="16"/>
      <c r="K215" s="16"/>
      <c r="L215" s="16"/>
      <c r="M215" s="4">
        <f t="shared" si="1"/>
        <v>100</v>
      </c>
      <c r="N215" s="17">
        <f t="shared" si="2"/>
        <v>557700</v>
      </c>
      <c r="O215" s="17">
        <f t="shared" si="3"/>
        <v>0</v>
      </c>
      <c r="P215" s="17">
        <f t="shared" si="4"/>
        <v>0</v>
      </c>
      <c r="Q215" s="17">
        <f t="shared" si="5"/>
        <v>0</v>
      </c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</row>
    <row r="216" hidden="1">
      <c r="A216" s="4"/>
      <c r="B216" s="20">
        <v>9.062048548E9</v>
      </c>
      <c r="C216" s="23">
        <v>45116.0</v>
      </c>
      <c r="D216" s="21" t="s">
        <v>238</v>
      </c>
      <c r="E216" s="13" t="s">
        <v>22</v>
      </c>
      <c r="F216" s="20">
        <v>4000.0</v>
      </c>
      <c r="G216" s="20">
        <v>330000.0</v>
      </c>
      <c r="H216" s="22"/>
      <c r="I216" s="15"/>
      <c r="J216" s="16"/>
      <c r="K216" s="16"/>
      <c r="L216" s="19">
        <v>100.0</v>
      </c>
      <c r="M216" s="4">
        <f t="shared" si="1"/>
        <v>100</v>
      </c>
      <c r="N216" s="17">
        <f t="shared" si="2"/>
        <v>0</v>
      </c>
      <c r="O216" s="17">
        <f t="shared" si="3"/>
        <v>0</v>
      </c>
      <c r="P216" s="17">
        <f t="shared" si="4"/>
        <v>0</v>
      </c>
      <c r="Q216" s="17">
        <f t="shared" si="5"/>
        <v>330000</v>
      </c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</row>
    <row r="217" hidden="1">
      <c r="A217" s="4"/>
      <c r="B217" s="20">
        <v>9.062048548E9</v>
      </c>
      <c r="C217" s="23">
        <v>45116.0</v>
      </c>
      <c r="D217" s="21" t="s">
        <v>239</v>
      </c>
      <c r="E217" s="13" t="s">
        <v>22</v>
      </c>
      <c r="F217" s="20">
        <v>10800.0</v>
      </c>
      <c r="G217" s="20">
        <v>891000.0</v>
      </c>
      <c r="H217" s="22"/>
      <c r="I217" s="15">
        <v>100.0</v>
      </c>
      <c r="J217" s="15"/>
      <c r="K217" s="16"/>
      <c r="L217" s="16"/>
      <c r="M217" s="4">
        <f t="shared" si="1"/>
        <v>100</v>
      </c>
      <c r="N217" s="17">
        <f t="shared" si="2"/>
        <v>891000</v>
      </c>
      <c r="O217" s="17">
        <f t="shared" si="3"/>
        <v>0</v>
      </c>
      <c r="P217" s="17">
        <f t="shared" si="4"/>
        <v>0</v>
      </c>
      <c r="Q217" s="17">
        <f t="shared" si="5"/>
        <v>0</v>
      </c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</row>
    <row r="218" hidden="1">
      <c r="A218" s="4"/>
      <c r="B218" s="20">
        <v>9.062048548E9</v>
      </c>
      <c r="C218" s="23">
        <v>45116.0</v>
      </c>
      <c r="D218" s="21" t="s">
        <v>240</v>
      </c>
      <c r="E218" s="13" t="s">
        <v>22</v>
      </c>
      <c r="F218" s="20">
        <v>6000.0</v>
      </c>
      <c r="G218" s="20">
        <v>495000.0</v>
      </c>
      <c r="H218" s="22"/>
      <c r="I218" s="16"/>
      <c r="J218" s="15"/>
      <c r="K218" s="19">
        <v>100.0</v>
      </c>
      <c r="L218" s="16"/>
      <c r="M218" s="4">
        <f t="shared" si="1"/>
        <v>100</v>
      </c>
      <c r="N218" s="17">
        <f t="shared" si="2"/>
        <v>0</v>
      </c>
      <c r="O218" s="17">
        <f t="shared" si="3"/>
        <v>0</v>
      </c>
      <c r="P218" s="17">
        <f t="shared" si="4"/>
        <v>495000</v>
      </c>
      <c r="Q218" s="17">
        <f t="shared" si="5"/>
        <v>0</v>
      </c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</row>
    <row r="219" hidden="1">
      <c r="A219" s="4"/>
      <c r="B219" s="20">
        <v>9.062048548E9</v>
      </c>
      <c r="C219" s="23">
        <v>45116.0</v>
      </c>
      <c r="D219" s="21" t="s">
        <v>241</v>
      </c>
      <c r="E219" s="13" t="s">
        <v>22</v>
      </c>
      <c r="F219" s="20">
        <v>5003.0</v>
      </c>
      <c r="G219" s="20">
        <v>412747.5</v>
      </c>
      <c r="H219" s="22"/>
      <c r="I219" s="16"/>
      <c r="J219" s="15">
        <v>100.0</v>
      </c>
      <c r="K219" s="16"/>
      <c r="L219" s="16"/>
      <c r="M219" s="4">
        <f t="shared" si="1"/>
        <v>100</v>
      </c>
      <c r="N219" s="17">
        <f t="shared" si="2"/>
        <v>0</v>
      </c>
      <c r="O219" s="17">
        <f t="shared" si="3"/>
        <v>412747.5</v>
      </c>
      <c r="P219" s="17">
        <f t="shared" si="4"/>
        <v>0</v>
      </c>
      <c r="Q219" s="17">
        <f t="shared" si="5"/>
        <v>0</v>
      </c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</row>
    <row r="220" hidden="1">
      <c r="A220" s="4"/>
      <c r="B220" s="20">
        <v>9.062048548E9</v>
      </c>
      <c r="C220" s="23">
        <v>45116.0</v>
      </c>
      <c r="D220" s="21" t="s">
        <v>242</v>
      </c>
      <c r="E220" s="13" t="s">
        <v>22</v>
      </c>
      <c r="F220" s="20">
        <v>2830.0</v>
      </c>
      <c r="G220" s="20">
        <v>233475.0</v>
      </c>
      <c r="H220" s="22"/>
      <c r="I220" s="16"/>
      <c r="J220" s="15"/>
      <c r="K220" s="16"/>
      <c r="L220" s="19">
        <v>100.0</v>
      </c>
      <c r="M220" s="4">
        <f t="shared" si="1"/>
        <v>100</v>
      </c>
      <c r="N220" s="17">
        <f t="shared" si="2"/>
        <v>0</v>
      </c>
      <c r="O220" s="17">
        <f t="shared" si="3"/>
        <v>0</v>
      </c>
      <c r="P220" s="17">
        <f t="shared" si="4"/>
        <v>0</v>
      </c>
      <c r="Q220" s="17">
        <f t="shared" si="5"/>
        <v>233475</v>
      </c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</row>
    <row r="221" hidden="1">
      <c r="A221" s="4"/>
      <c r="B221" s="20">
        <v>9.062048548E9</v>
      </c>
      <c r="C221" s="23">
        <v>45116.0</v>
      </c>
      <c r="D221" s="21" t="s">
        <v>243</v>
      </c>
      <c r="E221" s="13" t="s">
        <v>22</v>
      </c>
      <c r="F221" s="20">
        <v>7979.0</v>
      </c>
      <c r="G221" s="20">
        <v>658267.5</v>
      </c>
      <c r="H221" s="22"/>
      <c r="I221" s="19">
        <v>100.0</v>
      </c>
      <c r="J221" s="15"/>
      <c r="K221" s="16"/>
      <c r="L221" s="16"/>
      <c r="M221" s="4">
        <f t="shared" si="1"/>
        <v>100</v>
      </c>
      <c r="N221" s="17">
        <f t="shared" si="2"/>
        <v>658267.5</v>
      </c>
      <c r="O221" s="17">
        <f t="shared" si="3"/>
        <v>0</v>
      </c>
      <c r="P221" s="17">
        <f t="shared" si="4"/>
        <v>0</v>
      </c>
      <c r="Q221" s="17">
        <f t="shared" si="5"/>
        <v>0</v>
      </c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</row>
    <row r="222" hidden="1">
      <c r="A222" s="4"/>
      <c r="B222" s="20">
        <v>9.062048548E9</v>
      </c>
      <c r="C222" s="23">
        <v>45116.0</v>
      </c>
      <c r="D222" s="21" t="s">
        <v>244</v>
      </c>
      <c r="E222" s="13" t="s">
        <v>22</v>
      </c>
      <c r="F222" s="20">
        <v>4740.0</v>
      </c>
      <c r="G222" s="20">
        <v>391050.0</v>
      </c>
      <c r="H222" s="22"/>
      <c r="I222" s="15"/>
      <c r="J222" s="19">
        <v>100.0</v>
      </c>
      <c r="K222" s="16"/>
      <c r="L222" s="16"/>
      <c r="M222" s="4">
        <f t="shared" si="1"/>
        <v>100</v>
      </c>
      <c r="N222" s="17">
        <f t="shared" si="2"/>
        <v>0</v>
      </c>
      <c r="O222" s="17">
        <f t="shared" si="3"/>
        <v>391050</v>
      </c>
      <c r="P222" s="17">
        <f t="shared" si="4"/>
        <v>0</v>
      </c>
      <c r="Q222" s="17">
        <f t="shared" si="5"/>
        <v>0</v>
      </c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</row>
    <row r="223" hidden="1">
      <c r="A223" s="4"/>
      <c r="B223" s="20">
        <v>9.062048548E9</v>
      </c>
      <c r="C223" s="23">
        <v>45116.0</v>
      </c>
      <c r="D223" s="21" t="s">
        <v>245</v>
      </c>
      <c r="E223" s="13" t="s">
        <v>22</v>
      </c>
      <c r="F223" s="20">
        <v>5003.0</v>
      </c>
      <c r="G223" s="20">
        <v>412747.5</v>
      </c>
      <c r="H223" s="22"/>
      <c r="I223" s="15"/>
      <c r="J223" s="19">
        <v>100.0</v>
      </c>
      <c r="K223" s="16"/>
      <c r="L223" s="16"/>
      <c r="M223" s="4">
        <f t="shared" si="1"/>
        <v>100</v>
      </c>
      <c r="N223" s="17">
        <f t="shared" si="2"/>
        <v>0</v>
      </c>
      <c r="O223" s="17">
        <f t="shared" si="3"/>
        <v>412747.5</v>
      </c>
      <c r="P223" s="17">
        <f t="shared" si="4"/>
        <v>0</v>
      </c>
      <c r="Q223" s="17">
        <f t="shared" si="5"/>
        <v>0</v>
      </c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</row>
    <row r="224" hidden="1">
      <c r="A224" s="4"/>
      <c r="B224" s="20">
        <v>9.062048548E9</v>
      </c>
      <c r="C224" s="23">
        <v>45116.0</v>
      </c>
      <c r="D224" s="21" t="s">
        <v>246</v>
      </c>
      <c r="E224" s="13" t="s">
        <v>22</v>
      </c>
      <c r="F224" s="20">
        <v>10800.0</v>
      </c>
      <c r="G224" s="20">
        <v>891000.0</v>
      </c>
      <c r="H224" s="22"/>
      <c r="I224" s="15"/>
      <c r="J224" s="19">
        <v>100.0</v>
      </c>
      <c r="K224" s="16"/>
      <c r="L224" s="16"/>
      <c r="M224" s="4">
        <f t="shared" si="1"/>
        <v>100</v>
      </c>
      <c r="N224" s="17">
        <f t="shared" si="2"/>
        <v>0</v>
      </c>
      <c r="O224" s="17">
        <f t="shared" si="3"/>
        <v>891000</v>
      </c>
      <c r="P224" s="17">
        <f t="shared" si="4"/>
        <v>0</v>
      </c>
      <c r="Q224" s="17">
        <f t="shared" si="5"/>
        <v>0</v>
      </c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</row>
    <row r="225" hidden="1">
      <c r="A225" s="4"/>
      <c r="B225" s="20">
        <v>9.062048548E9</v>
      </c>
      <c r="C225" s="23">
        <v>45116.0</v>
      </c>
      <c r="D225" s="21" t="s">
        <v>247</v>
      </c>
      <c r="E225" s="13" t="s">
        <v>22</v>
      </c>
      <c r="F225" s="20">
        <v>5507.0</v>
      </c>
      <c r="G225" s="20">
        <v>454327.5</v>
      </c>
      <c r="H225" s="22"/>
      <c r="I225" s="15">
        <v>100.0</v>
      </c>
      <c r="J225" s="16"/>
      <c r="K225" s="16"/>
      <c r="L225" s="16"/>
      <c r="M225" s="4">
        <f t="shared" si="1"/>
        <v>100</v>
      </c>
      <c r="N225" s="17">
        <f t="shared" si="2"/>
        <v>454327.5</v>
      </c>
      <c r="O225" s="17">
        <f t="shared" si="3"/>
        <v>0</v>
      </c>
      <c r="P225" s="17">
        <f t="shared" si="4"/>
        <v>0</v>
      </c>
      <c r="Q225" s="17">
        <f t="shared" si="5"/>
        <v>0</v>
      </c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</row>
    <row r="226" hidden="1">
      <c r="A226" s="4"/>
      <c r="B226" s="20">
        <v>9.062048548E9</v>
      </c>
      <c r="C226" s="23">
        <v>45116.0</v>
      </c>
      <c r="D226" s="21" t="s">
        <v>248</v>
      </c>
      <c r="E226" s="13" t="s">
        <v>22</v>
      </c>
      <c r="F226" s="20">
        <v>4016.0</v>
      </c>
      <c r="G226" s="20">
        <v>331320.0</v>
      </c>
      <c r="H226" s="22"/>
      <c r="I226" s="15"/>
      <c r="J226" s="19">
        <v>100.0</v>
      </c>
      <c r="K226" s="15"/>
      <c r="L226" s="15"/>
      <c r="M226" s="4">
        <f t="shared" si="1"/>
        <v>100</v>
      </c>
      <c r="N226" s="17">
        <f t="shared" si="2"/>
        <v>0</v>
      </c>
      <c r="O226" s="17">
        <f t="shared" si="3"/>
        <v>331320</v>
      </c>
      <c r="P226" s="17">
        <f t="shared" si="4"/>
        <v>0</v>
      </c>
      <c r="Q226" s="17">
        <f t="shared" si="5"/>
        <v>0</v>
      </c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</row>
    <row r="227" hidden="1">
      <c r="A227" s="4"/>
      <c r="B227" s="20">
        <v>9.062048548E9</v>
      </c>
      <c r="C227" s="23">
        <v>45116.0</v>
      </c>
      <c r="D227" s="21" t="s">
        <v>249</v>
      </c>
      <c r="E227" s="13" t="s">
        <v>22</v>
      </c>
      <c r="F227" s="20">
        <v>8745.0</v>
      </c>
      <c r="G227" s="20">
        <v>721462.5</v>
      </c>
      <c r="H227" s="22"/>
      <c r="I227" s="15">
        <v>100.0</v>
      </c>
      <c r="J227" s="15"/>
      <c r="K227" s="15"/>
      <c r="L227" s="15"/>
      <c r="M227" s="4">
        <f t="shared" si="1"/>
        <v>100</v>
      </c>
      <c r="N227" s="17">
        <f t="shared" si="2"/>
        <v>721462.5</v>
      </c>
      <c r="O227" s="17">
        <f t="shared" si="3"/>
        <v>0</v>
      </c>
      <c r="P227" s="17">
        <f t="shared" si="4"/>
        <v>0</v>
      </c>
      <c r="Q227" s="17">
        <f t="shared" si="5"/>
        <v>0</v>
      </c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</row>
    <row r="228" hidden="1">
      <c r="A228" s="4"/>
      <c r="B228" s="20">
        <v>9.062048548E9</v>
      </c>
      <c r="C228" s="23">
        <v>45116.0</v>
      </c>
      <c r="D228" s="21" t="s">
        <v>250</v>
      </c>
      <c r="E228" s="13" t="s">
        <v>22</v>
      </c>
      <c r="F228" s="20">
        <v>2723.0</v>
      </c>
      <c r="G228" s="20">
        <v>224647.5</v>
      </c>
      <c r="H228" s="22"/>
      <c r="I228" s="15"/>
      <c r="J228" s="15"/>
      <c r="K228" s="15"/>
      <c r="L228" s="15">
        <v>100.0</v>
      </c>
      <c r="M228" s="4">
        <f t="shared" si="1"/>
        <v>100</v>
      </c>
      <c r="N228" s="17">
        <f t="shared" si="2"/>
        <v>0</v>
      </c>
      <c r="O228" s="17">
        <f t="shared" si="3"/>
        <v>0</v>
      </c>
      <c r="P228" s="17">
        <f t="shared" si="4"/>
        <v>0</v>
      </c>
      <c r="Q228" s="17">
        <f t="shared" si="5"/>
        <v>224647.5</v>
      </c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</row>
    <row r="229" hidden="1">
      <c r="A229" s="4"/>
      <c r="B229" s="20">
        <v>9.062048548E9</v>
      </c>
      <c r="C229" s="23">
        <v>45116.0</v>
      </c>
      <c r="D229" s="21" t="s">
        <v>251</v>
      </c>
      <c r="E229" s="13" t="s">
        <v>22</v>
      </c>
      <c r="F229" s="20">
        <v>8718.0</v>
      </c>
      <c r="G229" s="20">
        <v>719235.0</v>
      </c>
      <c r="H229" s="22"/>
      <c r="I229" s="15">
        <v>100.0</v>
      </c>
      <c r="J229" s="15"/>
      <c r="K229" s="15"/>
      <c r="L229" s="15"/>
      <c r="M229" s="4">
        <f t="shared" si="1"/>
        <v>100</v>
      </c>
      <c r="N229" s="17">
        <f t="shared" si="2"/>
        <v>719235</v>
      </c>
      <c r="O229" s="17">
        <f t="shared" si="3"/>
        <v>0</v>
      </c>
      <c r="P229" s="17">
        <f t="shared" si="4"/>
        <v>0</v>
      </c>
      <c r="Q229" s="17">
        <f t="shared" si="5"/>
        <v>0</v>
      </c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</row>
    <row r="230" hidden="1">
      <c r="A230" s="4"/>
      <c r="B230" s="20">
        <v>9.062048548E9</v>
      </c>
      <c r="C230" s="23">
        <v>45116.0</v>
      </c>
      <c r="D230" s="21" t="s">
        <v>252</v>
      </c>
      <c r="E230" s="13" t="s">
        <v>22</v>
      </c>
      <c r="F230" s="20">
        <v>5143.0</v>
      </c>
      <c r="G230" s="20">
        <v>424297.5</v>
      </c>
      <c r="H230" s="22"/>
      <c r="I230" s="15"/>
      <c r="J230" s="15"/>
      <c r="K230" s="15">
        <v>100.0</v>
      </c>
      <c r="L230" s="15"/>
      <c r="M230" s="4">
        <f t="shared" si="1"/>
        <v>100</v>
      </c>
      <c r="N230" s="17">
        <f t="shared" si="2"/>
        <v>0</v>
      </c>
      <c r="O230" s="17">
        <f t="shared" si="3"/>
        <v>0</v>
      </c>
      <c r="P230" s="17">
        <f t="shared" si="4"/>
        <v>424297.5</v>
      </c>
      <c r="Q230" s="17">
        <f t="shared" si="5"/>
        <v>0</v>
      </c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</row>
    <row r="231" hidden="1">
      <c r="A231" s="4"/>
      <c r="B231" s="20">
        <v>9.062048547E9</v>
      </c>
      <c r="C231" s="23">
        <v>45116.0</v>
      </c>
      <c r="D231" s="21" t="s">
        <v>253</v>
      </c>
      <c r="E231" s="13" t="s">
        <v>254</v>
      </c>
      <c r="F231" s="20">
        <v>14000.0</v>
      </c>
      <c r="G231" s="20">
        <v>1155000.0</v>
      </c>
      <c r="H231" s="22"/>
      <c r="I231" s="15"/>
      <c r="J231" s="15">
        <v>100.0</v>
      </c>
      <c r="K231" s="15"/>
      <c r="L231" s="15"/>
      <c r="M231" s="4">
        <f t="shared" si="1"/>
        <v>100</v>
      </c>
      <c r="N231" s="17">
        <f t="shared" si="2"/>
        <v>0</v>
      </c>
      <c r="O231" s="17">
        <f t="shared" si="3"/>
        <v>1155000</v>
      </c>
      <c r="P231" s="17">
        <f t="shared" si="4"/>
        <v>0</v>
      </c>
      <c r="Q231" s="17">
        <f t="shared" si="5"/>
        <v>0</v>
      </c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</row>
    <row r="232" hidden="1">
      <c r="A232" s="4"/>
      <c r="B232" s="20">
        <v>9.062048947E9</v>
      </c>
      <c r="C232" s="20" t="s">
        <v>221</v>
      </c>
      <c r="D232" s="21" t="s">
        <v>255</v>
      </c>
      <c r="E232" s="13" t="s">
        <v>77</v>
      </c>
      <c r="F232" s="20">
        <v>2465.0</v>
      </c>
      <c r="G232" s="20">
        <v>203362.5</v>
      </c>
      <c r="H232" s="22"/>
      <c r="I232" s="15"/>
      <c r="J232" s="15"/>
      <c r="K232" s="15">
        <v>100.0</v>
      </c>
      <c r="L232" s="15"/>
      <c r="M232" s="4">
        <f t="shared" si="1"/>
        <v>100</v>
      </c>
      <c r="N232" s="17">
        <f t="shared" si="2"/>
        <v>0</v>
      </c>
      <c r="O232" s="17">
        <f t="shared" si="3"/>
        <v>0</v>
      </c>
      <c r="P232" s="17">
        <f t="shared" si="4"/>
        <v>203362.5</v>
      </c>
      <c r="Q232" s="17">
        <f t="shared" si="5"/>
        <v>0</v>
      </c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</row>
    <row r="233" hidden="1">
      <c r="A233" s="4"/>
      <c r="B233" s="20">
        <v>9.062048547E9</v>
      </c>
      <c r="C233" s="23">
        <v>45178.0</v>
      </c>
      <c r="D233" s="21" t="s">
        <v>256</v>
      </c>
      <c r="E233" s="13" t="s">
        <v>254</v>
      </c>
      <c r="F233" s="20">
        <v>12000.0</v>
      </c>
      <c r="G233" s="20">
        <v>990000.0</v>
      </c>
      <c r="H233" s="22"/>
      <c r="I233" s="15"/>
      <c r="J233" s="15">
        <v>100.0</v>
      </c>
      <c r="K233" s="15"/>
      <c r="L233" s="15"/>
      <c r="M233" s="4">
        <f t="shared" si="1"/>
        <v>100</v>
      </c>
      <c r="N233" s="17">
        <f t="shared" si="2"/>
        <v>0</v>
      </c>
      <c r="O233" s="17">
        <f t="shared" si="3"/>
        <v>990000</v>
      </c>
      <c r="P233" s="17">
        <f t="shared" si="4"/>
        <v>0</v>
      </c>
      <c r="Q233" s="17">
        <f t="shared" si="5"/>
        <v>0</v>
      </c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</row>
    <row r="234" hidden="1">
      <c r="A234" s="4"/>
      <c r="B234" s="20">
        <v>9.062048547E9</v>
      </c>
      <c r="C234" s="23">
        <v>45178.0</v>
      </c>
      <c r="D234" s="21" t="s">
        <v>257</v>
      </c>
      <c r="E234" s="13" t="s">
        <v>254</v>
      </c>
      <c r="F234" s="20">
        <v>15000.0</v>
      </c>
      <c r="G234" s="20">
        <v>1237500.0</v>
      </c>
      <c r="H234" s="22"/>
      <c r="I234" s="15">
        <v>100.0</v>
      </c>
      <c r="J234" s="15"/>
      <c r="K234" s="15"/>
      <c r="L234" s="15"/>
      <c r="M234" s="4">
        <f t="shared" si="1"/>
        <v>100</v>
      </c>
      <c r="N234" s="17">
        <f t="shared" si="2"/>
        <v>1237500</v>
      </c>
      <c r="O234" s="17">
        <f t="shared" si="3"/>
        <v>0</v>
      </c>
      <c r="P234" s="17">
        <f t="shared" si="4"/>
        <v>0</v>
      </c>
      <c r="Q234" s="17">
        <f t="shared" si="5"/>
        <v>0</v>
      </c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</row>
    <row r="235" hidden="1">
      <c r="A235" s="4"/>
      <c r="B235" s="20">
        <v>9.062048548E9</v>
      </c>
      <c r="C235" s="23">
        <v>45116.0</v>
      </c>
      <c r="D235" s="21" t="s">
        <v>245</v>
      </c>
      <c r="E235" s="13" t="s">
        <v>22</v>
      </c>
      <c r="F235" s="20">
        <v>5003.0</v>
      </c>
      <c r="G235" s="20">
        <v>412747.5</v>
      </c>
      <c r="H235" s="22"/>
      <c r="I235" s="15"/>
      <c r="J235" s="15">
        <v>100.0</v>
      </c>
      <c r="K235" s="15"/>
      <c r="L235" s="15"/>
      <c r="M235" s="4">
        <f t="shared" si="1"/>
        <v>100</v>
      </c>
      <c r="N235" s="17">
        <f t="shared" si="2"/>
        <v>0</v>
      </c>
      <c r="O235" s="17">
        <f t="shared" si="3"/>
        <v>412747.5</v>
      </c>
      <c r="P235" s="17">
        <f t="shared" si="4"/>
        <v>0</v>
      </c>
      <c r="Q235" s="17">
        <f t="shared" si="5"/>
        <v>0</v>
      </c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</row>
    <row r="236" hidden="1">
      <c r="A236" s="4"/>
      <c r="B236" s="20">
        <v>9.062048548E9</v>
      </c>
      <c r="C236" s="23">
        <v>45116.0</v>
      </c>
      <c r="D236" s="21" t="s">
        <v>248</v>
      </c>
      <c r="E236" s="13" t="s">
        <v>22</v>
      </c>
      <c r="F236" s="20">
        <v>5003.0</v>
      </c>
      <c r="G236" s="20">
        <v>412747.5</v>
      </c>
      <c r="H236" s="22"/>
      <c r="I236" s="15"/>
      <c r="J236" s="15">
        <v>100.0</v>
      </c>
      <c r="K236" s="15"/>
      <c r="L236" s="15"/>
      <c r="M236" s="4">
        <f t="shared" si="1"/>
        <v>100</v>
      </c>
      <c r="N236" s="17">
        <f t="shared" si="2"/>
        <v>0</v>
      </c>
      <c r="O236" s="17">
        <f t="shared" si="3"/>
        <v>412747.5</v>
      </c>
      <c r="P236" s="17">
        <f t="shared" si="4"/>
        <v>0</v>
      </c>
      <c r="Q236" s="17">
        <f t="shared" si="5"/>
        <v>0</v>
      </c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</row>
    <row r="237" hidden="1">
      <c r="A237" s="4"/>
      <c r="B237" s="20">
        <v>9.062048548E9</v>
      </c>
      <c r="C237" s="23">
        <v>45116.0</v>
      </c>
      <c r="D237" s="21" t="s">
        <v>232</v>
      </c>
      <c r="E237" s="13" t="s">
        <v>22</v>
      </c>
      <c r="F237" s="20">
        <v>6571.0</v>
      </c>
      <c r="G237" s="20">
        <v>542107.5</v>
      </c>
      <c r="H237" s="22"/>
      <c r="I237" s="15"/>
      <c r="J237" s="15">
        <v>100.0</v>
      </c>
      <c r="K237" s="15"/>
      <c r="L237" s="15"/>
      <c r="M237" s="4">
        <f t="shared" si="1"/>
        <v>100</v>
      </c>
      <c r="N237" s="17">
        <f t="shared" si="2"/>
        <v>0</v>
      </c>
      <c r="O237" s="17">
        <f t="shared" si="3"/>
        <v>542107.5</v>
      </c>
      <c r="P237" s="17">
        <f t="shared" si="4"/>
        <v>0</v>
      </c>
      <c r="Q237" s="17">
        <f t="shared" si="5"/>
        <v>0</v>
      </c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</row>
    <row r="238" hidden="1">
      <c r="A238" s="4"/>
      <c r="B238" s="20">
        <v>9.062048548E9</v>
      </c>
      <c r="C238" s="23">
        <v>45116.0</v>
      </c>
      <c r="D238" s="21" t="s">
        <v>251</v>
      </c>
      <c r="E238" s="13" t="s">
        <v>22</v>
      </c>
      <c r="F238" s="20">
        <v>8850.0</v>
      </c>
      <c r="G238" s="20">
        <v>730125.0</v>
      </c>
      <c r="H238" s="22"/>
      <c r="I238" s="15">
        <v>100.0</v>
      </c>
      <c r="J238" s="15"/>
      <c r="K238" s="15"/>
      <c r="L238" s="15"/>
      <c r="M238" s="4">
        <f t="shared" si="1"/>
        <v>100</v>
      </c>
      <c r="N238" s="17">
        <f t="shared" si="2"/>
        <v>730125</v>
      </c>
      <c r="O238" s="17">
        <f t="shared" si="3"/>
        <v>0</v>
      </c>
      <c r="P238" s="17">
        <f t="shared" si="4"/>
        <v>0</v>
      </c>
      <c r="Q238" s="17">
        <f t="shared" si="5"/>
        <v>0</v>
      </c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</row>
    <row r="239" hidden="1">
      <c r="A239" s="4"/>
      <c r="B239" s="20">
        <v>9.062048548E9</v>
      </c>
      <c r="C239" s="23">
        <v>45116.0</v>
      </c>
      <c r="D239" s="21" t="s">
        <v>236</v>
      </c>
      <c r="E239" s="13" t="s">
        <v>22</v>
      </c>
      <c r="F239" s="20">
        <v>5267.0</v>
      </c>
      <c r="G239" s="20">
        <v>434527.5</v>
      </c>
      <c r="H239" s="22"/>
      <c r="I239" s="15"/>
      <c r="J239" s="15">
        <v>100.0</v>
      </c>
      <c r="K239" s="15"/>
      <c r="L239" s="15"/>
      <c r="M239" s="4">
        <f t="shared" si="1"/>
        <v>100</v>
      </c>
      <c r="N239" s="17">
        <f t="shared" si="2"/>
        <v>0</v>
      </c>
      <c r="O239" s="17">
        <f t="shared" si="3"/>
        <v>434527.5</v>
      </c>
      <c r="P239" s="17">
        <f t="shared" si="4"/>
        <v>0</v>
      </c>
      <c r="Q239" s="17">
        <f t="shared" si="5"/>
        <v>0</v>
      </c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</row>
    <row r="240" hidden="1">
      <c r="A240" s="4"/>
      <c r="B240" s="20">
        <v>9.062048548E9</v>
      </c>
      <c r="C240" s="23">
        <v>45116.0</v>
      </c>
      <c r="D240" s="21" t="s">
        <v>244</v>
      </c>
      <c r="E240" s="13" t="s">
        <v>22</v>
      </c>
      <c r="F240" s="20">
        <v>4213.0</v>
      </c>
      <c r="G240" s="20">
        <v>347572.5</v>
      </c>
      <c r="H240" s="22"/>
      <c r="I240" s="15"/>
      <c r="J240" s="15">
        <v>100.0</v>
      </c>
      <c r="K240" s="15"/>
      <c r="L240" s="15"/>
      <c r="M240" s="4">
        <f t="shared" si="1"/>
        <v>100</v>
      </c>
      <c r="N240" s="17">
        <f t="shared" si="2"/>
        <v>0</v>
      </c>
      <c r="O240" s="17">
        <f t="shared" si="3"/>
        <v>347572.5</v>
      </c>
      <c r="P240" s="17">
        <f t="shared" si="4"/>
        <v>0</v>
      </c>
      <c r="Q240" s="17">
        <f t="shared" si="5"/>
        <v>0</v>
      </c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</row>
    <row r="241" hidden="1">
      <c r="A241" s="4"/>
      <c r="B241" s="20">
        <v>9.062048548E9</v>
      </c>
      <c r="C241" s="23">
        <v>45116.0</v>
      </c>
      <c r="D241" s="21" t="s">
        <v>227</v>
      </c>
      <c r="E241" s="13" t="s">
        <v>22</v>
      </c>
      <c r="F241" s="20">
        <v>6760.0</v>
      </c>
      <c r="G241" s="20">
        <v>557700.0</v>
      </c>
      <c r="H241" s="22"/>
      <c r="I241" s="15">
        <v>100.0</v>
      </c>
      <c r="J241" s="15"/>
      <c r="K241" s="15"/>
      <c r="L241" s="15"/>
      <c r="M241" s="4">
        <f t="shared" si="1"/>
        <v>100</v>
      </c>
      <c r="N241" s="17">
        <f t="shared" si="2"/>
        <v>557700</v>
      </c>
      <c r="O241" s="17">
        <f t="shared" si="3"/>
        <v>0</v>
      </c>
      <c r="P241" s="17">
        <f t="shared" si="4"/>
        <v>0</v>
      </c>
      <c r="Q241" s="17">
        <f t="shared" si="5"/>
        <v>0</v>
      </c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</row>
    <row r="242" hidden="1">
      <c r="A242" s="4"/>
      <c r="B242" s="20">
        <v>9.062048548E9</v>
      </c>
      <c r="C242" s="23">
        <v>45116.0</v>
      </c>
      <c r="D242" s="21" t="s">
        <v>228</v>
      </c>
      <c r="E242" s="13" t="s">
        <v>22</v>
      </c>
      <c r="F242" s="20">
        <v>6571.0</v>
      </c>
      <c r="G242" s="20">
        <v>542107.5</v>
      </c>
      <c r="H242" s="22"/>
      <c r="I242" s="15"/>
      <c r="J242" s="15">
        <v>100.0</v>
      </c>
      <c r="K242" s="15"/>
      <c r="L242" s="15"/>
      <c r="M242" s="4">
        <f t="shared" si="1"/>
        <v>100</v>
      </c>
      <c r="N242" s="17">
        <f t="shared" si="2"/>
        <v>0</v>
      </c>
      <c r="O242" s="17">
        <f t="shared" si="3"/>
        <v>542107.5</v>
      </c>
      <c r="P242" s="17">
        <f t="shared" si="4"/>
        <v>0</v>
      </c>
      <c r="Q242" s="17">
        <f t="shared" si="5"/>
        <v>0</v>
      </c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</row>
    <row r="243" hidden="1">
      <c r="A243" s="4"/>
      <c r="B243" s="20">
        <v>9.062048548E9</v>
      </c>
      <c r="C243" s="23">
        <v>45116.0</v>
      </c>
      <c r="D243" s="21" t="s">
        <v>242</v>
      </c>
      <c r="E243" s="13" t="s">
        <v>22</v>
      </c>
      <c r="F243" s="20">
        <v>2915.0</v>
      </c>
      <c r="G243" s="20">
        <v>240487.5</v>
      </c>
      <c r="H243" s="22"/>
      <c r="I243" s="15"/>
      <c r="J243" s="15"/>
      <c r="K243" s="15"/>
      <c r="L243" s="15">
        <v>100.0</v>
      </c>
      <c r="M243" s="4">
        <f t="shared" si="1"/>
        <v>100</v>
      </c>
      <c r="N243" s="17">
        <f t="shared" si="2"/>
        <v>0</v>
      </c>
      <c r="O243" s="17">
        <f t="shared" si="3"/>
        <v>0</v>
      </c>
      <c r="P243" s="17">
        <f t="shared" si="4"/>
        <v>0</v>
      </c>
      <c r="Q243" s="17">
        <f t="shared" si="5"/>
        <v>240487.5</v>
      </c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</row>
    <row r="244" hidden="1">
      <c r="A244" s="4"/>
      <c r="B244" s="20">
        <v>9.062048548E9</v>
      </c>
      <c r="C244" s="23">
        <v>45116.0</v>
      </c>
      <c r="D244" s="21" t="s">
        <v>237</v>
      </c>
      <c r="E244" s="13" t="s">
        <v>22</v>
      </c>
      <c r="F244" s="20">
        <v>6438.0</v>
      </c>
      <c r="G244" s="20">
        <v>531135.0</v>
      </c>
      <c r="H244" s="22"/>
      <c r="I244" s="15">
        <v>100.0</v>
      </c>
      <c r="J244" s="15"/>
      <c r="K244" s="15"/>
      <c r="L244" s="15"/>
      <c r="M244" s="4">
        <f t="shared" si="1"/>
        <v>100</v>
      </c>
      <c r="N244" s="17">
        <f t="shared" si="2"/>
        <v>531135</v>
      </c>
      <c r="O244" s="17">
        <f t="shared" si="3"/>
        <v>0</v>
      </c>
      <c r="P244" s="17">
        <f t="shared" si="4"/>
        <v>0</v>
      </c>
      <c r="Q244" s="17">
        <f t="shared" si="5"/>
        <v>0</v>
      </c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</row>
    <row r="245" hidden="1">
      <c r="A245" s="4"/>
      <c r="B245" s="20">
        <v>9.062048548E9</v>
      </c>
      <c r="C245" s="23">
        <v>45116.0</v>
      </c>
      <c r="D245" s="21" t="s">
        <v>231</v>
      </c>
      <c r="E245" s="13" t="s">
        <v>22</v>
      </c>
      <c r="F245" s="20">
        <v>3750.0</v>
      </c>
      <c r="G245" s="20">
        <v>309375.0</v>
      </c>
      <c r="H245" s="22"/>
      <c r="I245" s="15"/>
      <c r="J245" s="15"/>
      <c r="K245" s="15"/>
      <c r="L245" s="15">
        <v>100.0</v>
      </c>
      <c r="M245" s="4">
        <f t="shared" si="1"/>
        <v>100</v>
      </c>
      <c r="N245" s="17">
        <f t="shared" si="2"/>
        <v>0</v>
      </c>
      <c r="O245" s="17">
        <f t="shared" si="3"/>
        <v>0</v>
      </c>
      <c r="P245" s="17">
        <f t="shared" si="4"/>
        <v>0</v>
      </c>
      <c r="Q245" s="17">
        <f t="shared" si="5"/>
        <v>309375</v>
      </c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</row>
    <row r="246" hidden="1">
      <c r="A246" s="4"/>
      <c r="B246" s="20">
        <v>9.062048548E9</v>
      </c>
      <c r="C246" s="23">
        <v>45116.0</v>
      </c>
      <c r="D246" s="21" t="s">
        <v>247</v>
      </c>
      <c r="E246" s="13" t="s">
        <v>22</v>
      </c>
      <c r="F246" s="20">
        <v>5610.0</v>
      </c>
      <c r="G246" s="20">
        <v>462825.0</v>
      </c>
      <c r="H246" s="22"/>
      <c r="I246" s="15">
        <v>100.0</v>
      </c>
      <c r="J246" s="15"/>
      <c r="K246" s="15"/>
      <c r="L246" s="15"/>
      <c r="M246" s="4">
        <f t="shared" si="1"/>
        <v>100</v>
      </c>
      <c r="N246" s="17">
        <f t="shared" si="2"/>
        <v>462825</v>
      </c>
      <c r="O246" s="17">
        <f t="shared" si="3"/>
        <v>0</v>
      </c>
      <c r="P246" s="17">
        <f t="shared" si="4"/>
        <v>0</v>
      </c>
      <c r="Q246" s="17">
        <f t="shared" si="5"/>
        <v>0</v>
      </c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</row>
    <row r="247" hidden="1">
      <c r="A247" s="4"/>
      <c r="B247" s="20">
        <v>9.062048548E9</v>
      </c>
      <c r="C247" s="23">
        <v>45116.0</v>
      </c>
      <c r="D247" s="21" t="s">
        <v>239</v>
      </c>
      <c r="E247" s="13" t="s">
        <v>22</v>
      </c>
      <c r="F247" s="20">
        <v>10800.0</v>
      </c>
      <c r="G247" s="20">
        <v>891000.0</v>
      </c>
      <c r="H247" s="22"/>
      <c r="I247" s="15">
        <v>100.0</v>
      </c>
      <c r="J247" s="15"/>
      <c r="K247" s="15"/>
      <c r="L247" s="15"/>
      <c r="M247" s="4">
        <f t="shared" si="1"/>
        <v>100</v>
      </c>
      <c r="N247" s="17">
        <f t="shared" si="2"/>
        <v>891000</v>
      </c>
      <c r="O247" s="17">
        <f t="shared" si="3"/>
        <v>0</v>
      </c>
      <c r="P247" s="17">
        <f t="shared" si="4"/>
        <v>0</v>
      </c>
      <c r="Q247" s="17">
        <f t="shared" si="5"/>
        <v>0</v>
      </c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</row>
    <row r="248" hidden="1">
      <c r="A248" s="4"/>
      <c r="B248" s="20">
        <v>9.062048548E9</v>
      </c>
      <c r="C248" s="23">
        <v>45116.0</v>
      </c>
      <c r="D248" s="21" t="s">
        <v>243</v>
      </c>
      <c r="E248" s="13" t="s">
        <v>22</v>
      </c>
      <c r="F248" s="20">
        <v>8275.0</v>
      </c>
      <c r="G248" s="20">
        <v>682687.5</v>
      </c>
      <c r="H248" s="22"/>
      <c r="I248" s="15">
        <v>100.0</v>
      </c>
      <c r="J248" s="15"/>
      <c r="K248" s="15"/>
      <c r="L248" s="15"/>
      <c r="M248" s="4">
        <f t="shared" si="1"/>
        <v>100</v>
      </c>
      <c r="N248" s="17">
        <f t="shared" si="2"/>
        <v>682687.5</v>
      </c>
      <c r="O248" s="17">
        <f t="shared" si="3"/>
        <v>0</v>
      </c>
      <c r="P248" s="17">
        <f t="shared" si="4"/>
        <v>0</v>
      </c>
      <c r="Q248" s="17">
        <f t="shared" si="5"/>
        <v>0</v>
      </c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</row>
    <row r="249" hidden="1">
      <c r="A249" s="4"/>
      <c r="B249" s="20">
        <v>9.062048548E9</v>
      </c>
      <c r="C249" s="23">
        <v>45116.0</v>
      </c>
      <c r="D249" s="21" t="s">
        <v>225</v>
      </c>
      <c r="E249" s="13" t="s">
        <v>22</v>
      </c>
      <c r="F249" s="20">
        <v>6760.0</v>
      </c>
      <c r="G249" s="20">
        <v>557700.0</v>
      </c>
      <c r="H249" s="22"/>
      <c r="I249" s="15">
        <v>100.0</v>
      </c>
      <c r="J249" s="15"/>
      <c r="K249" s="15"/>
      <c r="L249" s="15"/>
      <c r="M249" s="4">
        <f t="shared" si="1"/>
        <v>100</v>
      </c>
      <c r="N249" s="17">
        <f t="shared" si="2"/>
        <v>557700</v>
      </c>
      <c r="O249" s="17">
        <f t="shared" si="3"/>
        <v>0</v>
      </c>
      <c r="P249" s="17">
        <f t="shared" si="4"/>
        <v>0</v>
      </c>
      <c r="Q249" s="17">
        <f t="shared" si="5"/>
        <v>0</v>
      </c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</row>
    <row r="250" hidden="1">
      <c r="A250" s="4"/>
      <c r="B250" s="20">
        <v>9.062048548E9</v>
      </c>
      <c r="C250" s="23">
        <v>45116.0</v>
      </c>
      <c r="D250" s="21" t="s">
        <v>233</v>
      </c>
      <c r="E250" s="13" t="s">
        <v>22</v>
      </c>
      <c r="F250" s="20">
        <v>8850.0</v>
      </c>
      <c r="G250" s="20">
        <v>730125.0</v>
      </c>
      <c r="H250" s="22"/>
      <c r="I250" s="15">
        <v>100.0</v>
      </c>
      <c r="J250" s="15"/>
      <c r="K250" s="15"/>
      <c r="L250" s="15"/>
      <c r="M250" s="4">
        <f t="shared" si="1"/>
        <v>100</v>
      </c>
      <c r="N250" s="17">
        <f t="shared" si="2"/>
        <v>730125</v>
      </c>
      <c r="O250" s="17">
        <f t="shared" si="3"/>
        <v>0</v>
      </c>
      <c r="P250" s="17">
        <f t="shared" si="4"/>
        <v>0</v>
      </c>
      <c r="Q250" s="17">
        <f t="shared" si="5"/>
        <v>0</v>
      </c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</row>
    <row r="251" hidden="1">
      <c r="A251" s="4"/>
      <c r="B251" s="20">
        <v>9.062048548E9</v>
      </c>
      <c r="C251" s="23">
        <v>45116.0</v>
      </c>
      <c r="D251" s="21" t="s">
        <v>249</v>
      </c>
      <c r="E251" s="13" t="s">
        <v>22</v>
      </c>
      <c r="F251" s="20">
        <v>8850.0</v>
      </c>
      <c r="G251" s="20">
        <v>730125.0</v>
      </c>
      <c r="H251" s="22"/>
      <c r="I251" s="15">
        <v>100.0</v>
      </c>
      <c r="J251" s="15"/>
      <c r="K251" s="15"/>
      <c r="L251" s="15"/>
      <c r="M251" s="4">
        <f t="shared" si="1"/>
        <v>100</v>
      </c>
      <c r="N251" s="17">
        <f t="shared" si="2"/>
        <v>730125</v>
      </c>
      <c r="O251" s="17">
        <f t="shared" si="3"/>
        <v>0</v>
      </c>
      <c r="P251" s="17">
        <f t="shared" si="4"/>
        <v>0</v>
      </c>
      <c r="Q251" s="17">
        <f t="shared" si="5"/>
        <v>0</v>
      </c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</row>
    <row r="252" hidden="1">
      <c r="A252" s="4"/>
      <c r="B252" s="20">
        <v>9.062048548E9</v>
      </c>
      <c r="C252" s="23">
        <v>45116.0</v>
      </c>
      <c r="D252" s="21" t="s">
        <v>250</v>
      </c>
      <c r="E252" s="13" t="s">
        <v>22</v>
      </c>
      <c r="F252" s="20">
        <v>2723.0</v>
      </c>
      <c r="G252" s="20">
        <v>224647.5</v>
      </c>
      <c r="H252" s="22"/>
      <c r="I252" s="15"/>
      <c r="J252" s="15"/>
      <c r="K252" s="15"/>
      <c r="L252" s="15">
        <v>100.0</v>
      </c>
      <c r="M252" s="4">
        <f t="shared" si="1"/>
        <v>100</v>
      </c>
      <c r="N252" s="17">
        <f t="shared" si="2"/>
        <v>0</v>
      </c>
      <c r="O252" s="17">
        <f t="shared" si="3"/>
        <v>0</v>
      </c>
      <c r="P252" s="17">
        <f t="shared" si="4"/>
        <v>0</v>
      </c>
      <c r="Q252" s="17">
        <f t="shared" si="5"/>
        <v>224647.5</v>
      </c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</row>
    <row r="253" hidden="1">
      <c r="A253" s="4"/>
      <c r="B253" s="20">
        <v>9.062048548E9</v>
      </c>
      <c r="C253" s="23">
        <v>45116.0</v>
      </c>
      <c r="D253" s="21" t="s">
        <v>235</v>
      </c>
      <c r="E253" s="13" t="s">
        <v>22</v>
      </c>
      <c r="F253" s="20">
        <v>7428.0</v>
      </c>
      <c r="G253" s="20">
        <v>612810.0</v>
      </c>
      <c r="H253" s="22"/>
      <c r="I253" s="15">
        <v>100.0</v>
      </c>
      <c r="J253" s="15"/>
      <c r="K253" s="15"/>
      <c r="L253" s="15"/>
      <c r="M253" s="4">
        <f t="shared" si="1"/>
        <v>100</v>
      </c>
      <c r="N253" s="17">
        <f t="shared" si="2"/>
        <v>612810</v>
      </c>
      <c r="O253" s="17">
        <f t="shared" si="3"/>
        <v>0</v>
      </c>
      <c r="P253" s="17">
        <f t="shared" si="4"/>
        <v>0</v>
      </c>
      <c r="Q253" s="17">
        <f t="shared" si="5"/>
        <v>0</v>
      </c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</row>
    <row r="254" hidden="1">
      <c r="A254" s="4"/>
      <c r="B254" s="20">
        <v>9.062048548E9</v>
      </c>
      <c r="C254" s="23">
        <v>45116.0</v>
      </c>
      <c r="D254" s="21" t="s">
        <v>241</v>
      </c>
      <c r="E254" s="13" t="s">
        <v>22</v>
      </c>
      <c r="F254" s="20">
        <v>5530.0</v>
      </c>
      <c r="G254" s="20">
        <v>456225.0</v>
      </c>
      <c r="H254" s="22"/>
      <c r="I254" s="15"/>
      <c r="J254" s="15">
        <v>100.0</v>
      </c>
      <c r="K254" s="15"/>
      <c r="L254" s="15"/>
      <c r="M254" s="4">
        <f t="shared" si="1"/>
        <v>100</v>
      </c>
      <c r="N254" s="17">
        <f t="shared" si="2"/>
        <v>0</v>
      </c>
      <c r="O254" s="17">
        <f t="shared" si="3"/>
        <v>456225</v>
      </c>
      <c r="P254" s="17">
        <f t="shared" si="4"/>
        <v>0</v>
      </c>
      <c r="Q254" s="17">
        <f t="shared" si="5"/>
        <v>0</v>
      </c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</row>
    <row r="255" hidden="1">
      <c r="A255" s="4"/>
      <c r="B255" s="20">
        <v>9.062048548E9</v>
      </c>
      <c r="C255" s="23">
        <v>45116.0</v>
      </c>
      <c r="D255" s="21" t="s">
        <v>240</v>
      </c>
      <c r="E255" s="13" t="s">
        <v>22</v>
      </c>
      <c r="F255" s="20">
        <v>7000.0</v>
      </c>
      <c r="G255" s="20">
        <v>577500.0</v>
      </c>
      <c r="H255" s="22"/>
      <c r="I255" s="15"/>
      <c r="J255" s="15"/>
      <c r="K255" s="15">
        <v>100.0</v>
      </c>
      <c r="L255" s="15"/>
      <c r="M255" s="4">
        <f t="shared" si="1"/>
        <v>100</v>
      </c>
      <c r="N255" s="17">
        <f t="shared" si="2"/>
        <v>0</v>
      </c>
      <c r="O255" s="17">
        <f t="shared" si="3"/>
        <v>0</v>
      </c>
      <c r="P255" s="17">
        <f t="shared" si="4"/>
        <v>577500</v>
      </c>
      <c r="Q255" s="17">
        <f t="shared" si="5"/>
        <v>0</v>
      </c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</row>
    <row r="256" hidden="1">
      <c r="A256" s="4"/>
      <c r="B256" s="20">
        <v>9.062048548E9</v>
      </c>
      <c r="C256" s="23">
        <v>45116.0</v>
      </c>
      <c r="D256" s="21" t="s">
        <v>229</v>
      </c>
      <c r="E256" s="13" t="s">
        <v>22</v>
      </c>
      <c r="F256" s="20">
        <v>4740.0</v>
      </c>
      <c r="G256" s="20">
        <v>391050.0</v>
      </c>
      <c r="H256" s="22"/>
      <c r="I256" s="15"/>
      <c r="J256" s="15">
        <v>100.0</v>
      </c>
      <c r="K256" s="15"/>
      <c r="L256" s="15"/>
      <c r="M256" s="4">
        <f t="shared" si="1"/>
        <v>100</v>
      </c>
      <c r="N256" s="17">
        <f t="shared" si="2"/>
        <v>0</v>
      </c>
      <c r="O256" s="17">
        <f t="shared" si="3"/>
        <v>391050</v>
      </c>
      <c r="P256" s="17">
        <f t="shared" si="4"/>
        <v>0</v>
      </c>
      <c r="Q256" s="17">
        <f t="shared" si="5"/>
        <v>0</v>
      </c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</row>
    <row r="257" hidden="1">
      <c r="A257" s="4"/>
      <c r="B257" s="20">
        <v>9.062048548E9</v>
      </c>
      <c r="C257" s="23">
        <v>45116.0</v>
      </c>
      <c r="D257" s="21" t="s">
        <v>230</v>
      </c>
      <c r="E257" s="13" t="s">
        <v>22</v>
      </c>
      <c r="F257" s="20">
        <v>2000.0</v>
      </c>
      <c r="G257" s="20">
        <v>165000.0</v>
      </c>
      <c r="H257" s="22"/>
      <c r="I257" s="15"/>
      <c r="J257" s="15"/>
      <c r="K257" s="15"/>
      <c r="L257" s="15">
        <v>100.0</v>
      </c>
      <c r="M257" s="4">
        <f t="shared" si="1"/>
        <v>100</v>
      </c>
      <c r="N257" s="17">
        <f t="shared" si="2"/>
        <v>0</v>
      </c>
      <c r="O257" s="17">
        <f t="shared" si="3"/>
        <v>0</v>
      </c>
      <c r="P257" s="17">
        <f t="shared" si="4"/>
        <v>0</v>
      </c>
      <c r="Q257" s="17">
        <f t="shared" si="5"/>
        <v>165000</v>
      </c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</row>
    <row r="258" hidden="1">
      <c r="A258" s="4"/>
      <c r="B258" s="20">
        <v>9.062048548E9</v>
      </c>
      <c r="C258" s="23">
        <v>45116.0</v>
      </c>
      <c r="D258" s="21" t="s">
        <v>252</v>
      </c>
      <c r="E258" s="13" t="s">
        <v>22</v>
      </c>
      <c r="F258" s="20">
        <v>5714.0</v>
      </c>
      <c r="G258" s="20">
        <v>471405.0</v>
      </c>
      <c r="H258" s="22"/>
      <c r="I258" s="15"/>
      <c r="J258" s="15"/>
      <c r="K258" s="15">
        <v>100.0</v>
      </c>
      <c r="L258" s="15"/>
      <c r="M258" s="4">
        <f t="shared" si="1"/>
        <v>100</v>
      </c>
      <c r="N258" s="17">
        <f t="shared" si="2"/>
        <v>0</v>
      </c>
      <c r="O258" s="17">
        <f t="shared" si="3"/>
        <v>0</v>
      </c>
      <c r="P258" s="17">
        <f t="shared" si="4"/>
        <v>471405</v>
      </c>
      <c r="Q258" s="17">
        <f t="shared" si="5"/>
        <v>0</v>
      </c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</row>
    <row r="259" hidden="1">
      <c r="A259" s="4"/>
      <c r="B259" s="20">
        <v>9.062048548E9</v>
      </c>
      <c r="C259" s="23">
        <v>45116.0</v>
      </c>
      <c r="D259" s="21" t="s">
        <v>238</v>
      </c>
      <c r="E259" s="13" t="s">
        <v>22</v>
      </c>
      <c r="F259" s="20">
        <v>4000.0</v>
      </c>
      <c r="G259" s="20">
        <v>330000.0</v>
      </c>
      <c r="H259" s="22"/>
      <c r="I259" s="15"/>
      <c r="J259" s="15"/>
      <c r="K259" s="15"/>
      <c r="L259" s="15">
        <v>100.0</v>
      </c>
      <c r="M259" s="4">
        <f t="shared" si="1"/>
        <v>100</v>
      </c>
      <c r="N259" s="17">
        <f t="shared" si="2"/>
        <v>0</v>
      </c>
      <c r="O259" s="17">
        <f t="shared" si="3"/>
        <v>0</v>
      </c>
      <c r="P259" s="17">
        <f t="shared" si="4"/>
        <v>0</v>
      </c>
      <c r="Q259" s="17">
        <f t="shared" si="5"/>
        <v>330000</v>
      </c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</row>
    <row r="260" hidden="1">
      <c r="A260" s="4"/>
      <c r="B260" s="20">
        <v>9.062048548E9</v>
      </c>
      <c r="C260" s="23">
        <v>45116.0</v>
      </c>
      <c r="D260" s="21" t="s">
        <v>226</v>
      </c>
      <c r="E260" s="13" t="s">
        <v>22</v>
      </c>
      <c r="F260" s="20">
        <v>5267.0</v>
      </c>
      <c r="G260" s="20">
        <v>434527.5</v>
      </c>
      <c r="H260" s="22"/>
      <c r="I260" s="15"/>
      <c r="J260" s="15">
        <v>100.0</v>
      </c>
      <c r="K260" s="15"/>
      <c r="L260" s="15"/>
      <c r="M260" s="4">
        <f t="shared" si="1"/>
        <v>100</v>
      </c>
      <c r="N260" s="17">
        <f t="shared" si="2"/>
        <v>0</v>
      </c>
      <c r="O260" s="17">
        <f t="shared" si="3"/>
        <v>434527.5</v>
      </c>
      <c r="P260" s="17">
        <f t="shared" si="4"/>
        <v>0</v>
      </c>
      <c r="Q260" s="17">
        <f t="shared" si="5"/>
        <v>0</v>
      </c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</row>
    <row r="261" hidden="1">
      <c r="A261" s="4"/>
      <c r="B261" s="20">
        <v>9.062048548E9</v>
      </c>
      <c r="C261" s="23">
        <v>45116.0</v>
      </c>
      <c r="D261" s="21" t="s">
        <v>246</v>
      </c>
      <c r="E261" s="13" t="s">
        <v>22</v>
      </c>
      <c r="F261" s="20">
        <v>10800.0</v>
      </c>
      <c r="G261" s="20">
        <v>891000.0</v>
      </c>
      <c r="H261" s="22"/>
      <c r="I261" s="15"/>
      <c r="J261" s="15">
        <v>100.0</v>
      </c>
      <c r="K261" s="15"/>
      <c r="L261" s="15"/>
      <c r="M261" s="4">
        <f t="shared" si="1"/>
        <v>100</v>
      </c>
      <c r="N261" s="17">
        <f t="shared" si="2"/>
        <v>0</v>
      </c>
      <c r="O261" s="17">
        <f t="shared" si="3"/>
        <v>891000</v>
      </c>
      <c r="P261" s="17">
        <f t="shared" si="4"/>
        <v>0</v>
      </c>
      <c r="Q261" s="17">
        <f t="shared" si="5"/>
        <v>0</v>
      </c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</row>
    <row r="262" hidden="1">
      <c r="A262" s="4"/>
      <c r="B262" s="20">
        <v>9.062048548E9</v>
      </c>
      <c r="C262" s="23">
        <v>45116.0</v>
      </c>
      <c r="D262" s="21" t="s">
        <v>224</v>
      </c>
      <c r="E262" s="13" t="s">
        <v>22</v>
      </c>
      <c r="F262" s="20">
        <v>6667.0</v>
      </c>
      <c r="G262" s="20">
        <v>550027.5</v>
      </c>
      <c r="H262" s="22"/>
      <c r="I262" s="15"/>
      <c r="J262" s="15"/>
      <c r="K262" s="15">
        <v>100.0</v>
      </c>
      <c r="L262" s="15"/>
      <c r="M262" s="4">
        <f t="shared" si="1"/>
        <v>100</v>
      </c>
      <c r="N262" s="17">
        <f t="shared" si="2"/>
        <v>0</v>
      </c>
      <c r="O262" s="17">
        <f t="shared" si="3"/>
        <v>0</v>
      </c>
      <c r="P262" s="17">
        <f t="shared" si="4"/>
        <v>550027.5</v>
      </c>
      <c r="Q262" s="17">
        <f t="shared" si="5"/>
        <v>0</v>
      </c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</row>
    <row r="263" hidden="1">
      <c r="A263" s="4"/>
      <c r="B263" s="20">
        <v>9.062048548E9</v>
      </c>
      <c r="C263" s="23">
        <v>45116.0</v>
      </c>
      <c r="D263" s="21" t="s">
        <v>234</v>
      </c>
      <c r="E263" s="13" t="s">
        <v>22</v>
      </c>
      <c r="F263" s="20">
        <v>6667.0</v>
      </c>
      <c r="G263" s="20">
        <v>550027.5</v>
      </c>
      <c r="H263" s="22"/>
      <c r="I263" s="15"/>
      <c r="J263" s="15"/>
      <c r="K263" s="15">
        <v>100.0</v>
      </c>
      <c r="L263" s="15"/>
      <c r="M263" s="4">
        <f t="shared" si="1"/>
        <v>100</v>
      </c>
      <c r="N263" s="17">
        <f t="shared" si="2"/>
        <v>0</v>
      </c>
      <c r="O263" s="17">
        <f t="shared" si="3"/>
        <v>0</v>
      </c>
      <c r="P263" s="17">
        <f t="shared" si="4"/>
        <v>550027.5</v>
      </c>
      <c r="Q263" s="17">
        <f t="shared" si="5"/>
        <v>0</v>
      </c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</row>
    <row r="264" hidden="1">
      <c r="A264" s="4"/>
      <c r="B264" s="24"/>
      <c r="C264" s="25"/>
      <c r="D264" s="21" t="s">
        <v>258</v>
      </c>
      <c r="E264" s="13" t="s">
        <v>74</v>
      </c>
      <c r="F264" s="20">
        <v>145750.0</v>
      </c>
      <c r="G264" s="20">
        <v>1.2024375E7</v>
      </c>
      <c r="H264" s="22"/>
      <c r="I264" s="15"/>
      <c r="J264" s="15">
        <v>100.0</v>
      </c>
      <c r="K264" s="15"/>
      <c r="L264" s="15"/>
      <c r="M264" s="4">
        <f t="shared" si="1"/>
        <v>100</v>
      </c>
      <c r="N264" s="17">
        <f t="shared" si="2"/>
        <v>0</v>
      </c>
      <c r="O264" s="17">
        <f t="shared" si="3"/>
        <v>12024375</v>
      </c>
      <c r="P264" s="17">
        <f t="shared" si="4"/>
        <v>0</v>
      </c>
      <c r="Q264" s="17">
        <f t="shared" si="5"/>
        <v>0</v>
      </c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</row>
    <row r="265" hidden="1">
      <c r="A265" s="4"/>
      <c r="B265" s="20">
        <v>9.062048675E9</v>
      </c>
      <c r="C265" s="20" t="s">
        <v>259</v>
      </c>
      <c r="D265" s="21" t="s">
        <v>260</v>
      </c>
      <c r="E265" s="13" t="s">
        <v>22</v>
      </c>
      <c r="F265" s="20">
        <v>5530.0</v>
      </c>
      <c r="G265" s="20">
        <v>456225.0</v>
      </c>
      <c r="H265" s="22"/>
      <c r="I265" s="15"/>
      <c r="J265" s="15">
        <v>100.0</v>
      </c>
      <c r="K265" s="15"/>
      <c r="L265" s="15"/>
      <c r="M265" s="4">
        <f t="shared" si="1"/>
        <v>100</v>
      </c>
      <c r="N265" s="17">
        <f t="shared" si="2"/>
        <v>0</v>
      </c>
      <c r="O265" s="17">
        <f t="shared" si="3"/>
        <v>456225</v>
      </c>
      <c r="P265" s="17">
        <f t="shared" si="4"/>
        <v>0</v>
      </c>
      <c r="Q265" s="17">
        <f t="shared" si="5"/>
        <v>0</v>
      </c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</row>
    <row r="266" hidden="1">
      <c r="A266" s="4"/>
      <c r="B266" s="20">
        <v>9.062047917E9</v>
      </c>
      <c r="C266" s="23">
        <v>45083.0</v>
      </c>
      <c r="D266" s="21" t="s">
        <v>157</v>
      </c>
      <c r="E266" s="13" t="s">
        <v>65</v>
      </c>
      <c r="F266" s="20">
        <v>2250.0</v>
      </c>
      <c r="G266" s="20">
        <v>185625.0</v>
      </c>
      <c r="H266" s="22"/>
      <c r="I266" s="15"/>
      <c r="J266" s="15">
        <v>100.0</v>
      </c>
      <c r="K266" s="15"/>
      <c r="L266" s="15"/>
      <c r="M266" s="4">
        <f t="shared" si="1"/>
        <v>100</v>
      </c>
      <c r="N266" s="17">
        <f t="shared" si="2"/>
        <v>0</v>
      </c>
      <c r="O266" s="17">
        <f t="shared" si="3"/>
        <v>185625</v>
      </c>
      <c r="P266" s="17">
        <f t="shared" si="4"/>
        <v>0</v>
      </c>
      <c r="Q266" s="17">
        <f t="shared" si="5"/>
        <v>0</v>
      </c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</row>
    <row r="267" hidden="1">
      <c r="A267" s="4"/>
      <c r="B267" s="20">
        <v>9.062047917E9</v>
      </c>
      <c r="C267" s="23">
        <v>45083.0</v>
      </c>
      <c r="D267" s="21" t="s">
        <v>156</v>
      </c>
      <c r="E267" s="13" t="s">
        <v>65</v>
      </c>
      <c r="F267" s="20">
        <v>3000.0</v>
      </c>
      <c r="G267" s="20">
        <v>247500.0</v>
      </c>
      <c r="H267" s="22"/>
      <c r="I267" s="15">
        <v>100.0</v>
      </c>
      <c r="J267" s="15"/>
      <c r="K267" s="15"/>
      <c r="L267" s="15"/>
      <c r="M267" s="4">
        <f t="shared" si="1"/>
        <v>100</v>
      </c>
      <c r="N267" s="17">
        <f t="shared" si="2"/>
        <v>247500</v>
      </c>
      <c r="O267" s="17">
        <f t="shared" si="3"/>
        <v>0</v>
      </c>
      <c r="P267" s="17">
        <f t="shared" si="4"/>
        <v>0</v>
      </c>
      <c r="Q267" s="17">
        <f t="shared" si="5"/>
        <v>0</v>
      </c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</row>
    <row r="268" hidden="1">
      <c r="A268" s="4"/>
      <c r="B268" s="20">
        <v>9.062047917E9</v>
      </c>
      <c r="C268" s="23">
        <v>45083.0</v>
      </c>
      <c r="D268" s="21" t="s">
        <v>155</v>
      </c>
      <c r="E268" s="13" t="s">
        <v>65</v>
      </c>
      <c r="F268" s="20">
        <v>7500.0</v>
      </c>
      <c r="G268" s="20">
        <v>618750.0</v>
      </c>
      <c r="H268" s="22"/>
      <c r="I268" s="15"/>
      <c r="J268" s="15">
        <v>100.0</v>
      </c>
      <c r="K268" s="15"/>
      <c r="L268" s="15"/>
      <c r="M268" s="4">
        <f t="shared" si="1"/>
        <v>100</v>
      </c>
      <c r="N268" s="17">
        <f t="shared" si="2"/>
        <v>0</v>
      </c>
      <c r="O268" s="17">
        <f t="shared" si="3"/>
        <v>618750</v>
      </c>
      <c r="P268" s="17">
        <f t="shared" si="4"/>
        <v>0</v>
      </c>
      <c r="Q268" s="17">
        <f t="shared" si="5"/>
        <v>0</v>
      </c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</row>
    <row r="269" hidden="1">
      <c r="A269" s="4"/>
      <c r="B269" s="20">
        <v>9.062047917E9</v>
      </c>
      <c r="C269" s="23">
        <v>45083.0</v>
      </c>
      <c r="D269" s="21" t="s">
        <v>158</v>
      </c>
      <c r="E269" s="13" t="s">
        <v>65</v>
      </c>
      <c r="F269" s="20">
        <v>6000.0</v>
      </c>
      <c r="G269" s="20">
        <v>495000.0</v>
      </c>
      <c r="H269" s="22"/>
      <c r="I269" s="15">
        <v>100.0</v>
      </c>
      <c r="J269" s="15"/>
      <c r="K269" s="15"/>
      <c r="L269" s="15"/>
      <c r="M269" s="4">
        <f t="shared" si="1"/>
        <v>100</v>
      </c>
      <c r="N269" s="17">
        <f t="shared" si="2"/>
        <v>495000</v>
      </c>
      <c r="O269" s="17">
        <f t="shared" si="3"/>
        <v>0</v>
      </c>
      <c r="P269" s="17">
        <f t="shared" si="4"/>
        <v>0</v>
      </c>
      <c r="Q269" s="17">
        <f t="shared" si="5"/>
        <v>0</v>
      </c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</row>
    <row r="270" hidden="1">
      <c r="A270" s="4"/>
      <c r="B270" s="20">
        <v>9.062046773E9</v>
      </c>
      <c r="C270" s="20" t="s">
        <v>63</v>
      </c>
      <c r="D270" s="21" t="s">
        <v>148</v>
      </c>
      <c r="E270" s="13" t="s">
        <v>65</v>
      </c>
      <c r="F270" s="20">
        <v>2500.0</v>
      </c>
      <c r="G270" s="20">
        <v>206250.0</v>
      </c>
      <c r="H270" s="22"/>
      <c r="I270" s="15"/>
      <c r="J270" s="15">
        <v>100.0</v>
      </c>
      <c r="K270" s="15"/>
      <c r="L270" s="15"/>
      <c r="M270" s="4">
        <f t="shared" si="1"/>
        <v>100</v>
      </c>
      <c r="N270" s="17">
        <f t="shared" si="2"/>
        <v>0</v>
      </c>
      <c r="O270" s="17">
        <f t="shared" si="3"/>
        <v>206250</v>
      </c>
      <c r="P270" s="17">
        <f t="shared" si="4"/>
        <v>0</v>
      </c>
      <c r="Q270" s="17">
        <f t="shared" si="5"/>
        <v>0</v>
      </c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</row>
    <row r="271" hidden="1">
      <c r="A271" s="4"/>
      <c r="B271" s="20">
        <v>9.062046773E9</v>
      </c>
      <c r="C271" s="20" t="s">
        <v>63</v>
      </c>
      <c r="D271" s="21" t="s">
        <v>147</v>
      </c>
      <c r="E271" s="13" t="s">
        <v>65</v>
      </c>
      <c r="F271" s="20">
        <v>1000.0</v>
      </c>
      <c r="G271" s="20">
        <v>82500.0</v>
      </c>
      <c r="H271" s="22"/>
      <c r="I271" s="15">
        <v>100.0</v>
      </c>
      <c r="J271" s="15"/>
      <c r="K271" s="15"/>
      <c r="L271" s="15"/>
      <c r="M271" s="4">
        <f t="shared" si="1"/>
        <v>100</v>
      </c>
      <c r="N271" s="17">
        <f t="shared" si="2"/>
        <v>82500</v>
      </c>
      <c r="O271" s="17">
        <f t="shared" si="3"/>
        <v>0</v>
      </c>
      <c r="P271" s="17">
        <f t="shared" si="4"/>
        <v>0</v>
      </c>
      <c r="Q271" s="17">
        <f t="shared" si="5"/>
        <v>0</v>
      </c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</row>
    <row r="272" hidden="1">
      <c r="A272" s="4"/>
      <c r="B272" s="20">
        <v>9.062046773E9</v>
      </c>
      <c r="C272" s="20" t="s">
        <v>63</v>
      </c>
      <c r="D272" s="21" t="s">
        <v>149</v>
      </c>
      <c r="E272" s="13" t="s">
        <v>65</v>
      </c>
      <c r="F272" s="20">
        <v>1750.0</v>
      </c>
      <c r="G272" s="20">
        <v>144375.0</v>
      </c>
      <c r="H272" s="22"/>
      <c r="I272" s="15"/>
      <c r="J272" s="15">
        <v>100.0</v>
      </c>
      <c r="K272" s="15"/>
      <c r="L272" s="15"/>
      <c r="M272" s="4">
        <f t="shared" si="1"/>
        <v>100</v>
      </c>
      <c r="N272" s="17">
        <f t="shared" si="2"/>
        <v>0</v>
      </c>
      <c r="O272" s="17">
        <f t="shared" si="3"/>
        <v>144375</v>
      </c>
      <c r="P272" s="17">
        <f t="shared" si="4"/>
        <v>0</v>
      </c>
      <c r="Q272" s="17">
        <f t="shared" si="5"/>
        <v>0</v>
      </c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</row>
    <row r="273" hidden="1">
      <c r="A273" s="4"/>
      <c r="B273" s="20">
        <v>9.062046773E9</v>
      </c>
      <c r="C273" s="20" t="s">
        <v>63</v>
      </c>
      <c r="D273" s="21" t="s">
        <v>150</v>
      </c>
      <c r="E273" s="13" t="s">
        <v>65</v>
      </c>
      <c r="F273" s="20">
        <v>2500.0</v>
      </c>
      <c r="G273" s="20">
        <v>206250.0</v>
      </c>
      <c r="H273" s="22"/>
      <c r="I273" s="15">
        <v>100.0</v>
      </c>
      <c r="J273" s="15"/>
      <c r="K273" s="15"/>
      <c r="L273" s="15"/>
      <c r="M273" s="4">
        <f t="shared" si="1"/>
        <v>100</v>
      </c>
      <c r="N273" s="17">
        <f t="shared" si="2"/>
        <v>206250</v>
      </c>
      <c r="O273" s="17">
        <f t="shared" si="3"/>
        <v>0</v>
      </c>
      <c r="P273" s="17">
        <f t="shared" si="4"/>
        <v>0</v>
      </c>
      <c r="Q273" s="17">
        <f t="shared" si="5"/>
        <v>0</v>
      </c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</row>
    <row r="274" hidden="1">
      <c r="A274" s="4"/>
      <c r="B274" s="20">
        <v>9.062048581E9</v>
      </c>
      <c r="C274" s="23">
        <v>45269.0</v>
      </c>
      <c r="D274" s="21" t="s">
        <v>261</v>
      </c>
      <c r="E274" s="13" t="s">
        <v>262</v>
      </c>
      <c r="F274" s="20">
        <v>65000.0</v>
      </c>
      <c r="G274" s="20">
        <v>5362500.0</v>
      </c>
      <c r="H274" s="22"/>
      <c r="I274" s="15"/>
      <c r="J274" s="15">
        <v>100.0</v>
      </c>
      <c r="K274" s="15"/>
      <c r="L274" s="15"/>
      <c r="M274" s="4">
        <f t="shared" si="1"/>
        <v>100</v>
      </c>
      <c r="N274" s="17">
        <f t="shared" si="2"/>
        <v>0</v>
      </c>
      <c r="O274" s="17">
        <f t="shared" si="3"/>
        <v>5362500</v>
      </c>
      <c r="P274" s="17">
        <f t="shared" si="4"/>
        <v>0</v>
      </c>
      <c r="Q274" s="17">
        <f t="shared" si="5"/>
        <v>0</v>
      </c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</row>
    <row r="275" hidden="1">
      <c r="A275" s="4"/>
      <c r="B275" s="20">
        <v>9.062048581E9</v>
      </c>
      <c r="C275" s="23">
        <v>45269.0</v>
      </c>
      <c r="D275" s="21" t="s">
        <v>263</v>
      </c>
      <c r="E275" s="13" t="s">
        <v>262</v>
      </c>
      <c r="F275" s="20">
        <v>19000.0</v>
      </c>
      <c r="G275" s="20">
        <v>1567500.0</v>
      </c>
      <c r="H275" s="22"/>
      <c r="I275" s="15"/>
      <c r="J275" s="15">
        <v>100.0</v>
      </c>
      <c r="K275" s="15"/>
      <c r="L275" s="15"/>
      <c r="M275" s="4">
        <f t="shared" si="1"/>
        <v>100</v>
      </c>
      <c r="N275" s="17">
        <f t="shared" si="2"/>
        <v>0</v>
      </c>
      <c r="O275" s="17">
        <f t="shared" si="3"/>
        <v>1567500</v>
      </c>
      <c r="P275" s="17">
        <f t="shared" si="4"/>
        <v>0</v>
      </c>
      <c r="Q275" s="17">
        <f t="shared" si="5"/>
        <v>0</v>
      </c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</row>
    <row r="276" hidden="1">
      <c r="A276" s="4"/>
      <c r="B276" s="20">
        <v>9.062048581E9</v>
      </c>
      <c r="C276" s="23">
        <v>45269.0</v>
      </c>
      <c r="D276" s="21" t="s">
        <v>264</v>
      </c>
      <c r="E276" s="13" t="s">
        <v>262</v>
      </c>
      <c r="F276" s="20">
        <v>65000.0</v>
      </c>
      <c r="G276" s="20">
        <v>5362500.0</v>
      </c>
      <c r="H276" s="22"/>
      <c r="I276" s="15"/>
      <c r="J276" s="15">
        <v>100.0</v>
      </c>
      <c r="K276" s="15"/>
      <c r="L276" s="15"/>
      <c r="M276" s="4">
        <f t="shared" si="1"/>
        <v>100</v>
      </c>
      <c r="N276" s="17">
        <f t="shared" si="2"/>
        <v>0</v>
      </c>
      <c r="O276" s="17">
        <f t="shared" si="3"/>
        <v>5362500</v>
      </c>
      <c r="P276" s="17">
        <f t="shared" si="4"/>
        <v>0</v>
      </c>
      <c r="Q276" s="17">
        <f t="shared" si="5"/>
        <v>0</v>
      </c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</row>
    <row r="277" hidden="1">
      <c r="A277" s="4"/>
      <c r="B277" s="20">
        <v>9.062048581E9</v>
      </c>
      <c r="C277" s="23">
        <v>45269.0</v>
      </c>
      <c r="D277" s="21" t="s">
        <v>265</v>
      </c>
      <c r="E277" s="13" t="s">
        <v>262</v>
      </c>
      <c r="F277" s="20">
        <v>65000.0</v>
      </c>
      <c r="G277" s="20">
        <v>5362500.0</v>
      </c>
      <c r="H277" s="22"/>
      <c r="I277" s="15"/>
      <c r="J277" s="15">
        <v>100.0</v>
      </c>
      <c r="K277" s="15"/>
      <c r="L277" s="15"/>
      <c r="M277" s="4">
        <f t="shared" si="1"/>
        <v>100</v>
      </c>
      <c r="N277" s="17">
        <f t="shared" si="2"/>
        <v>0</v>
      </c>
      <c r="O277" s="17">
        <f t="shared" si="3"/>
        <v>5362500</v>
      </c>
      <c r="P277" s="17">
        <f t="shared" si="4"/>
        <v>0</v>
      </c>
      <c r="Q277" s="17">
        <f t="shared" si="5"/>
        <v>0</v>
      </c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</row>
    <row r="278" hidden="1">
      <c r="A278" s="4"/>
      <c r="B278" s="20">
        <v>9.062048581E9</v>
      </c>
      <c r="C278" s="23">
        <v>45269.0</v>
      </c>
      <c r="D278" s="21" t="s">
        <v>266</v>
      </c>
      <c r="E278" s="13" t="s">
        <v>262</v>
      </c>
      <c r="F278" s="20">
        <v>35000.0</v>
      </c>
      <c r="G278" s="20">
        <v>2887500.0</v>
      </c>
      <c r="H278" s="22"/>
      <c r="I278" s="15">
        <v>100.0</v>
      </c>
      <c r="J278" s="15"/>
      <c r="K278" s="15"/>
      <c r="L278" s="15"/>
      <c r="M278" s="4">
        <f t="shared" si="1"/>
        <v>100</v>
      </c>
      <c r="N278" s="17">
        <f t="shared" si="2"/>
        <v>2887500</v>
      </c>
      <c r="O278" s="17">
        <f t="shared" si="3"/>
        <v>0</v>
      </c>
      <c r="P278" s="17">
        <f t="shared" si="4"/>
        <v>0</v>
      </c>
      <c r="Q278" s="17">
        <f t="shared" si="5"/>
        <v>0</v>
      </c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</row>
    <row r="279" hidden="1">
      <c r="A279" s="4"/>
      <c r="B279" s="20">
        <v>9.062048547E9</v>
      </c>
      <c r="C279" s="23">
        <v>45116.0</v>
      </c>
      <c r="D279" s="21" t="s">
        <v>267</v>
      </c>
      <c r="E279" s="13" t="s">
        <v>254</v>
      </c>
      <c r="F279" s="20">
        <v>22000.0</v>
      </c>
      <c r="G279" s="20">
        <v>1815000.0</v>
      </c>
      <c r="H279" s="22"/>
      <c r="I279" s="15">
        <v>100.0</v>
      </c>
      <c r="J279" s="15"/>
      <c r="K279" s="15"/>
      <c r="L279" s="15"/>
      <c r="M279" s="4">
        <f t="shared" si="1"/>
        <v>100</v>
      </c>
      <c r="N279" s="17">
        <f t="shared" si="2"/>
        <v>1815000</v>
      </c>
      <c r="O279" s="17">
        <f t="shared" si="3"/>
        <v>0</v>
      </c>
      <c r="P279" s="17">
        <f t="shared" si="4"/>
        <v>0</v>
      </c>
      <c r="Q279" s="17">
        <f t="shared" si="5"/>
        <v>0</v>
      </c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</row>
    <row r="280" hidden="1">
      <c r="A280" s="4"/>
      <c r="B280" s="20">
        <v>9.062048878E9</v>
      </c>
      <c r="C280" s="20" t="s">
        <v>268</v>
      </c>
      <c r="D280" s="21" t="s">
        <v>269</v>
      </c>
      <c r="E280" s="13" t="s">
        <v>22</v>
      </c>
      <c r="F280" s="20">
        <v>4125.0</v>
      </c>
      <c r="G280" s="20">
        <v>340312.5</v>
      </c>
      <c r="H280" s="22"/>
      <c r="I280" s="15"/>
      <c r="J280" s="15"/>
      <c r="K280" s="15"/>
      <c r="L280" s="15">
        <v>100.0</v>
      </c>
      <c r="M280" s="4">
        <f t="shared" si="1"/>
        <v>100</v>
      </c>
      <c r="N280" s="17">
        <f t="shared" si="2"/>
        <v>0</v>
      </c>
      <c r="O280" s="17">
        <f t="shared" si="3"/>
        <v>0</v>
      </c>
      <c r="P280" s="17">
        <f t="shared" si="4"/>
        <v>0</v>
      </c>
      <c r="Q280" s="17">
        <f t="shared" si="5"/>
        <v>340312.5</v>
      </c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</row>
    <row r="281" hidden="1">
      <c r="A281" s="4"/>
      <c r="B281" s="20">
        <v>9.062048878E9</v>
      </c>
      <c r="C281" s="20" t="s">
        <v>268</v>
      </c>
      <c r="D281" s="21" t="s">
        <v>270</v>
      </c>
      <c r="E281" s="13" t="s">
        <v>22</v>
      </c>
      <c r="F281" s="20">
        <v>7000.0</v>
      </c>
      <c r="G281" s="20">
        <v>577500.0</v>
      </c>
      <c r="H281" s="22"/>
      <c r="I281" s="15"/>
      <c r="J281" s="15"/>
      <c r="K281" s="15">
        <v>100.0</v>
      </c>
      <c r="L281" s="15"/>
      <c r="M281" s="4">
        <f t="shared" si="1"/>
        <v>100</v>
      </c>
      <c r="N281" s="17">
        <f t="shared" si="2"/>
        <v>0</v>
      </c>
      <c r="O281" s="17">
        <f t="shared" si="3"/>
        <v>0</v>
      </c>
      <c r="P281" s="17">
        <f t="shared" si="4"/>
        <v>577500</v>
      </c>
      <c r="Q281" s="17">
        <f t="shared" si="5"/>
        <v>0</v>
      </c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</row>
    <row r="282" hidden="1">
      <c r="A282" s="4"/>
      <c r="B282" s="20">
        <v>9.062048878E9</v>
      </c>
      <c r="C282" s="20" t="s">
        <v>268</v>
      </c>
      <c r="D282" s="21" t="s">
        <v>271</v>
      </c>
      <c r="E282" s="13" t="s">
        <v>22</v>
      </c>
      <c r="F282" s="20">
        <v>2691.0</v>
      </c>
      <c r="G282" s="20">
        <v>222007.5</v>
      </c>
      <c r="H282" s="22"/>
      <c r="I282" s="15"/>
      <c r="J282" s="15"/>
      <c r="K282" s="15"/>
      <c r="L282" s="15">
        <v>100.0</v>
      </c>
      <c r="M282" s="4">
        <f t="shared" si="1"/>
        <v>100</v>
      </c>
      <c r="N282" s="17">
        <f t="shared" si="2"/>
        <v>0</v>
      </c>
      <c r="O282" s="17">
        <f t="shared" si="3"/>
        <v>0</v>
      </c>
      <c r="P282" s="17">
        <f t="shared" si="4"/>
        <v>0</v>
      </c>
      <c r="Q282" s="17">
        <f t="shared" si="5"/>
        <v>222007.5</v>
      </c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</row>
    <row r="283" hidden="1">
      <c r="A283" s="4"/>
      <c r="B283" s="20">
        <v>9.062048878E9</v>
      </c>
      <c r="C283" s="20" t="s">
        <v>268</v>
      </c>
      <c r="D283" s="21" t="s">
        <v>272</v>
      </c>
      <c r="E283" s="13" t="s">
        <v>22</v>
      </c>
      <c r="F283" s="20">
        <v>6000.0</v>
      </c>
      <c r="G283" s="20">
        <v>495000.0</v>
      </c>
      <c r="H283" s="22"/>
      <c r="I283" s="15"/>
      <c r="J283" s="15"/>
      <c r="K283" s="15">
        <v>100.0</v>
      </c>
      <c r="L283" s="15"/>
      <c r="M283" s="4">
        <f t="shared" si="1"/>
        <v>100</v>
      </c>
      <c r="N283" s="17">
        <f t="shared" si="2"/>
        <v>0</v>
      </c>
      <c r="O283" s="17">
        <f t="shared" si="3"/>
        <v>0</v>
      </c>
      <c r="P283" s="17">
        <f t="shared" si="4"/>
        <v>495000</v>
      </c>
      <c r="Q283" s="17">
        <f t="shared" si="5"/>
        <v>0</v>
      </c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</row>
    <row r="284" hidden="1">
      <c r="A284" s="4"/>
      <c r="B284" s="20">
        <v>9.062048878E9</v>
      </c>
      <c r="C284" s="20" t="s">
        <v>268</v>
      </c>
      <c r="D284" s="21" t="s">
        <v>273</v>
      </c>
      <c r="E284" s="13" t="s">
        <v>22</v>
      </c>
      <c r="F284" s="20">
        <v>10800.0</v>
      </c>
      <c r="G284" s="20">
        <v>891000.0</v>
      </c>
      <c r="H284" s="22"/>
      <c r="I284" s="15">
        <v>100.0</v>
      </c>
      <c r="J284" s="15"/>
      <c r="K284" s="15"/>
      <c r="L284" s="15"/>
      <c r="M284" s="4">
        <f t="shared" si="1"/>
        <v>100</v>
      </c>
      <c r="N284" s="17">
        <f t="shared" si="2"/>
        <v>891000</v>
      </c>
      <c r="O284" s="17">
        <f t="shared" si="3"/>
        <v>0</v>
      </c>
      <c r="P284" s="17">
        <f t="shared" si="4"/>
        <v>0</v>
      </c>
      <c r="Q284" s="17">
        <f t="shared" si="5"/>
        <v>0</v>
      </c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</row>
    <row r="285" hidden="1">
      <c r="A285" s="4"/>
      <c r="B285" s="20">
        <v>9.062048878E9</v>
      </c>
      <c r="C285" s="20" t="s">
        <v>268</v>
      </c>
      <c r="D285" s="21" t="s">
        <v>274</v>
      </c>
      <c r="E285" s="13" t="s">
        <v>22</v>
      </c>
      <c r="F285" s="20">
        <v>4215.0</v>
      </c>
      <c r="G285" s="20">
        <v>347737.5</v>
      </c>
      <c r="H285" s="22"/>
      <c r="I285" s="15"/>
      <c r="J285" s="15">
        <v>100.0</v>
      </c>
      <c r="K285" s="15"/>
      <c r="L285" s="15"/>
      <c r="M285" s="4">
        <f t="shared" si="1"/>
        <v>100</v>
      </c>
      <c r="N285" s="17">
        <f t="shared" si="2"/>
        <v>0</v>
      </c>
      <c r="O285" s="17">
        <f t="shared" si="3"/>
        <v>347737.5</v>
      </c>
      <c r="P285" s="17">
        <f t="shared" si="4"/>
        <v>0</v>
      </c>
      <c r="Q285" s="17">
        <f t="shared" si="5"/>
        <v>0</v>
      </c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</row>
    <row r="286" hidden="1">
      <c r="A286" s="4"/>
      <c r="B286" s="20">
        <v>9.062048878E9</v>
      </c>
      <c r="C286" s="20" t="s">
        <v>268</v>
      </c>
      <c r="D286" s="21" t="s">
        <v>275</v>
      </c>
      <c r="E286" s="13" t="s">
        <v>22</v>
      </c>
      <c r="F286" s="20">
        <v>3750.0</v>
      </c>
      <c r="G286" s="20">
        <v>309375.0</v>
      </c>
      <c r="H286" s="22"/>
      <c r="I286" s="15"/>
      <c r="J286" s="15"/>
      <c r="K286" s="15"/>
      <c r="L286" s="15">
        <v>100.0</v>
      </c>
      <c r="M286" s="4">
        <f t="shared" si="1"/>
        <v>100</v>
      </c>
      <c r="N286" s="17">
        <f t="shared" si="2"/>
        <v>0</v>
      </c>
      <c r="O286" s="17">
        <f t="shared" si="3"/>
        <v>0</v>
      </c>
      <c r="P286" s="17">
        <f t="shared" si="4"/>
        <v>0</v>
      </c>
      <c r="Q286" s="17">
        <f t="shared" si="5"/>
        <v>309375</v>
      </c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</row>
    <row r="287" hidden="1">
      <c r="A287" s="4"/>
      <c r="B287" s="20">
        <v>9.062048878E9</v>
      </c>
      <c r="C287" s="20" t="s">
        <v>268</v>
      </c>
      <c r="D287" s="21" t="s">
        <v>276</v>
      </c>
      <c r="E287" s="13" t="s">
        <v>22</v>
      </c>
      <c r="F287" s="20">
        <v>3209.0</v>
      </c>
      <c r="G287" s="20">
        <v>264742.5</v>
      </c>
      <c r="H287" s="22"/>
      <c r="I287" s="15"/>
      <c r="J287" s="15">
        <v>100.0</v>
      </c>
      <c r="K287" s="15"/>
      <c r="L287" s="15"/>
      <c r="M287" s="4">
        <f t="shared" si="1"/>
        <v>100</v>
      </c>
      <c r="N287" s="17">
        <f t="shared" si="2"/>
        <v>0</v>
      </c>
      <c r="O287" s="17">
        <f t="shared" si="3"/>
        <v>264742.5</v>
      </c>
      <c r="P287" s="17">
        <f t="shared" si="4"/>
        <v>0</v>
      </c>
      <c r="Q287" s="17">
        <f t="shared" si="5"/>
        <v>0</v>
      </c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</row>
    <row r="288" hidden="1">
      <c r="A288" s="4"/>
      <c r="B288" s="20">
        <v>9.062048878E9</v>
      </c>
      <c r="C288" s="20" t="s">
        <v>268</v>
      </c>
      <c r="D288" s="21" t="s">
        <v>277</v>
      </c>
      <c r="E288" s="13" t="s">
        <v>22</v>
      </c>
      <c r="F288" s="20">
        <v>3950.0</v>
      </c>
      <c r="G288" s="20">
        <v>325875.0</v>
      </c>
      <c r="H288" s="22"/>
      <c r="I288" s="15"/>
      <c r="J288" s="15">
        <v>100.0</v>
      </c>
      <c r="K288" s="15"/>
      <c r="L288" s="15"/>
      <c r="M288" s="4">
        <f t="shared" si="1"/>
        <v>100</v>
      </c>
      <c r="N288" s="17">
        <f t="shared" si="2"/>
        <v>0</v>
      </c>
      <c r="O288" s="17">
        <f t="shared" si="3"/>
        <v>325875</v>
      </c>
      <c r="P288" s="17">
        <f t="shared" si="4"/>
        <v>0</v>
      </c>
      <c r="Q288" s="17">
        <f t="shared" si="5"/>
        <v>0</v>
      </c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</row>
    <row r="289" hidden="1">
      <c r="A289" s="4"/>
      <c r="B289" s="20">
        <v>9.062048878E9</v>
      </c>
      <c r="C289" s="20" t="s">
        <v>268</v>
      </c>
      <c r="D289" s="21" t="s">
        <v>278</v>
      </c>
      <c r="E289" s="13" t="s">
        <v>22</v>
      </c>
      <c r="F289" s="20">
        <v>8850.0</v>
      </c>
      <c r="G289" s="20">
        <v>730125.0</v>
      </c>
      <c r="H289" s="22"/>
      <c r="I289" s="15">
        <v>100.0</v>
      </c>
      <c r="J289" s="15"/>
      <c r="K289" s="15"/>
      <c r="L289" s="15"/>
      <c r="M289" s="4">
        <f t="shared" si="1"/>
        <v>100</v>
      </c>
      <c r="N289" s="17">
        <f t="shared" si="2"/>
        <v>730125</v>
      </c>
      <c r="O289" s="17">
        <f t="shared" si="3"/>
        <v>0</v>
      </c>
      <c r="P289" s="17">
        <f t="shared" si="4"/>
        <v>0</v>
      </c>
      <c r="Q289" s="17">
        <f t="shared" si="5"/>
        <v>0</v>
      </c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</row>
    <row r="290" hidden="1">
      <c r="A290" s="4"/>
      <c r="B290" s="20">
        <v>9.062048878E9</v>
      </c>
      <c r="C290" s="20" t="s">
        <v>268</v>
      </c>
      <c r="D290" s="21" t="s">
        <v>279</v>
      </c>
      <c r="E290" s="13" t="s">
        <v>22</v>
      </c>
      <c r="F290" s="20">
        <v>4345.0</v>
      </c>
      <c r="G290" s="20">
        <v>358462.5</v>
      </c>
      <c r="H290" s="22"/>
      <c r="I290" s="16"/>
      <c r="J290" s="15">
        <v>100.0</v>
      </c>
      <c r="K290" s="16"/>
      <c r="L290" s="16"/>
      <c r="M290" s="4">
        <f t="shared" si="1"/>
        <v>100</v>
      </c>
      <c r="N290" s="17">
        <f t="shared" si="2"/>
        <v>0</v>
      </c>
      <c r="O290" s="17">
        <f t="shared" si="3"/>
        <v>358462.5</v>
      </c>
      <c r="P290" s="17">
        <f t="shared" si="4"/>
        <v>0</v>
      </c>
      <c r="Q290" s="17">
        <f t="shared" si="5"/>
        <v>0</v>
      </c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</row>
    <row r="291" hidden="1">
      <c r="A291" s="4"/>
      <c r="B291" s="20">
        <v>9.062048878E9</v>
      </c>
      <c r="C291" s="20" t="s">
        <v>268</v>
      </c>
      <c r="D291" s="21" t="s">
        <v>280</v>
      </c>
      <c r="E291" s="13" t="s">
        <v>22</v>
      </c>
      <c r="F291" s="20">
        <v>5230.0</v>
      </c>
      <c r="G291" s="20">
        <v>431475.0</v>
      </c>
      <c r="H291" s="22"/>
      <c r="I291" s="15">
        <v>100.0</v>
      </c>
      <c r="J291" s="15"/>
      <c r="K291" s="15"/>
      <c r="L291" s="15"/>
      <c r="M291" s="4">
        <f t="shared" si="1"/>
        <v>100</v>
      </c>
      <c r="N291" s="17">
        <f t="shared" si="2"/>
        <v>431475</v>
      </c>
      <c r="O291" s="17">
        <f t="shared" si="3"/>
        <v>0</v>
      </c>
      <c r="P291" s="17">
        <f t="shared" si="4"/>
        <v>0</v>
      </c>
      <c r="Q291" s="17">
        <f t="shared" si="5"/>
        <v>0</v>
      </c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</row>
    <row r="292" hidden="1">
      <c r="A292" s="4"/>
      <c r="B292" s="20">
        <v>9.062048878E9</v>
      </c>
      <c r="C292" s="20" t="s">
        <v>268</v>
      </c>
      <c r="D292" s="21" t="s">
        <v>281</v>
      </c>
      <c r="E292" s="13" t="s">
        <v>22</v>
      </c>
      <c r="F292" s="20">
        <v>4279.0</v>
      </c>
      <c r="G292" s="20">
        <v>353017.5</v>
      </c>
      <c r="H292" s="22"/>
      <c r="I292" s="15"/>
      <c r="J292" s="15">
        <v>100.0</v>
      </c>
      <c r="K292" s="15"/>
      <c r="L292" s="15"/>
      <c r="M292" s="4">
        <f t="shared" si="1"/>
        <v>100</v>
      </c>
      <c r="N292" s="17">
        <f t="shared" si="2"/>
        <v>0</v>
      </c>
      <c r="O292" s="17">
        <f t="shared" si="3"/>
        <v>353017.5</v>
      </c>
      <c r="P292" s="17">
        <f t="shared" si="4"/>
        <v>0</v>
      </c>
      <c r="Q292" s="17">
        <f t="shared" si="5"/>
        <v>0</v>
      </c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</row>
    <row r="293" hidden="1">
      <c r="A293" s="4"/>
      <c r="B293" s="20">
        <v>9.062048878E9</v>
      </c>
      <c r="C293" s="20" t="s">
        <v>268</v>
      </c>
      <c r="D293" s="21" t="s">
        <v>282</v>
      </c>
      <c r="E293" s="13" t="s">
        <v>22</v>
      </c>
      <c r="F293" s="20">
        <v>6760.0</v>
      </c>
      <c r="G293" s="20">
        <v>557700.0</v>
      </c>
      <c r="H293" s="22"/>
      <c r="I293" s="15">
        <v>100.0</v>
      </c>
      <c r="J293" s="15"/>
      <c r="K293" s="15"/>
      <c r="L293" s="15"/>
      <c r="M293" s="4">
        <f t="shared" si="1"/>
        <v>100</v>
      </c>
      <c r="N293" s="17">
        <f t="shared" si="2"/>
        <v>557700</v>
      </c>
      <c r="O293" s="17">
        <f t="shared" si="3"/>
        <v>0</v>
      </c>
      <c r="P293" s="17">
        <f t="shared" si="4"/>
        <v>0</v>
      </c>
      <c r="Q293" s="17">
        <f t="shared" si="5"/>
        <v>0</v>
      </c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</row>
    <row r="294" hidden="1">
      <c r="A294" s="4"/>
      <c r="B294" s="20">
        <v>9.062048878E9</v>
      </c>
      <c r="C294" s="20" t="s">
        <v>268</v>
      </c>
      <c r="D294" s="21" t="s">
        <v>283</v>
      </c>
      <c r="E294" s="13" t="s">
        <v>22</v>
      </c>
      <c r="F294" s="20">
        <v>2100.0</v>
      </c>
      <c r="G294" s="20">
        <v>173250.0</v>
      </c>
      <c r="H294" s="22"/>
      <c r="I294" s="15"/>
      <c r="J294" s="15"/>
      <c r="K294" s="15"/>
      <c r="L294" s="15">
        <v>100.0</v>
      </c>
      <c r="M294" s="4">
        <f t="shared" si="1"/>
        <v>100</v>
      </c>
      <c r="N294" s="17">
        <f t="shared" si="2"/>
        <v>0</v>
      </c>
      <c r="O294" s="17">
        <f t="shared" si="3"/>
        <v>0</v>
      </c>
      <c r="P294" s="17">
        <f t="shared" si="4"/>
        <v>0</v>
      </c>
      <c r="Q294" s="17">
        <f t="shared" si="5"/>
        <v>173250</v>
      </c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</row>
    <row r="295" hidden="1">
      <c r="A295" s="4"/>
      <c r="B295" s="20">
        <v>9.062048878E9</v>
      </c>
      <c r="C295" s="20" t="s">
        <v>268</v>
      </c>
      <c r="D295" s="21" t="s">
        <v>284</v>
      </c>
      <c r="E295" s="13" t="s">
        <v>22</v>
      </c>
      <c r="F295" s="20">
        <v>3000.0</v>
      </c>
      <c r="G295" s="20">
        <v>247500.0</v>
      </c>
      <c r="H295" s="22"/>
      <c r="I295" s="15"/>
      <c r="J295" s="15"/>
      <c r="K295" s="15"/>
      <c r="L295" s="15">
        <v>100.0</v>
      </c>
      <c r="M295" s="4">
        <f t="shared" si="1"/>
        <v>100</v>
      </c>
      <c r="N295" s="17">
        <f t="shared" si="2"/>
        <v>0</v>
      </c>
      <c r="O295" s="17">
        <f t="shared" si="3"/>
        <v>0</v>
      </c>
      <c r="P295" s="17">
        <f t="shared" si="4"/>
        <v>0</v>
      </c>
      <c r="Q295" s="17">
        <f t="shared" si="5"/>
        <v>247500</v>
      </c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</row>
    <row r="296" hidden="1">
      <c r="A296" s="4"/>
      <c r="B296" s="20">
        <v>9.062048878E9</v>
      </c>
      <c r="C296" s="20" t="s">
        <v>268</v>
      </c>
      <c r="D296" s="21" t="s">
        <v>285</v>
      </c>
      <c r="E296" s="13" t="s">
        <v>22</v>
      </c>
      <c r="F296" s="20">
        <v>8508.0</v>
      </c>
      <c r="G296" s="20">
        <v>701910.0</v>
      </c>
      <c r="H296" s="22"/>
      <c r="I296" s="15">
        <v>100.0</v>
      </c>
      <c r="J296" s="15"/>
      <c r="K296" s="15"/>
      <c r="L296" s="15"/>
      <c r="M296" s="4">
        <f t="shared" si="1"/>
        <v>100</v>
      </c>
      <c r="N296" s="17">
        <f t="shared" si="2"/>
        <v>701910</v>
      </c>
      <c r="O296" s="17">
        <f t="shared" si="3"/>
        <v>0</v>
      </c>
      <c r="P296" s="17">
        <f t="shared" si="4"/>
        <v>0</v>
      </c>
      <c r="Q296" s="17">
        <f t="shared" si="5"/>
        <v>0</v>
      </c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</row>
    <row r="297" hidden="1">
      <c r="A297" s="4"/>
      <c r="B297" s="20">
        <v>9.062048878E9</v>
      </c>
      <c r="C297" s="20" t="s">
        <v>268</v>
      </c>
      <c r="D297" s="21" t="s">
        <v>286</v>
      </c>
      <c r="E297" s="13" t="s">
        <v>22</v>
      </c>
      <c r="F297" s="20">
        <v>9071.0</v>
      </c>
      <c r="G297" s="20">
        <v>748357.5</v>
      </c>
      <c r="H297" s="22"/>
      <c r="I297" s="15"/>
      <c r="J297" s="15">
        <v>100.0</v>
      </c>
      <c r="K297" s="15"/>
      <c r="L297" s="15"/>
      <c r="M297" s="4">
        <f t="shared" si="1"/>
        <v>100</v>
      </c>
      <c r="N297" s="17">
        <f t="shared" si="2"/>
        <v>0</v>
      </c>
      <c r="O297" s="17">
        <f t="shared" si="3"/>
        <v>748357.5</v>
      </c>
      <c r="P297" s="17">
        <f t="shared" si="4"/>
        <v>0</v>
      </c>
      <c r="Q297" s="17">
        <f t="shared" si="5"/>
        <v>0</v>
      </c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</row>
    <row r="298" hidden="1">
      <c r="A298" s="4"/>
      <c r="B298" s="20">
        <v>9.062048878E9</v>
      </c>
      <c r="C298" s="20" t="s">
        <v>268</v>
      </c>
      <c r="D298" s="21" t="s">
        <v>287</v>
      </c>
      <c r="E298" s="13" t="s">
        <v>22</v>
      </c>
      <c r="F298" s="20">
        <v>7000.0</v>
      </c>
      <c r="G298" s="20">
        <v>577500.0</v>
      </c>
      <c r="H298" s="22"/>
      <c r="I298" s="15"/>
      <c r="J298" s="15"/>
      <c r="K298" s="15">
        <v>100.0</v>
      </c>
      <c r="L298" s="15"/>
      <c r="M298" s="4">
        <f t="shared" si="1"/>
        <v>100</v>
      </c>
      <c r="N298" s="17">
        <f t="shared" si="2"/>
        <v>0</v>
      </c>
      <c r="O298" s="17">
        <f t="shared" si="3"/>
        <v>0</v>
      </c>
      <c r="P298" s="17">
        <f t="shared" si="4"/>
        <v>577500</v>
      </c>
      <c r="Q298" s="17">
        <f t="shared" si="5"/>
        <v>0</v>
      </c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</row>
    <row r="299" hidden="1">
      <c r="A299" s="4"/>
      <c r="B299" s="20">
        <v>9.062048878E9</v>
      </c>
      <c r="C299" s="20" t="s">
        <v>268</v>
      </c>
      <c r="D299" s="21" t="s">
        <v>288</v>
      </c>
      <c r="E299" s="13" t="s">
        <v>22</v>
      </c>
      <c r="F299" s="20">
        <v>8850.0</v>
      </c>
      <c r="G299" s="20">
        <v>730125.0</v>
      </c>
      <c r="H299" s="22"/>
      <c r="I299" s="15">
        <v>100.0</v>
      </c>
      <c r="J299" s="15"/>
      <c r="K299" s="15"/>
      <c r="L299" s="15"/>
      <c r="M299" s="4">
        <f t="shared" si="1"/>
        <v>100</v>
      </c>
      <c r="N299" s="17">
        <f t="shared" si="2"/>
        <v>730125</v>
      </c>
      <c r="O299" s="17">
        <f t="shared" si="3"/>
        <v>0</v>
      </c>
      <c r="P299" s="17">
        <f t="shared" si="4"/>
        <v>0</v>
      </c>
      <c r="Q299" s="17">
        <f t="shared" si="5"/>
        <v>0</v>
      </c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</row>
    <row r="300" hidden="1">
      <c r="A300" s="4"/>
      <c r="B300" s="20">
        <v>9.062048878E9</v>
      </c>
      <c r="C300" s="20" t="s">
        <v>268</v>
      </c>
      <c r="D300" s="21" t="s">
        <v>289</v>
      </c>
      <c r="E300" s="13" t="s">
        <v>22</v>
      </c>
      <c r="F300" s="20">
        <v>5914.0</v>
      </c>
      <c r="G300" s="20">
        <v>487905.0</v>
      </c>
      <c r="H300" s="22"/>
      <c r="I300" s="15"/>
      <c r="J300" s="15">
        <v>100.0</v>
      </c>
      <c r="K300" s="15"/>
      <c r="L300" s="15"/>
      <c r="M300" s="4">
        <f t="shared" si="1"/>
        <v>100</v>
      </c>
      <c r="N300" s="17">
        <f t="shared" si="2"/>
        <v>0</v>
      </c>
      <c r="O300" s="17">
        <f t="shared" si="3"/>
        <v>487905</v>
      </c>
      <c r="P300" s="17">
        <f t="shared" si="4"/>
        <v>0</v>
      </c>
      <c r="Q300" s="17">
        <f t="shared" si="5"/>
        <v>0</v>
      </c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</row>
    <row r="301" hidden="1">
      <c r="A301" s="4"/>
      <c r="B301" s="20">
        <v>9.062048878E9</v>
      </c>
      <c r="C301" s="20" t="s">
        <v>268</v>
      </c>
      <c r="D301" s="21" t="s">
        <v>290</v>
      </c>
      <c r="E301" s="13" t="s">
        <v>22</v>
      </c>
      <c r="F301" s="20">
        <v>8300.0</v>
      </c>
      <c r="G301" s="20">
        <v>684750.0</v>
      </c>
      <c r="H301" s="22"/>
      <c r="I301" s="15">
        <v>100.0</v>
      </c>
      <c r="J301" s="15"/>
      <c r="K301" s="15"/>
      <c r="L301" s="15"/>
      <c r="M301" s="4">
        <f t="shared" si="1"/>
        <v>100</v>
      </c>
      <c r="N301" s="17">
        <f t="shared" si="2"/>
        <v>684750</v>
      </c>
      <c r="O301" s="17">
        <f t="shared" si="3"/>
        <v>0</v>
      </c>
      <c r="P301" s="17">
        <f t="shared" si="4"/>
        <v>0</v>
      </c>
      <c r="Q301" s="17">
        <f t="shared" si="5"/>
        <v>0</v>
      </c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</row>
    <row r="302" hidden="1">
      <c r="A302" s="4"/>
      <c r="B302" s="20">
        <v>9.062048878E9</v>
      </c>
      <c r="C302" s="20" t="s">
        <v>268</v>
      </c>
      <c r="D302" s="21" t="s">
        <v>291</v>
      </c>
      <c r="E302" s="13" t="s">
        <v>22</v>
      </c>
      <c r="F302" s="20">
        <v>8265.0</v>
      </c>
      <c r="G302" s="20">
        <v>681862.5</v>
      </c>
      <c r="H302" s="22"/>
      <c r="I302" s="15">
        <v>100.0</v>
      </c>
      <c r="J302" s="15"/>
      <c r="K302" s="15"/>
      <c r="L302" s="15"/>
      <c r="M302" s="4">
        <f t="shared" si="1"/>
        <v>100</v>
      </c>
      <c r="N302" s="17">
        <f t="shared" si="2"/>
        <v>681862.5</v>
      </c>
      <c r="O302" s="17">
        <f t="shared" si="3"/>
        <v>0</v>
      </c>
      <c r="P302" s="17">
        <f t="shared" si="4"/>
        <v>0</v>
      </c>
      <c r="Q302" s="17">
        <f t="shared" si="5"/>
        <v>0</v>
      </c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</row>
    <row r="303" hidden="1">
      <c r="A303" s="4"/>
      <c r="B303" s="20">
        <v>9.062048878E9</v>
      </c>
      <c r="C303" s="20" t="s">
        <v>268</v>
      </c>
      <c r="D303" s="21" t="s">
        <v>292</v>
      </c>
      <c r="E303" s="13" t="s">
        <v>22</v>
      </c>
      <c r="F303" s="20">
        <v>6760.0</v>
      </c>
      <c r="G303" s="20">
        <v>557700.0</v>
      </c>
      <c r="H303" s="22"/>
      <c r="I303" s="15">
        <v>100.0</v>
      </c>
      <c r="J303" s="15"/>
      <c r="K303" s="15"/>
      <c r="L303" s="15"/>
      <c r="M303" s="4">
        <f t="shared" si="1"/>
        <v>100</v>
      </c>
      <c r="N303" s="17">
        <f t="shared" si="2"/>
        <v>557700</v>
      </c>
      <c r="O303" s="17">
        <f t="shared" si="3"/>
        <v>0</v>
      </c>
      <c r="P303" s="17">
        <f t="shared" si="4"/>
        <v>0</v>
      </c>
      <c r="Q303" s="17">
        <f t="shared" si="5"/>
        <v>0</v>
      </c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</row>
    <row r="304" hidden="1">
      <c r="A304" s="4"/>
      <c r="B304" s="20">
        <v>9.062048878E9</v>
      </c>
      <c r="C304" s="20" t="s">
        <v>268</v>
      </c>
      <c r="D304" s="21" t="s">
        <v>293</v>
      </c>
      <c r="E304" s="13" t="s">
        <v>22</v>
      </c>
      <c r="F304" s="20">
        <v>4213.0</v>
      </c>
      <c r="G304" s="20">
        <v>347572.5</v>
      </c>
      <c r="H304" s="22"/>
      <c r="I304" s="15"/>
      <c r="J304" s="15">
        <v>100.0</v>
      </c>
      <c r="K304" s="15"/>
      <c r="L304" s="15"/>
      <c r="M304" s="4">
        <f t="shared" si="1"/>
        <v>100</v>
      </c>
      <c r="N304" s="17">
        <f t="shared" si="2"/>
        <v>0</v>
      </c>
      <c r="O304" s="17">
        <f t="shared" si="3"/>
        <v>347572.5</v>
      </c>
      <c r="P304" s="17">
        <f t="shared" si="4"/>
        <v>0</v>
      </c>
      <c r="Q304" s="17">
        <f t="shared" si="5"/>
        <v>0</v>
      </c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</row>
    <row r="305" hidden="1">
      <c r="A305" s="4"/>
      <c r="B305" s="20">
        <v>9.062048878E9</v>
      </c>
      <c r="C305" s="20" t="s">
        <v>268</v>
      </c>
      <c r="D305" s="21" t="s">
        <v>294</v>
      </c>
      <c r="E305" s="13" t="s">
        <v>22</v>
      </c>
      <c r="F305" s="20">
        <v>6667.0</v>
      </c>
      <c r="G305" s="20">
        <v>550027.5</v>
      </c>
      <c r="H305" s="22"/>
      <c r="I305" s="15"/>
      <c r="J305" s="15"/>
      <c r="K305" s="15">
        <v>100.0</v>
      </c>
      <c r="L305" s="15"/>
      <c r="M305" s="4">
        <f t="shared" si="1"/>
        <v>100</v>
      </c>
      <c r="N305" s="17">
        <f t="shared" si="2"/>
        <v>0</v>
      </c>
      <c r="O305" s="17">
        <f t="shared" si="3"/>
        <v>0</v>
      </c>
      <c r="P305" s="17">
        <f t="shared" si="4"/>
        <v>550027.5</v>
      </c>
      <c r="Q305" s="17">
        <f t="shared" si="5"/>
        <v>0</v>
      </c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</row>
    <row r="306" hidden="1">
      <c r="A306" s="4"/>
      <c r="B306" s="20">
        <v>9.062048878E9</v>
      </c>
      <c r="C306" s="20" t="s">
        <v>268</v>
      </c>
      <c r="D306" s="21" t="s">
        <v>295</v>
      </c>
      <c r="E306" s="13" t="s">
        <v>22</v>
      </c>
      <c r="F306" s="20">
        <v>6760.0</v>
      </c>
      <c r="G306" s="20">
        <v>557700.0</v>
      </c>
      <c r="H306" s="22"/>
      <c r="I306" s="15">
        <v>100.0</v>
      </c>
      <c r="J306" s="15"/>
      <c r="K306" s="15"/>
      <c r="L306" s="15"/>
      <c r="M306" s="4">
        <f t="shared" si="1"/>
        <v>100</v>
      </c>
      <c r="N306" s="17">
        <f t="shared" si="2"/>
        <v>557700</v>
      </c>
      <c r="O306" s="17">
        <f t="shared" si="3"/>
        <v>0</v>
      </c>
      <c r="P306" s="17">
        <f t="shared" si="4"/>
        <v>0</v>
      </c>
      <c r="Q306" s="17">
        <f t="shared" si="5"/>
        <v>0</v>
      </c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</row>
    <row r="307" hidden="1">
      <c r="A307" s="4"/>
      <c r="B307" s="20">
        <v>9.062048878E9</v>
      </c>
      <c r="C307" s="20" t="s">
        <v>268</v>
      </c>
      <c r="D307" s="21" t="s">
        <v>296</v>
      </c>
      <c r="E307" s="13" t="s">
        <v>22</v>
      </c>
      <c r="F307" s="20">
        <v>6777.0</v>
      </c>
      <c r="G307" s="20">
        <v>559102.5</v>
      </c>
      <c r="H307" s="22"/>
      <c r="I307" s="15"/>
      <c r="J307" s="15">
        <v>100.0</v>
      </c>
      <c r="K307" s="15"/>
      <c r="L307" s="15"/>
      <c r="M307" s="4">
        <f t="shared" si="1"/>
        <v>100</v>
      </c>
      <c r="N307" s="17">
        <f t="shared" si="2"/>
        <v>0</v>
      </c>
      <c r="O307" s="17">
        <f t="shared" si="3"/>
        <v>559102.5</v>
      </c>
      <c r="P307" s="17">
        <f t="shared" si="4"/>
        <v>0</v>
      </c>
      <c r="Q307" s="17">
        <f t="shared" si="5"/>
        <v>0</v>
      </c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</row>
    <row r="308" hidden="1">
      <c r="A308" s="4"/>
      <c r="B308" s="20">
        <v>9.062048878E9</v>
      </c>
      <c r="C308" s="20" t="s">
        <v>268</v>
      </c>
      <c r="D308" s="21" t="s">
        <v>297</v>
      </c>
      <c r="E308" s="13" t="s">
        <v>22</v>
      </c>
      <c r="F308" s="20">
        <v>5003.0</v>
      </c>
      <c r="G308" s="20">
        <v>412747.5</v>
      </c>
      <c r="H308" s="22"/>
      <c r="I308" s="15"/>
      <c r="J308" s="15">
        <v>100.0</v>
      </c>
      <c r="K308" s="15"/>
      <c r="L308" s="15"/>
      <c r="M308" s="4">
        <f t="shared" si="1"/>
        <v>100</v>
      </c>
      <c r="N308" s="17">
        <f t="shared" si="2"/>
        <v>0</v>
      </c>
      <c r="O308" s="17">
        <f t="shared" si="3"/>
        <v>412747.5</v>
      </c>
      <c r="P308" s="17">
        <f t="shared" si="4"/>
        <v>0</v>
      </c>
      <c r="Q308" s="17">
        <f t="shared" si="5"/>
        <v>0</v>
      </c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</row>
    <row r="309" hidden="1">
      <c r="A309" s="4"/>
      <c r="B309" s="20">
        <v>9.062048547E9</v>
      </c>
      <c r="C309" s="23">
        <v>45116.0</v>
      </c>
      <c r="D309" s="21" t="s">
        <v>298</v>
      </c>
      <c r="E309" s="13" t="s">
        <v>254</v>
      </c>
      <c r="F309" s="20">
        <v>17000.0</v>
      </c>
      <c r="G309" s="20">
        <v>1402500.0</v>
      </c>
      <c r="H309" s="22"/>
      <c r="I309" s="15"/>
      <c r="J309" s="15">
        <v>100.0</v>
      </c>
      <c r="K309" s="15"/>
      <c r="L309" s="15"/>
      <c r="M309" s="4">
        <f t="shared" si="1"/>
        <v>100</v>
      </c>
      <c r="N309" s="17">
        <f t="shared" si="2"/>
        <v>0</v>
      </c>
      <c r="O309" s="17">
        <f t="shared" si="3"/>
        <v>1402500</v>
      </c>
      <c r="P309" s="17">
        <f t="shared" si="4"/>
        <v>0</v>
      </c>
      <c r="Q309" s="17">
        <f t="shared" si="5"/>
        <v>0</v>
      </c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</row>
    <row r="310" hidden="1">
      <c r="A310" s="4"/>
      <c r="B310" s="20">
        <v>9.062048581E9</v>
      </c>
      <c r="C310" s="23">
        <v>45269.0</v>
      </c>
      <c r="D310" s="21" t="s">
        <v>299</v>
      </c>
      <c r="E310" s="13" t="s">
        <v>262</v>
      </c>
      <c r="F310" s="20">
        <v>65000.0</v>
      </c>
      <c r="G310" s="20">
        <v>5362500.0</v>
      </c>
      <c r="H310" s="22"/>
      <c r="I310" s="15">
        <v>100.0</v>
      </c>
      <c r="J310" s="15"/>
      <c r="K310" s="15"/>
      <c r="L310" s="15"/>
      <c r="M310" s="4">
        <f t="shared" si="1"/>
        <v>100</v>
      </c>
      <c r="N310" s="17">
        <f t="shared" si="2"/>
        <v>5362500</v>
      </c>
      <c r="O310" s="17">
        <f t="shared" si="3"/>
        <v>0</v>
      </c>
      <c r="P310" s="17">
        <f t="shared" si="4"/>
        <v>0</v>
      </c>
      <c r="Q310" s="17">
        <f t="shared" si="5"/>
        <v>0</v>
      </c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</row>
    <row r="311" hidden="1">
      <c r="A311" s="4"/>
      <c r="B311" s="20">
        <v>9.062048581E9</v>
      </c>
      <c r="C311" s="23">
        <v>45269.0</v>
      </c>
      <c r="D311" s="21" t="s">
        <v>300</v>
      </c>
      <c r="E311" s="13" t="s">
        <v>262</v>
      </c>
      <c r="F311" s="20">
        <v>5000.0</v>
      </c>
      <c r="G311" s="20">
        <v>412500.0</v>
      </c>
      <c r="H311" s="22"/>
      <c r="I311" s="15">
        <v>100.0</v>
      </c>
      <c r="J311" s="15"/>
      <c r="K311" s="15"/>
      <c r="L311" s="15"/>
      <c r="M311" s="4">
        <f t="shared" si="1"/>
        <v>100</v>
      </c>
      <c r="N311" s="17">
        <f t="shared" si="2"/>
        <v>412500</v>
      </c>
      <c r="O311" s="17">
        <f t="shared" si="3"/>
        <v>0</v>
      </c>
      <c r="P311" s="17">
        <f t="shared" si="4"/>
        <v>0</v>
      </c>
      <c r="Q311" s="17">
        <f t="shared" si="5"/>
        <v>0</v>
      </c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</row>
    <row r="312" hidden="1">
      <c r="A312" s="4"/>
      <c r="B312" s="20">
        <v>9.062048581E9</v>
      </c>
      <c r="C312" s="23">
        <v>45269.0</v>
      </c>
      <c r="D312" s="21" t="s">
        <v>301</v>
      </c>
      <c r="E312" s="13" t="s">
        <v>262</v>
      </c>
      <c r="F312" s="20">
        <v>19000.0</v>
      </c>
      <c r="G312" s="20">
        <v>1567500.0</v>
      </c>
      <c r="H312" s="22"/>
      <c r="I312" s="15">
        <v>100.0</v>
      </c>
      <c r="J312" s="15"/>
      <c r="K312" s="15"/>
      <c r="L312" s="15"/>
      <c r="M312" s="4">
        <f t="shared" si="1"/>
        <v>100</v>
      </c>
      <c r="N312" s="17">
        <f t="shared" si="2"/>
        <v>1567500</v>
      </c>
      <c r="O312" s="17">
        <f t="shared" si="3"/>
        <v>0</v>
      </c>
      <c r="P312" s="17">
        <f t="shared" si="4"/>
        <v>0</v>
      </c>
      <c r="Q312" s="17">
        <f t="shared" si="5"/>
        <v>0</v>
      </c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</row>
    <row r="313" hidden="1">
      <c r="A313" s="4"/>
      <c r="B313" s="20">
        <v>9.062048581E9</v>
      </c>
      <c r="C313" s="23">
        <v>45269.0</v>
      </c>
      <c r="D313" s="21" t="s">
        <v>302</v>
      </c>
      <c r="E313" s="13" t="s">
        <v>262</v>
      </c>
      <c r="F313" s="20">
        <v>10000.0</v>
      </c>
      <c r="G313" s="20">
        <v>825000.0</v>
      </c>
      <c r="H313" s="22"/>
      <c r="I313" s="15">
        <v>100.0</v>
      </c>
      <c r="J313" s="15"/>
      <c r="K313" s="15"/>
      <c r="L313" s="15"/>
      <c r="M313" s="4">
        <f t="shared" si="1"/>
        <v>100</v>
      </c>
      <c r="N313" s="17">
        <f t="shared" si="2"/>
        <v>825000</v>
      </c>
      <c r="O313" s="17">
        <f t="shared" si="3"/>
        <v>0</v>
      </c>
      <c r="P313" s="17">
        <f t="shared" si="4"/>
        <v>0</v>
      </c>
      <c r="Q313" s="17">
        <f t="shared" si="5"/>
        <v>0</v>
      </c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</row>
    <row r="314" hidden="1">
      <c r="A314" s="4"/>
      <c r="B314" s="20">
        <v>9.062048581E9</v>
      </c>
      <c r="C314" s="23">
        <v>45269.0</v>
      </c>
      <c r="D314" s="21" t="s">
        <v>303</v>
      </c>
      <c r="E314" s="13" t="s">
        <v>262</v>
      </c>
      <c r="F314" s="20">
        <v>10000.0</v>
      </c>
      <c r="G314" s="20">
        <v>825000.0</v>
      </c>
      <c r="H314" s="22"/>
      <c r="I314" s="15">
        <v>100.0</v>
      </c>
      <c r="J314" s="15"/>
      <c r="K314" s="15"/>
      <c r="L314" s="15"/>
      <c r="M314" s="4">
        <f t="shared" si="1"/>
        <v>100</v>
      </c>
      <c r="N314" s="17">
        <f t="shared" si="2"/>
        <v>825000</v>
      </c>
      <c r="O314" s="17">
        <f t="shared" si="3"/>
        <v>0</v>
      </c>
      <c r="P314" s="17">
        <f t="shared" si="4"/>
        <v>0</v>
      </c>
      <c r="Q314" s="17">
        <f t="shared" si="5"/>
        <v>0</v>
      </c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</row>
    <row r="315" hidden="1">
      <c r="A315" s="4"/>
      <c r="B315" s="20">
        <v>9.062048581E9</v>
      </c>
      <c r="C315" s="23">
        <v>45269.0</v>
      </c>
      <c r="D315" s="21" t="s">
        <v>304</v>
      </c>
      <c r="E315" s="13" t="s">
        <v>262</v>
      </c>
      <c r="F315" s="20">
        <v>19000.0</v>
      </c>
      <c r="G315" s="20">
        <v>1567500.0</v>
      </c>
      <c r="H315" s="22"/>
      <c r="I315" s="15">
        <v>100.0</v>
      </c>
      <c r="J315" s="15"/>
      <c r="K315" s="15"/>
      <c r="L315" s="15"/>
      <c r="M315" s="4">
        <f t="shared" si="1"/>
        <v>100</v>
      </c>
      <c r="N315" s="17">
        <f t="shared" si="2"/>
        <v>1567500</v>
      </c>
      <c r="O315" s="17">
        <f t="shared" si="3"/>
        <v>0</v>
      </c>
      <c r="P315" s="17">
        <f t="shared" si="4"/>
        <v>0</v>
      </c>
      <c r="Q315" s="17">
        <f t="shared" si="5"/>
        <v>0</v>
      </c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</row>
    <row r="316" hidden="1">
      <c r="A316" s="4"/>
      <c r="B316" s="20">
        <v>9.062048547E9</v>
      </c>
      <c r="C316" s="23">
        <v>37449.0</v>
      </c>
      <c r="D316" s="21" t="s">
        <v>305</v>
      </c>
      <c r="E316" s="13" t="s">
        <v>254</v>
      </c>
      <c r="F316" s="20">
        <v>19000.0</v>
      </c>
      <c r="G316" s="20">
        <v>1567500.0</v>
      </c>
      <c r="H316" s="22"/>
      <c r="I316" s="15"/>
      <c r="J316" s="15">
        <v>100.0</v>
      </c>
      <c r="K316" s="15"/>
      <c r="L316" s="15"/>
      <c r="M316" s="4">
        <f t="shared" si="1"/>
        <v>100</v>
      </c>
      <c r="N316" s="17">
        <f t="shared" si="2"/>
        <v>0</v>
      </c>
      <c r="O316" s="17">
        <f t="shared" si="3"/>
        <v>1567500</v>
      </c>
      <c r="P316" s="17">
        <f t="shared" si="4"/>
        <v>0</v>
      </c>
      <c r="Q316" s="17">
        <f t="shared" si="5"/>
        <v>0</v>
      </c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</row>
    <row r="317" hidden="1">
      <c r="A317" s="4"/>
      <c r="B317" s="28" t="s">
        <v>306</v>
      </c>
      <c r="C317" s="28" t="s">
        <v>306</v>
      </c>
      <c r="D317" s="29" t="s">
        <v>307</v>
      </c>
      <c r="E317" s="30" t="s">
        <v>22</v>
      </c>
      <c r="F317" s="31">
        <v>5530.0</v>
      </c>
      <c r="G317" s="32">
        <f t="shared" ref="G317:G421" si="6">F317*82.5</f>
        <v>456225</v>
      </c>
      <c r="H317" s="33"/>
      <c r="I317" s="34">
        <v>0.0</v>
      </c>
      <c r="J317" s="15">
        <v>100.0</v>
      </c>
      <c r="K317" s="34"/>
      <c r="L317" s="34"/>
      <c r="M317" s="4"/>
      <c r="N317" s="17">
        <f t="shared" si="2"/>
        <v>0</v>
      </c>
      <c r="O317" s="17">
        <f t="shared" si="3"/>
        <v>456225</v>
      </c>
      <c r="P317" s="17">
        <f t="shared" si="4"/>
        <v>0</v>
      </c>
      <c r="Q317" s="17">
        <f t="shared" si="5"/>
        <v>0</v>
      </c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</row>
    <row r="318" hidden="1">
      <c r="A318" s="4"/>
      <c r="B318" s="28" t="s">
        <v>306</v>
      </c>
      <c r="C318" s="28" t="s">
        <v>306</v>
      </c>
      <c r="D318" s="35" t="s">
        <v>308</v>
      </c>
      <c r="E318" s="30" t="s">
        <v>22</v>
      </c>
      <c r="F318" s="36">
        <v>6900.0</v>
      </c>
      <c r="G318" s="32">
        <f t="shared" si="6"/>
        <v>569250</v>
      </c>
      <c r="H318" s="33"/>
      <c r="I318" s="34"/>
      <c r="J318" s="15">
        <v>100.0</v>
      </c>
      <c r="K318" s="34"/>
      <c r="L318" s="34"/>
      <c r="M318" s="4"/>
      <c r="N318" s="17">
        <f t="shared" si="2"/>
        <v>0</v>
      </c>
      <c r="O318" s="17">
        <f t="shared" si="3"/>
        <v>569250</v>
      </c>
      <c r="P318" s="17">
        <f t="shared" si="4"/>
        <v>0</v>
      </c>
      <c r="Q318" s="17">
        <f t="shared" si="5"/>
        <v>0</v>
      </c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</row>
    <row r="319" hidden="1">
      <c r="A319" s="4"/>
      <c r="B319" s="28" t="s">
        <v>306</v>
      </c>
      <c r="C319" s="28" t="s">
        <v>306</v>
      </c>
      <c r="D319" s="35" t="s">
        <v>309</v>
      </c>
      <c r="E319" s="30" t="s">
        <v>22</v>
      </c>
      <c r="F319" s="36">
        <v>6900.0</v>
      </c>
      <c r="G319" s="32">
        <f t="shared" si="6"/>
        <v>569250</v>
      </c>
      <c r="H319" s="33"/>
      <c r="I319" s="34"/>
      <c r="J319" s="15">
        <v>100.0</v>
      </c>
      <c r="K319" s="34"/>
      <c r="L319" s="34"/>
      <c r="M319" s="4"/>
      <c r="N319" s="17">
        <f t="shared" si="2"/>
        <v>0</v>
      </c>
      <c r="O319" s="17">
        <f t="shared" si="3"/>
        <v>569250</v>
      </c>
      <c r="P319" s="17">
        <f t="shared" si="4"/>
        <v>0</v>
      </c>
      <c r="Q319" s="17">
        <f t="shared" si="5"/>
        <v>0</v>
      </c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</row>
    <row r="320" hidden="1">
      <c r="A320" s="4"/>
      <c r="B320" s="28" t="s">
        <v>306</v>
      </c>
      <c r="C320" s="28" t="s">
        <v>306</v>
      </c>
      <c r="D320" s="35" t="s">
        <v>310</v>
      </c>
      <c r="E320" s="30" t="s">
        <v>22</v>
      </c>
      <c r="F320" s="36">
        <v>10800.0</v>
      </c>
      <c r="G320" s="32">
        <f t="shared" si="6"/>
        <v>891000</v>
      </c>
      <c r="H320" s="33"/>
      <c r="I320" s="34"/>
      <c r="J320" s="15">
        <v>100.0</v>
      </c>
      <c r="K320" s="34"/>
      <c r="L320" s="34"/>
      <c r="M320" s="4"/>
      <c r="N320" s="17">
        <f t="shared" si="2"/>
        <v>0</v>
      </c>
      <c r="O320" s="17">
        <f t="shared" si="3"/>
        <v>891000</v>
      </c>
      <c r="P320" s="17">
        <f t="shared" si="4"/>
        <v>0</v>
      </c>
      <c r="Q320" s="17">
        <f t="shared" si="5"/>
        <v>0</v>
      </c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</row>
    <row r="321" hidden="1">
      <c r="A321" s="4"/>
      <c r="B321" s="28" t="s">
        <v>306</v>
      </c>
      <c r="C321" s="28" t="s">
        <v>306</v>
      </c>
      <c r="D321" s="35" t="s">
        <v>311</v>
      </c>
      <c r="E321" s="30" t="s">
        <v>22</v>
      </c>
      <c r="F321" s="36">
        <v>5530.0</v>
      </c>
      <c r="G321" s="32">
        <f t="shared" si="6"/>
        <v>456225</v>
      </c>
      <c r="H321" s="33"/>
      <c r="I321" s="34"/>
      <c r="J321" s="15">
        <v>100.0</v>
      </c>
      <c r="K321" s="34"/>
      <c r="L321" s="34"/>
      <c r="M321" s="4"/>
      <c r="N321" s="17">
        <f t="shared" si="2"/>
        <v>0</v>
      </c>
      <c r="O321" s="17">
        <f t="shared" si="3"/>
        <v>456225</v>
      </c>
      <c r="P321" s="17">
        <f t="shared" si="4"/>
        <v>0</v>
      </c>
      <c r="Q321" s="17">
        <f t="shared" si="5"/>
        <v>0</v>
      </c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</row>
    <row r="322" hidden="1">
      <c r="A322" s="4"/>
      <c r="B322" s="28" t="s">
        <v>306</v>
      </c>
      <c r="C322" s="28" t="s">
        <v>306</v>
      </c>
      <c r="D322" s="35" t="s">
        <v>312</v>
      </c>
      <c r="E322" s="30" t="s">
        <v>22</v>
      </c>
      <c r="F322" s="36">
        <v>5530.0</v>
      </c>
      <c r="G322" s="32">
        <f t="shared" si="6"/>
        <v>456225</v>
      </c>
      <c r="H322" s="33"/>
      <c r="I322" s="34"/>
      <c r="J322" s="15">
        <v>100.0</v>
      </c>
      <c r="K322" s="34"/>
      <c r="L322" s="34"/>
      <c r="M322" s="4"/>
      <c r="N322" s="17">
        <f t="shared" si="2"/>
        <v>0</v>
      </c>
      <c r="O322" s="17">
        <f t="shared" si="3"/>
        <v>456225</v>
      </c>
      <c r="P322" s="17">
        <f t="shared" si="4"/>
        <v>0</v>
      </c>
      <c r="Q322" s="17">
        <f t="shared" si="5"/>
        <v>0</v>
      </c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</row>
    <row r="323" hidden="1">
      <c r="A323" s="4"/>
      <c r="B323" s="28" t="s">
        <v>306</v>
      </c>
      <c r="C323" s="28" t="s">
        <v>306</v>
      </c>
      <c r="D323" s="35" t="s">
        <v>313</v>
      </c>
      <c r="E323" s="30" t="s">
        <v>22</v>
      </c>
      <c r="F323" s="36">
        <v>5530.0</v>
      </c>
      <c r="G323" s="32">
        <f t="shared" si="6"/>
        <v>456225</v>
      </c>
      <c r="H323" s="33"/>
      <c r="I323" s="34"/>
      <c r="J323" s="15">
        <v>100.0</v>
      </c>
      <c r="K323" s="34"/>
      <c r="L323" s="34"/>
      <c r="M323" s="4"/>
      <c r="N323" s="17">
        <f t="shared" si="2"/>
        <v>0</v>
      </c>
      <c r="O323" s="17">
        <f t="shared" si="3"/>
        <v>456225</v>
      </c>
      <c r="P323" s="17">
        <f t="shared" si="4"/>
        <v>0</v>
      </c>
      <c r="Q323" s="17">
        <f t="shared" si="5"/>
        <v>0</v>
      </c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</row>
    <row r="324" hidden="1">
      <c r="A324" s="4"/>
      <c r="B324" s="28" t="s">
        <v>306</v>
      </c>
      <c r="C324" s="28" t="s">
        <v>306</v>
      </c>
      <c r="D324" s="35" t="s">
        <v>314</v>
      </c>
      <c r="E324" s="30" t="s">
        <v>22</v>
      </c>
      <c r="F324" s="36">
        <v>5530.0</v>
      </c>
      <c r="G324" s="32">
        <f t="shared" si="6"/>
        <v>456225</v>
      </c>
      <c r="H324" s="33"/>
      <c r="I324" s="34"/>
      <c r="J324" s="15">
        <v>100.0</v>
      </c>
      <c r="K324" s="34"/>
      <c r="L324" s="34"/>
      <c r="M324" s="4"/>
      <c r="N324" s="17">
        <f t="shared" si="2"/>
        <v>0</v>
      </c>
      <c r="O324" s="17">
        <f t="shared" si="3"/>
        <v>456225</v>
      </c>
      <c r="P324" s="17">
        <f t="shared" si="4"/>
        <v>0</v>
      </c>
      <c r="Q324" s="17">
        <f t="shared" si="5"/>
        <v>0</v>
      </c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</row>
    <row r="325" hidden="1">
      <c r="A325" s="4"/>
      <c r="B325" s="28" t="s">
        <v>306</v>
      </c>
      <c r="C325" s="28" t="s">
        <v>306</v>
      </c>
      <c r="D325" s="35" t="s">
        <v>315</v>
      </c>
      <c r="E325" s="30" t="s">
        <v>22</v>
      </c>
      <c r="F325" s="36">
        <v>5530.0</v>
      </c>
      <c r="G325" s="32">
        <f t="shared" si="6"/>
        <v>456225</v>
      </c>
      <c r="H325" s="33"/>
      <c r="I325" s="34"/>
      <c r="J325" s="15">
        <v>100.0</v>
      </c>
      <c r="K325" s="34"/>
      <c r="L325" s="34"/>
      <c r="M325" s="4"/>
      <c r="N325" s="17">
        <f t="shared" si="2"/>
        <v>0</v>
      </c>
      <c r="O325" s="17">
        <f t="shared" si="3"/>
        <v>456225</v>
      </c>
      <c r="P325" s="17">
        <f t="shared" si="4"/>
        <v>0</v>
      </c>
      <c r="Q325" s="17">
        <f t="shared" si="5"/>
        <v>0</v>
      </c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</row>
    <row r="326" hidden="1">
      <c r="A326" s="4"/>
      <c r="B326" s="28" t="s">
        <v>306</v>
      </c>
      <c r="C326" s="28" t="s">
        <v>306</v>
      </c>
      <c r="D326" s="35" t="s">
        <v>316</v>
      </c>
      <c r="E326" s="30" t="s">
        <v>22</v>
      </c>
      <c r="F326" s="36">
        <v>5530.0</v>
      </c>
      <c r="G326" s="32">
        <f t="shared" si="6"/>
        <v>456225</v>
      </c>
      <c r="H326" s="33"/>
      <c r="I326" s="34"/>
      <c r="J326" s="15">
        <v>100.0</v>
      </c>
      <c r="K326" s="34"/>
      <c r="L326" s="34"/>
      <c r="M326" s="4"/>
      <c r="N326" s="17">
        <f t="shared" si="2"/>
        <v>0</v>
      </c>
      <c r="O326" s="17">
        <f t="shared" si="3"/>
        <v>456225</v>
      </c>
      <c r="P326" s="17">
        <f t="shared" si="4"/>
        <v>0</v>
      </c>
      <c r="Q326" s="17">
        <f t="shared" si="5"/>
        <v>0</v>
      </c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</row>
    <row r="327" hidden="1">
      <c r="A327" s="4"/>
      <c r="B327" s="28" t="s">
        <v>306</v>
      </c>
      <c r="C327" s="28" t="s">
        <v>306</v>
      </c>
      <c r="D327" s="35" t="s">
        <v>317</v>
      </c>
      <c r="E327" s="30" t="s">
        <v>22</v>
      </c>
      <c r="F327" s="36">
        <v>7000.0</v>
      </c>
      <c r="G327" s="32">
        <f t="shared" si="6"/>
        <v>577500</v>
      </c>
      <c r="H327" s="33"/>
      <c r="I327" s="34"/>
      <c r="J327" s="15">
        <v>0.0</v>
      </c>
      <c r="K327" s="34">
        <v>100.0</v>
      </c>
      <c r="L327" s="34"/>
      <c r="M327" s="4"/>
      <c r="N327" s="17">
        <f t="shared" si="2"/>
        <v>0</v>
      </c>
      <c r="O327" s="17">
        <f t="shared" si="3"/>
        <v>0</v>
      </c>
      <c r="P327" s="17">
        <f t="shared" si="4"/>
        <v>577500</v>
      </c>
      <c r="Q327" s="17">
        <f t="shared" si="5"/>
        <v>0</v>
      </c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</row>
    <row r="328" hidden="1">
      <c r="A328" s="4"/>
      <c r="B328" s="28" t="s">
        <v>306</v>
      </c>
      <c r="C328" s="28" t="s">
        <v>306</v>
      </c>
      <c r="D328" s="35" t="s">
        <v>318</v>
      </c>
      <c r="E328" s="30" t="s">
        <v>22</v>
      </c>
      <c r="F328" s="36">
        <v>6000.0</v>
      </c>
      <c r="G328" s="32">
        <f t="shared" si="6"/>
        <v>495000</v>
      </c>
      <c r="H328" s="33"/>
      <c r="I328" s="34"/>
      <c r="J328" s="34"/>
      <c r="K328" s="34">
        <v>100.0</v>
      </c>
      <c r="L328" s="34"/>
      <c r="M328" s="4"/>
      <c r="N328" s="17">
        <f t="shared" si="2"/>
        <v>0</v>
      </c>
      <c r="O328" s="17">
        <f t="shared" si="3"/>
        <v>0</v>
      </c>
      <c r="P328" s="17">
        <f t="shared" si="4"/>
        <v>495000</v>
      </c>
      <c r="Q328" s="17">
        <f t="shared" si="5"/>
        <v>0</v>
      </c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</row>
    <row r="329" hidden="1">
      <c r="A329" s="4"/>
      <c r="B329" s="28" t="s">
        <v>306</v>
      </c>
      <c r="C329" s="28" t="s">
        <v>306</v>
      </c>
      <c r="D329" s="35" t="s">
        <v>319</v>
      </c>
      <c r="E329" s="30" t="s">
        <v>22</v>
      </c>
      <c r="F329" s="36">
        <v>7000.0</v>
      </c>
      <c r="G329" s="32">
        <f t="shared" si="6"/>
        <v>577500</v>
      </c>
      <c r="H329" s="33"/>
      <c r="I329" s="34"/>
      <c r="J329" s="34"/>
      <c r="K329" s="34">
        <v>100.0</v>
      </c>
      <c r="L329" s="34"/>
      <c r="M329" s="4"/>
      <c r="N329" s="17">
        <f t="shared" si="2"/>
        <v>0</v>
      </c>
      <c r="O329" s="17">
        <f t="shared" si="3"/>
        <v>0</v>
      </c>
      <c r="P329" s="17">
        <f t="shared" si="4"/>
        <v>577500</v>
      </c>
      <c r="Q329" s="17">
        <f t="shared" si="5"/>
        <v>0</v>
      </c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</row>
    <row r="330" hidden="1">
      <c r="A330" s="4"/>
      <c r="B330" s="28" t="s">
        <v>306</v>
      </c>
      <c r="C330" s="28" t="s">
        <v>306</v>
      </c>
      <c r="D330" s="35" t="s">
        <v>320</v>
      </c>
      <c r="E330" s="30" t="s">
        <v>22</v>
      </c>
      <c r="F330" s="36">
        <v>3000.0</v>
      </c>
      <c r="G330" s="32">
        <f t="shared" si="6"/>
        <v>247500</v>
      </c>
      <c r="H330" s="33"/>
      <c r="I330" s="34"/>
      <c r="J330" s="34"/>
      <c r="K330" s="34">
        <v>100.0</v>
      </c>
      <c r="L330" s="34"/>
      <c r="M330" s="4"/>
      <c r="N330" s="17">
        <f t="shared" si="2"/>
        <v>0</v>
      </c>
      <c r="O330" s="17">
        <f t="shared" si="3"/>
        <v>0</v>
      </c>
      <c r="P330" s="17">
        <f t="shared" si="4"/>
        <v>247500</v>
      </c>
      <c r="Q330" s="17">
        <f t="shared" si="5"/>
        <v>0</v>
      </c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</row>
    <row r="331" hidden="1">
      <c r="A331" s="4"/>
      <c r="B331" s="28" t="s">
        <v>306</v>
      </c>
      <c r="C331" s="28" t="s">
        <v>306</v>
      </c>
      <c r="D331" s="35" t="s">
        <v>321</v>
      </c>
      <c r="E331" s="30" t="s">
        <v>22</v>
      </c>
      <c r="F331" s="36">
        <v>2100.0</v>
      </c>
      <c r="G331" s="32">
        <f t="shared" si="6"/>
        <v>173250</v>
      </c>
      <c r="H331" s="33"/>
      <c r="I331" s="34"/>
      <c r="J331" s="34"/>
      <c r="K331" s="34"/>
      <c r="L331" s="34">
        <v>100.0</v>
      </c>
      <c r="M331" s="4"/>
      <c r="N331" s="17">
        <f t="shared" si="2"/>
        <v>0</v>
      </c>
      <c r="O331" s="17">
        <f t="shared" si="3"/>
        <v>0</v>
      </c>
      <c r="P331" s="17">
        <f t="shared" si="4"/>
        <v>0</v>
      </c>
      <c r="Q331" s="17">
        <f t="shared" si="5"/>
        <v>173250</v>
      </c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</row>
    <row r="332" hidden="1">
      <c r="A332" s="4"/>
      <c r="B332" s="28" t="s">
        <v>306</v>
      </c>
      <c r="C332" s="28" t="s">
        <v>306</v>
      </c>
      <c r="D332" s="35" t="s">
        <v>322</v>
      </c>
      <c r="E332" s="30" t="s">
        <v>22</v>
      </c>
      <c r="F332" s="36">
        <v>3750.0</v>
      </c>
      <c r="G332" s="32">
        <f t="shared" si="6"/>
        <v>309375</v>
      </c>
      <c r="H332" s="33"/>
      <c r="I332" s="34"/>
      <c r="J332" s="34"/>
      <c r="K332" s="34"/>
      <c r="L332" s="34">
        <v>100.0</v>
      </c>
      <c r="M332" s="4"/>
      <c r="N332" s="17">
        <f t="shared" si="2"/>
        <v>0</v>
      </c>
      <c r="O332" s="17">
        <f t="shared" si="3"/>
        <v>0</v>
      </c>
      <c r="P332" s="17">
        <f t="shared" si="4"/>
        <v>0</v>
      </c>
      <c r="Q332" s="17">
        <f t="shared" si="5"/>
        <v>309375</v>
      </c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</row>
    <row r="333" hidden="1">
      <c r="A333" s="4"/>
      <c r="B333" s="28" t="s">
        <v>306</v>
      </c>
      <c r="C333" s="28" t="s">
        <v>306</v>
      </c>
      <c r="D333" s="35" t="s">
        <v>323</v>
      </c>
      <c r="E333" s="30" t="s">
        <v>22</v>
      </c>
      <c r="F333" s="36">
        <v>3000.0</v>
      </c>
      <c r="G333" s="32">
        <f t="shared" si="6"/>
        <v>247500</v>
      </c>
      <c r="H333" s="33"/>
      <c r="I333" s="34"/>
      <c r="J333" s="34"/>
      <c r="K333" s="34"/>
      <c r="L333" s="34">
        <v>100.0</v>
      </c>
      <c r="M333" s="4"/>
      <c r="N333" s="17">
        <f t="shared" si="2"/>
        <v>0</v>
      </c>
      <c r="O333" s="17">
        <f t="shared" si="3"/>
        <v>0</v>
      </c>
      <c r="P333" s="17">
        <f t="shared" si="4"/>
        <v>0</v>
      </c>
      <c r="Q333" s="17">
        <f t="shared" si="5"/>
        <v>247500</v>
      </c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</row>
    <row r="334" hidden="1">
      <c r="A334" s="4"/>
      <c r="B334" s="28" t="s">
        <v>306</v>
      </c>
      <c r="C334" s="28" t="s">
        <v>306</v>
      </c>
      <c r="D334" s="35" t="s">
        <v>324</v>
      </c>
      <c r="E334" s="30" t="s">
        <v>22</v>
      </c>
      <c r="F334" s="36">
        <v>4200.0</v>
      </c>
      <c r="G334" s="32">
        <f t="shared" si="6"/>
        <v>346500</v>
      </c>
      <c r="H334" s="33"/>
      <c r="I334" s="34"/>
      <c r="J334" s="34"/>
      <c r="K334" s="34"/>
      <c r="L334" s="34">
        <v>100.0</v>
      </c>
      <c r="M334" s="4"/>
      <c r="N334" s="17">
        <f t="shared" si="2"/>
        <v>0</v>
      </c>
      <c r="O334" s="17">
        <f t="shared" si="3"/>
        <v>0</v>
      </c>
      <c r="P334" s="17">
        <f t="shared" si="4"/>
        <v>0</v>
      </c>
      <c r="Q334" s="17">
        <f t="shared" si="5"/>
        <v>346500</v>
      </c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</row>
    <row r="335" hidden="1">
      <c r="A335" s="4"/>
      <c r="B335" s="28" t="s">
        <v>306</v>
      </c>
      <c r="C335" s="28" t="s">
        <v>306</v>
      </c>
      <c r="D335" s="35" t="s">
        <v>325</v>
      </c>
      <c r="E335" s="30" t="s">
        <v>22</v>
      </c>
      <c r="F335" s="36">
        <v>8850.0</v>
      </c>
      <c r="G335" s="32">
        <f t="shared" si="6"/>
        <v>730125</v>
      </c>
      <c r="H335" s="33"/>
      <c r="I335" s="34"/>
      <c r="J335" s="34"/>
      <c r="K335" s="34"/>
      <c r="L335" s="34">
        <v>100.0</v>
      </c>
      <c r="M335" s="4"/>
      <c r="N335" s="17">
        <f t="shared" si="2"/>
        <v>0</v>
      </c>
      <c r="O335" s="17">
        <f t="shared" si="3"/>
        <v>0</v>
      </c>
      <c r="P335" s="17">
        <f t="shared" si="4"/>
        <v>0</v>
      </c>
      <c r="Q335" s="17">
        <f t="shared" si="5"/>
        <v>730125</v>
      </c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</row>
    <row r="336" hidden="1">
      <c r="A336" s="4"/>
      <c r="B336" s="28" t="s">
        <v>306</v>
      </c>
      <c r="C336" s="28" t="s">
        <v>306</v>
      </c>
      <c r="D336" s="35" t="s">
        <v>326</v>
      </c>
      <c r="E336" s="30" t="s">
        <v>22</v>
      </c>
      <c r="F336" s="36">
        <v>10800.0</v>
      </c>
      <c r="G336" s="32">
        <f t="shared" si="6"/>
        <v>891000</v>
      </c>
      <c r="H336" s="33"/>
      <c r="I336" s="34">
        <v>100.0</v>
      </c>
      <c r="J336" s="34"/>
      <c r="K336" s="34"/>
      <c r="L336" s="34"/>
      <c r="M336" s="4"/>
      <c r="N336" s="17">
        <f t="shared" si="2"/>
        <v>891000</v>
      </c>
      <c r="O336" s="17">
        <f t="shared" si="3"/>
        <v>0</v>
      </c>
      <c r="P336" s="17">
        <f t="shared" si="4"/>
        <v>0</v>
      </c>
      <c r="Q336" s="17">
        <f t="shared" si="5"/>
        <v>0</v>
      </c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</row>
    <row r="337" hidden="1">
      <c r="A337" s="4"/>
      <c r="B337" s="28" t="s">
        <v>306</v>
      </c>
      <c r="C337" s="28" t="s">
        <v>306</v>
      </c>
      <c r="D337" s="35" t="s">
        <v>327</v>
      </c>
      <c r="E337" s="30" t="s">
        <v>22</v>
      </c>
      <c r="F337" s="36">
        <v>6760.0</v>
      </c>
      <c r="G337" s="32">
        <f t="shared" si="6"/>
        <v>557700</v>
      </c>
      <c r="H337" s="33"/>
      <c r="I337" s="34">
        <v>100.0</v>
      </c>
      <c r="J337" s="34"/>
      <c r="K337" s="34"/>
      <c r="L337" s="34"/>
      <c r="M337" s="4"/>
      <c r="N337" s="17">
        <f t="shared" si="2"/>
        <v>557700</v>
      </c>
      <c r="O337" s="17">
        <f t="shared" si="3"/>
        <v>0</v>
      </c>
      <c r="P337" s="17">
        <f t="shared" si="4"/>
        <v>0</v>
      </c>
      <c r="Q337" s="17">
        <f t="shared" si="5"/>
        <v>0</v>
      </c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</row>
    <row r="338" hidden="1">
      <c r="A338" s="4"/>
      <c r="B338" s="28" t="s">
        <v>306</v>
      </c>
      <c r="C338" s="28" t="s">
        <v>306</v>
      </c>
      <c r="D338" s="35" t="s">
        <v>328</v>
      </c>
      <c r="E338" s="30" t="s">
        <v>22</v>
      </c>
      <c r="F338" s="36">
        <v>8850.0</v>
      </c>
      <c r="G338" s="32">
        <f t="shared" si="6"/>
        <v>730125</v>
      </c>
      <c r="H338" s="33"/>
      <c r="I338" s="34">
        <v>100.0</v>
      </c>
      <c r="J338" s="34"/>
      <c r="K338" s="34"/>
      <c r="L338" s="34"/>
      <c r="M338" s="4"/>
      <c r="N338" s="17">
        <f t="shared" si="2"/>
        <v>730125</v>
      </c>
      <c r="O338" s="17">
        <f t="shared" si="3"/>
        <v>0</v>
      </c>
      <c r="P338" s="17">
        <f t="shared" si="4"/>
        <v>0</v>
      </c>
      <c r="Q338" s="17">
        <f t="shared" si="5"/>
        <v>0</v>
      </c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</row>
    <row r="339" hidden="1">
      <c r="A339" s="4"/>
      <c r="B339" s="28" t="s">
        <v>306</v>
      </c>
      <c r="C339" s="28" t="s">
        <v>306</v>
      </c>
      <c r="D339" s="35" t="s">
        <v>329</v>
      </c>
      <c r="E339" s="30" t="s">
        <v>22</v>
      </c>
      <c r="F339" s="36">
        <v>6760.0</v>
      </c>
      <c r="G339" s="32">
        <f t="shared" si="6"/>
        <v>557700</v>
      </c>
      <c r="H339" s="33"/>
      <c r="I339" s="34">
        <v>100.0</v>
      </c>
      <c r="J339" s="34"/>
      <c r="K339" s="34"/>
      <c r="L339" s="34"/>
      <c r="M339" s="4"/>
      <c r="N339" s="17">
        <f t="shared" si="2"/>
        <v>557700</v>
      </c>
      <c r="O339" s="17">
        <f t="shared" si="3"/>
        <v>0</v>
      </c>
      <c r="P339" s="17">
        <f t="shared" si="4"/>
        <v>0</v>
      </c>
      <c r="Q339" s="17">
        <f t="shared" si="5"/>
        <v>0</v>
      </c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</row>
    <row r="340" hidden="1">
      <c r="A340" s="4"/>
      <c r="B340" s="28" t="s">
        <v>306</v>
      </c>
      <c r="C340" s="28" t="s">
        <v>306</v>
      </c>
      <c r="D340" s="35" t="s">
        <v>330</v>
      </c>
      <c r="E340" s="30" t="s">
        <v>22</v>
      </c>
      <c r="F340" s="36">
        <v>8300.0</v>
      </c>
      <c r="G340" s="32">
        <f t="shared" si="6"/>
        <v>684750</v>
      </c>
      <c r="H340" s="33"/>
      <c r="I340" s="34">
        <v>100.0</v>
      </c>
      <c r="J340" s="34"/>
      <c r="K340" s="34"/>
      <c r="L340" s="34"/>
      <c r="M340" s="4"/>
      <c r="N340" s="17">
        <f t="shared" si="2"/>
        <v>684750</v>
      </c>
      <c r="O340" s="17">
        <f t="shared" si="3"/>
        <v>0</v>
      </c>
      <c r="P340" s="17">
        <f t="shared" si="4"/>
        <v>0</v>
      </c>
      <c r="Q340" s="17">
        <f t="shared" si="5"/>
        <v>0</v>
      </c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</row>
    <row r="341" hidden="1">
      <c r="A341" s="4"/>
      <c r="B341" s="28" t="s">
        <v>306</v>
      </c>
      <c r="C341" s="28" t="s">
        <v>306</v>
      </c>
      <c r="D341" s="35" t="s">
        <v>331</v>
      </c>
      <c r="E341" s="30" t="s">
        <v>22</v>
      </c>
      <c r="F341" s="36">
        <v>5800.0</v>
      </c>
      <c r="G341" s="32">
        <f t="shared" si="6"/>
        <v>478500</v>
      </c>
      <c r="H341" s="33"/>
      <c r="I341" s="34">
        <v>100.0</v>
      </c>
      <c r="J341" s="34"/>
      <c r="K341" s="34"/>
      <c r="L341" s="34"/>
      <c r="M341" s="4"/>
      <c r="N341" s="17">
        <f t="shared" si="2"/>
        <v>478500</v>
      </c>
      <c r="O341" s="17">
        <f t="shared" si="3"/>
        <v>0</v>
      </c>
      <c r="P341" s="17">
        <f t="shared" si="4"/>
        <v>0</v>
      </c>
      <c r="Q341" s="17">
        <f t="shared" si="5"/>
        <v>0</v>
      </c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</row>
    <row r="342" hidden="1">
      <c r="A342" s="4"/>
      <c r="B342" s="28" t="s">
        <v>306</v>
      </c>
      <c r="C342" s="28" t="s">
        <v>306</v>
      </c>
      <c r="D342" s="35" t="s">
        <v>332</v>
      </c>
      <c r="E342" s="30" t="s">
        <v>22</v>
      </c>
      <c r="F342" s="36">
        <v>8850.0</v>
      </c>
      <c r="G342" s="32">
        <f t="shared" si="6"/>
        <v>730125</v>
      </c>
      <c r="H342" s="33"/>
      <c r="I342" s="34">
        <v>100.0</v>
      </c>
      <c r="J342" s="34"/>
      <c r="K342" s="34"/>
      <c r="L342" s="34"/>
      <c r="M342" s="4"/>
      <c r="N342" s="17">
        <f t="shared" si="2"/>
        <v>730125</v>
      </c>
      <c r="O342" s="17">
        <f t="shared" si="3"/>
        <v>0</v>
      </c>
      <c r="P342" s="17">
        <f t="shared" si="4"/>
        <v>0</v>
      </c>
      <c r="Q342" s="17">
        <f t="shared" si="5"/>
        <v>0</v>
      </c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</row>
    <row r="343" hidden="1">
      <c r="A343" s="4"/>
      <c r="B343" s="28" t="s">
        <v>306</v>
      </c>
      <c r="C343" s="28" t="s">
        <v>306</v>
      </c>
      <c r="D343" s="35" t="s">
        <v>333</v>
      </c>
      <c r="E343" s="30" t="s">
        <v>22</v>
      </c>
      <c r="F343" s="36">
        <v>6760.0</v>
      </c>
      <c r="G343" s="32">
        <f t="shared" si="6"/>
        <v>557700</v>
      </c>
      <c r="H343" s="33"/>
      <c r="I343" s="34">
        <v>100.0</v>
      </c>
      <c r="J343" s="34"/>
      <c r="K343" s="34"/>
      <c r="L343" s="34"/>
      <c r="M343" s="4"/>
      <c r="N343" s="17">
        <f t="shared" si="2"/>
        <v>557700</v>
      </c>
      <c r="O343" s="17">
        <f t="shared" si="3"/>
        <v>0</v>
      </c>
      <c r="P343" s="17">
        <f t="shared" si="4"/>
        <v>0</v>
      </c>
      <c r="Q343" s="17">
        <f t="shared" si="5"/>
        <v>0</v>
      </c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</row>
    <row r="344" hidden="1">
      <c r="A344" s="4"/>
      <c r="B344" s="28" t="s">
        <v>306</v>
      </c>
      <c r="C344" s="28" t="s">
        <v>306</v>
      </c>
      <c r="D344" s="35" t="s">
        <v>334</v>
      </c>
      <c r="E344" s="30" t="s">
        <v>22</v>
      </c>
      <c r="F344" s="36">
        <v>8850.0</v>
      </c>
      <c r="G344" s="32">
        <f t="shared" si="6"/>
        <v>730125</v>
      </c>
      <c r="H344" s="33"/>
      <c r="I344" s="34">
        <v>100.0</v>
      </c>
      <c r="J344" s="34"/>
      <c r="K344" s="34"/>
      <c r="L344" s="34"/>
      <c r="M344" s="4"/>
      <c r="N344" s="17">
        <f t="shared" si="2"/>
        <v>730125</v>
      </c>
      <c r="O344" s="17">
        <f t="shared" si="3"/>
        <v>0</v>
      </c>
      <c r="P344" s="17">
        <f t="shared" si="4"/>
        <v>0</v>
      </c>
      <c r="Q344" s="17">
        <f t="shared" si="5"/>
        <v>0</v>
      </c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</row>
    <row r="345" hidden="1">
      <c r="A345" s="4"/>
      <c r="B345" s="28" t="s">
        <v>306</v>
      </c>
      <c r="C345" s="28" t="s">
        <v>306</v>
      </c>
      <c r="D345" s="35" t="s">
        <v>335</v>
      </c>
      <c r="E345" s="30" t="s">
        <v>22</v>
      </c>
      <c r="F345" s="36">
        <v>7000.0</v>
      </c>
      <c r="G345" s="32">
        <f t="shared" si="6"/>
        <v>577500</v>
      </c>
      <c r="H345" s="33"/>
      <c r="I345" s="34">
        <v>100.0</v>
      </c>
      <c r="J345" s="34"/>
      <c r="K345" s="34"/>
      <c r="L345" s="34"/>
      <c r="M345" s="4"/>
      <c r="N345" s="17">
        <f t="shared" si="2"/>
        <v>577500</v>
      </c>
      <c r="O345" s="17">
        <f t="shared" si="3"/>
        <v>0</v>
      </c>
      <c r="P345" s="17">
        <f t="shared" si="4"/>
        <v>0</v>
      </c>
      <c r="Q345" s="17">
        <f t="shared" si="5"/>
        <v>0</v>
      </c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</row>
    <row r="346" hidden="1">
      <c r="A346" s="4"/>
      <c r="B346" s="28" t="s">
        <v>306</v>
      </c>
      <c r="C346" s="28" t="s">
        <v>306</v>
      </c>
      <c r="D346" s="29" t="s">
        <v>307</v>
      </c>
      <c r="E346" s="30" t="s">
        <v>22</v>
      </c>
      <c r="F346" s="31">
        <v>5530.0</v>
      </c>
      <c r="G346" s="32">
        <f t="shared" si="6"/>
        <v>456225</v>
      </c>
      <c r="H346" s="33"/>
      <c r="I346" s="34">
        <v>0.0</v>
      </c>
      <c r="J346" s="15">
        <v>100.0</v>
      </c>
      <c r="K346" s="34"/>
      <c r="L346" s="34"/>
      <c r="M346" s="4"/>
      <c r="N346" s="17">
        <f t="shared" si="2"/>
        <v>0</v>
      </c>
      <c r="O346" s="17">
        <f t="shared" si="3"/>
        <v>456225</v>
      </c>
      <c r="P346" s="17">
        <f t="shared" si="4"/>
        <v>0</v>
      </c>
      <c r="Q346" s="17">
        <f t="shared" si="5"/>
        <v>0</v>
      </c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</row>
    <row r="347" hidden="1">
      <c r="A347" s="4"/>
      <c r="B347" s="28" t="s">
        <v>306</v>
      </c>
      <c r="C347" s="28" t="s">
        <v>306</v>
      </c>
      <c r="D347" s="35" t="s">
        <v>308</v>
      </c>
      <c r="E347" s="30" t="s">
        <v>22</v>
      </c>
      <c r="F347" s="36">
        <v>6900.0</v>
      </c>
      <c r="G347" s="32">
        <f t="shared" si="6"/>
        <v>569250</v>
      </c>
      <c r="H347" s="33"/>
      <c r="I347" s="34"/>
      <c r="J347" s="15">
        <v>100.0</v>
      </c>
      <c r="K347" s="34"/>
      <c r="L347" s="34"/>
      <c r="M347" s="4"/>
      <c r="N347" s="17">
        <f t="shared" si="2"/>
        <v>0</v>
      </c>
      <c r="O347" s="17">
        <f t="shared" si="3"/>
        <v>569250</v>
      </c>
      <c r="P347" s="17">
        <f t="shared" si="4"/>
        <v>0</v>
      </c>
      <c r="Q347" s="17">
        <f t="shared" si="5"/>
        <v>0</v>
      </c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</row>
    <row r="348" hidden="1">
      <c r="A348" s="4"/>
      <c r="B348" s="28" t="s">
        <v>306</v>
      </c>
      <c r="C348" s="28" t="s">
        <v>306</v>
      </c>
      <c r="D348" s="35" t="s">
        <v>309</v>
      </c>
      <c r="E348" s="30" t="s">
        <v>22</v>
      </c>
      <c r="F348" s="36">
        <v>6900.0</v>
      </c>
      <c r="G348" s="32">
        <f t="shared" si="6"/>
        <v>569250</v>
      </c>
      <c r="H348" s="33"/>
      <c r="I348" s="34"/>
      <c r="J348" s="15">
        <v>100.0</v>
      </c>
      <c r="K348" s="34"/>
      <c r="L348" s="34"/>
      <c r="M348" s="4"/>
      <c r="N348" s="17">
        <f t="shared" si="2"/>
        <v>0</v>
      </c>
      <c r="O348" s="17">
        <f t="shared" si="3"/>
        <v>569250</v>
      </c>
      <c r="P348" s="17">
        <f t="shared" si="4"/>
        <v>0</v>
      </c>
      <c r="Q348" s="17">
        <f t="shared" si="5"/>
        <v>0</v>
      </c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</row>
    <row r="349" hidden="1">
      <c r="A349" s="4"/>
      <c r="B349" s="28" t="s">
        <v>306</v>
      </c>
      <c r="C349" s="28" t="s">
        <v>306</v>
      </c>
      <c r="D349" s="35" t="s">
        <v>310</v>
      </c>
      <c r="E349" s="30" t="s">
        <v>22</v>
      </c>
      <c r="F349" s="36">
        <v>10800.0</v>
      </c>
      <c r="G349" s="32">
        <f t="shared" si="6"/>
        <v>891000</v>
      </c>
      <c r="H349" s="33"/>
      <c r="I349" s="34"/>
      <c r="J349" s="15">
        <v>100.0</v>
      </c>
      <c r="K349" s="34"/>
      <c r="L349" s="34"/>
      <c r="M349" s="4"/>
      <c r="N349" s="17">
        <f t="shared" si="2"/>
        <v>0</v>
      </c>
      <c r="O349" s="17">
        <f t="shared" si="3"/>
        <v>891000</v>
      </c>
      <c r="P349" s="17">
        <f t="shared" si="4"/>
        <v>0</v>
      </c>
      <c r="Q349" s="17">
        <f t="shared" si="5"/>
        <v>0</v>
      </c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</row>
    <row r="350" hidden="1">
      <c r="A350" s="4"/>
      <c r="B350" s="28" t="s">
        <v>306</v>
      </c>
      <c r="C350" s="28" t="s">
        <v>306</v>
      </c>
      <c r="D350" s="35" t="s">
        <v>311</v>
      </c>
      <c r="E350" s="30" t="s">
        <v>22</v>
      </c>
      <c r="F350" s="36">
        <v>5530.0</v>
      </c>
      <c r="G350" s="32">
        <f t="shared" si="6"/>
        <v>456225</v>
      </c>
      <c r="H350" s="33"/>
      <c r="I350" s="34"/>
      <c r="J350" s="15">
        <v>100.0</v>
      </c>
      <c r="K350" s="34"/>
      <c r="L350" s="34"/>
      <c r="M350" s="4"/>
      <c r="N350" s="17">
        <f t="shared" si="2"/>
        <v>0</v>
      </c>
      <c r="O350" s="17">
        <f t="shared" si="3"/>
        <v>456225</v>
      </c>
      <c r="P350" s="17">
        <f t="shared" si="4"/>
        <v>0</v>
      </c>
      <c r="Q350" s="17">
        <f t="shared" si="5"/>
        <v>0</v>
      </c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</row>
    <row r="351" hidden="1">
      <c r="A351" s="4"/>
      <c r="B351" s="28" t="s">
        <v>306</v>
      </c>
      <c r="C351" s="28" t="s">
        <v>306</v>
      </c>
      <c r="D351" s="35" t="s">
        <v>312</v>
      </c>
      <c r="E351" s="30" t="s">
        <v>22</v>
      </c>
      <c r="F351" s="36">
        <v>5530.0</v>
      </c>
      <c r="G351" s="32">
        <f t="shared" si="6"/>
        <v>456225</v>
      </c>
      <c r="H351" s="33"/>
      <c r="I351" s="34"/>
      <c r="J351" s="15">
        <v>100.0</v>
      </c>
      <c r="K351" s="34"/>
      <c r="L351" s="34"/>
      <c r="M351" s="4"/>
      <c r="N351" s="17">
        <f t="shared" si="2"/>
        <v>0</v>
      </c>
      <c r="O351" s="17">
        <f t="shared" si="3"/>
        <v>456225</v>
      </c>
      <c r="P351" s="17">
        <f t="shared" si="4"/>
        <v>0</v>
      </c>
      <c r="Q351" s="17">
        <f t="shared" si="5"/>
        <v>0</v>
      </c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</row>
    <row r="352" hidden="1">
      <c r="A352" s="4"/>
      <c r="B352" s="28" t="s">
        <v>306</v>
      </c>
      <c r="C352" s="28" t="s">
        <v>306</v>
      </c>
      <c r="D352" s="35" t="s">
        <v>313</v>
      </c>
      <c r="E352" s="30" t="s">
        <v>22</v>
      </c>
      <c r="F352" s="36">
        <v>5530.0</v>
      </c>
      <c r="G352" s="32">
        <f t="shared" si="6"/>
        <v>456225</v>
      </c>
      <c r="H352" s="33"/>
      <c r="I352" s="34"/>
      <c r="J352" s="15">
        <v>100.0</v>
      </c>
      <c r="K352" s="34"/>
      <c r="L352" s="34"/>
      <c r="M352" s="4"/>
      <c r="N352" s="17">
        <f t="shared" si="2"/>
        <v>0</v>
      </c>
      <c r="O352" s="17">
        <f t="shared" si="3"/>
        <v>456225</v>
      </c>
      <c r="P352" s="17">
        <f t="shared" si="4"/>
        <v>0</v>
      </c>
      <c r="Q352" s="17">
        <f t="shared" si="5"/>
        <v>0</v>
      </c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</row>
    <row r="353" hidden="1">
      <c r="A353" s="4"/>
      <c r="B353" s="28" t="s">
        <v>306</v>
      </c>
      <c r="C353" s="28" t="s">
        <v>306</v>
      </c>
      <c r="D353" s="35" t="s">
        <v>314</v>
      </c>
      <c r="E353" s="30" t="s">
        <v>22</v>
      </c>
      <c r="F353" s="36">
        <v>5530.0</v>
      </c>
      <c r="G353" s="32">
        <f t="shared" si="6"/>
        <v>456225</v>
      </c>
      <c r="H353" s="33"/>
      <c r="I353" s="34"/>
      <c r="J353" s="15">
        <v>100.0</v>
      </c>
      <c r="K353" s="34"/>
      <c r="L353" s="34"/>
      <c r="M353" s="4"/>
      <c r="N353" s="17">
        <f t="shared" si="2"/>
        <v>0</v>
      </c>
      <c r="O353" s="17">
        <f t="shared" si="3"/>
        <v>456225</v>
      </c>
      <c r="P353" s="17">
        <f t="shared" si="4"/>
        <v>0</v>
      </c>
      <c r="Q353" s="17">
        <f t="shared" si="5"/>
        <v>0</v>
      </c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</row>
    <row r="354" hidden="1">
      <c r="A354" s="4"/>
      <c r="B354" s="28" t="s">
        <v>306</v>
      </c>
      <c r="C354" s="28" t="s">
        <v>306</v>
      </c>
      <c r="D354" s="35" t="s">
        <v>315</v>
      </c>
      <c r="E354" s="30" t="s">
        <v>22</v>
      </c>
      <c r="F354" s="36">
        <v>5530.0</v>
      </c>
      <c r="G354" s="32">
        <f t="shared" si="6"/>
        <v>456225</v>
      </c>
      <c r="H354" s="33"/>
      <c r="I354" s="34"/>
      <c r="J354" s="15">
        <v>100.0</v>
      </c>
      <c r="K354" s="34"/>
      <c r="L354" s="34"/>
      <c r="M354" s="4"/>
      <c r="N354" s="17">
        <f t="shared" si="2"/>
        <v>0</v>
      </c>
      <c r="O354" s="17">
        <f t="shared" si="3"/>
        <v>456225</v>
      </c>
      <c r="P354" s="17">
        <f t="shared" si="4"/>
        <v>0</v>
      </c>
      <c r="Q354" s="17">
        <f t="shared" si="5"/>
        <v>0</v>
      </c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</row>
    <row r="355" hidden="1">
      <c r="A355" s="4"/>
      <c r="B355" s="28" t="s">
        <v>306</v>
      </c>
      <c r="C355" s="28" t="s">
        <v>306</v>
      </c>
      <c r="D355" s="35" t="s">
        <v>316</v>
      </c>
      <c r="E355" s="30" t="s">
        <v>22</v>
      </c>
      <c r="F355" s="36">
        <v>5530.0</v>
      </c>
      <c r="G355" s="32">
        <f t="shared" si="6"/>
        <v>456225</v>
      </c>
      <c r="H355" s="33"/>
      <c r="I355" s="34"/>
      <c r="J355" s="15">
        <v>100.0</v>
      </c>
      <c r="K355" s="34"/>
      <c r="L355" s="34"/>
      <c r="M355" s="4"/>
      <c r="N355" s="17">
        <f t="shared" si="2"/>
        <v>0</v>
      </c>
      <c r="O355" s="17">
        <f t="shared" si="3"/>
        <v>456225</v>
      </c>
      <c r="P355" s="17">
        <f t="shared" si="4"/>
        <v>0</v>
      </c>
      <c r="Q355" s="17">
        <f t="shared" si="5"/>
        <v>0</v>
      </c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</row>
    <row r="356" hidden="1">
      <c r="A356" s="4"/>
      <c r="B356" s="28" t="s">
        <v>306</v>
      </c>
      <c r="C356" s="28" t="s">
        <v>306</v>
      </c>
      <c r="D356" s="35" t="s">
        <v>317</v>
      </c>
      <c r="E356" s="30" t="s">
        <v>22</v>
      </c>
      <c r="F356" s="36">
        <v>7000.0</v>
      </c>
      <c r="G356" s="32">
        <f t="shared" si="6"/>
        <v>577500</v>
      </c>
      <c r="H356" s="33"/>
      <c r="I356" s="34"/>
      <c r="J356" s="15">
        <v>0.0</v>
      </c>
      <c r="K356" s="34">
        <v>100.0</v>
      </c>
      <c r="L356" s="34"/>
      <c r="M356" s="4"/>
      <c r="N356" s="17">
        <f t="shared" si="2"/>
        <v>0</v>
      </c>
      <c r="O356" s="17">
        <f t="shared" si="3"/>
        <v>0</v>
      </c>
      <c r="P356" s="17">
        <f t="shared" si="4"/>
        <v>577500</v>
      </c>
      <c r="Q356" s="17">
        <f t="shared" si="5"/>
        <v>0</v>
      </c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</row>
    <row r="357" hidden="1">
      <c r="A357" s="4"/>
      <c r="B357" s="28" t="s">
        <v>306</v>
      </c>
      <c r="C357" s="28" t="s">
        <v>306</v>
      </c>
      <c r="D357" s="35" t="s">
        <v>318</v>
      </c>
      <c r="E357" s="30" t="s">
        <v>22</v>
      </c>
      <c r="F357" s="36">
        <v>6000.0</v>
      </c>
      <c r="G357" s="32">
        <f t="shared" si="6"/>
        <v>495000</v>
      </c>
      <c r="H357" s="33"/>
      <c r="I357" s="34"/>
      <c r="J357" s="34"/>
      <c r="K357" s="34">
        <v>100.0</v>
      </c>
      <c r="L357" s="34"/>
      <c r="M357" s="4"/>
      <c r="N357" s="17">
        <f t="shared" si="2"/>
        <v>0</v>
      </c>
      <c r="O357" s="17">
        <f t="shared" si="3"/>
        <v>0</v>
      </c>
      <c r="P357" s="17">
        <f t="shared" si="4"/>
        <v>495000</v>
      </c>
      <c r="Q357" s="17">
        <f t="shared" si="5"/>
        <v>0</v>
      </c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</row>
    <row r="358" hidden="1">
      <c r="A358" s="4"/>
      <c r="B358" s="28" t="s">
        <v>306</v>
      </c>
      <c r="C358" s="28" t="s">
        <v>306</v>
      </c>
      <c r="D358" s="35" t="s">
        <v>319</v>
      </c>
      <c r="E358" s="30" t="s">
        <v>22</v>
      </c>
      <c r="F358" s="36">
        <v>7000.0</v>
      </c>
      <c r="G358" s="32">
        <f t="shared" si="6"/>
        <v>577500</v>
      </c>
      <c r="H358" s="33"/>
      <c r="I358" s="34"/>
      <c r="J358" s="34"/>
      <c r="K358" s="34">
        <v>100.0</v>
      </c>
      <c r="L358" s="34"/>
      <c r="M358" s="4"/>
      <c r="N358" s="17">
        <f t="shared" si="2"/>
        <v>0</v>
      </c>
      <c r="O358" s="17">
        <f t="shared" si="3"/>
        <v>0</v>
      </c>
      <c r="P358" s="17">
        <f t="shared" si="4"/>
        <v>577500</v>
      </c>
      <c r="Q358" s="17">
        <f t="shared" si="5"/>
        <v>0</v>
      </c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</row>
    <row r="359" hidden="1">
      <c r="A359" s="4"/>
      <c r="B359" s="28" t="s">
        <v>306</v>
      </c>
      <c r="C359" s="28" t="s">
        <v>306</v>
      </c>
      <c r="D359" s="35" t="s">
        <v>320</v>
      </c>
      <c r="E359" s="30" t="s">
        <v>22</v>
      </c>
      <c r="F359" s="36">
        <v>3000.0</v>
      </c>
      <c r="G359" s="32">
        <f t="shared" si="6"/>
        <v>247500</v>
      </c>
      <c r="H359" s="33"/>
      <c r="I359" s="34"/>
      <c r="J359" s="34"/>
      <c r="K359" s="34">
        <v>100.0</v>
      </c>
      <c r="L359" s="34"/>
      <c r="M359" s="4"/>
      <c r="N359" s="17">
        <f t="shared" si="2"/>
        <v>0</v>
      </c>
      <c r="O359" s="17">
        <f t="shared" si="3"/>
        <v>0</v>
      </c>
      <c r="P359" s="17">
        <f t="shared" si="4"/>
        <v>247500</v>
      </c>
      <c r="Q359" s="17">
        <f t="shared" si="5"/>
        <v>0</v>
      </c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</row>
    <row r="360" hidden="1">
      <c r="A360" s="4"/>
      <c r="B360" s="28" t="s">
        <v>306</v>
      </c>
      <c r="C360" s="28" t="s">
        <v>306</v>
      </c>
      <c r="D360" s="35" t="s">
        <v>321</v>
      </c>
      <c r="E360" s="30" t="s">
        <v>22</v>
      </c>
      <c r="F360" s="36">
        <v>2100.0</v>
      </c>
      <c r="G360" s="32">
        <f t="shared" si="6"/>
        <v>173250</v>
      </c>
      <c r="H360" s="33"/>
      <c r="I360" s="34"/>
      <c r="J360" s="34"/>
      <c r="K360" s="34"/>
      <c r="L360" s="34">
        <v>100.0</v>
      </c>
      <c r="M360" s="4"/>
      <c r="N360" s="17">
        <f t="shared" si="2"/>
        <v>0</v>
      </c>
      <c r="O360" s="17">
        <f t="shared" si="3"/>
        <v>0</v>
      </c>
      <c r="P360" s="17">
        <f t="shared" si="4"/>
        <v>0</v>
      </c>
      <c r="Q360" s="17">
        <f t="shared" si="5"/>
        <v>173250</v>
      </c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</row>
    <row r="361" hidden="1">
      <c r="A361" s="4"/>
      <c r="B361" s="28" t="s">
        <v>306</v>
      </c>
      <c r="C361" s="28" t="s">
        <v>306</v>
      </c>
      <c r="D361" s="35" t="s">
        <v>322</v>
      </c>
      <c r="E361" s="30" t="s">
        <v>22</v>
      </c>
      <c r="F361" s="36">
        <v>3750.0</v>
      </c>
      <c r="G361" s="32">
        <f t="shared" si="6"/>
        <v>309375</v>
      </c>
      <c r="H361" s="33"/>
      <c r="I361" s="34"/>
      <c r="J361" s="34"/>
      <c r="K361" s="34"/>
      <c r="L361" s="34">
        <v>100.0</v>
      </c>
      <c r="M361" s="4"/>
      <c r="N361" s="17">
        <f t="shared" si="2"/>
        <v>0</v>
      </c>
      <c r="O361" s="17">
        <f t="shared" si="3"/>
        <v>0</v>
      </c>
      <c r="P361" s="17">
        <f t="shared" si="4"/>
        <v>0</v>
      </c>
      <c r="Q361" s="17">
        <f t="shared" si="5"/>
        <v>309375</v>
      </c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</row>
    <row r="362" hidden="1">
      <c r="A362" s="4"/>
      <c r="B362" s="28" t="s">
        <v>306</v>
      </c>
      <c r="C362" s="28" t="s">
        <v>306</v>
      </c>
      <c r="D362" s="35" t="s">
        <v>323</v>
      </c>
      <c r="E362" s="30" t="s">
        <v>22</v>
      </c>
      <c r="F362" s="36">
        <v>3000.0</v>
      </c>
      <c r="G362" s="32">
        <f t="shared" si="6"/>
        <v>247500</v>
      </c>
      <c r="H362" s="33"/>
      <c r="I362" s="34"/>
      <c r="J362" s="34"/>
      <c r="K362" s="34"/>
      <c r="L362" s="34">
        <v>100.0</v>
      </c>
      <c r="M362" s="4"/>
      <c r="N362" s="17">
        <f t="shared" si="2"/>
        <v>0</v>
      </c>
      <c r="O362" s="17">
        <f t="shared" si="3"/>
        <v>0</v>
      </c>
      <c r="P362" s="17">
        <f t="shared" si="4"/>
        <v>0</v>
      </c>
      <c r="Q362" s="17">
        <f t="shared" si="5"/>
        <v>247500</v>
      </c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</row>
    <row r="363" hidden="1">
      <c r="A363" s="4"/>
      <c r="B363" s="28" t="s">
        <v>306</v>
      </c>
      <c r="C363" s="28" t="s">
        <v>306</v>
      </c>
      <c r="D363" s="35" t="s">
        <v>324</v>
      </c>
      <c r="E363" s="30" t="s">
        <v>22</v>
      </c>
      <c r="F363" s="36">
        <v>4200.0</v>
      </c>
      <c r="G363" s="32">
        <f t="shared" si="6"/>
        <v>346500</v>
      </c>
      <c r="H363" s="33"/>
      <c r="I363" s="34"/>
      <c r="J363" s="34"/>
      <c r="K363" s="34"/>
      <c r="L363" s="34">
        <v>100.0</v>
      </c>
      <c r="M363" s="4"/>
      <c r="N363" s="17">
        <f t="shared" si="2"/>
        <v>0</v>
      </c>
      <c r="O363" s="17">
        <f t="shared" si="3"/>
        <v>0</v>
      </c>
      <c r="P363" s="17">
        <f t="shared" si="4"/>
        <v>0</v>
      </c>
      <c r="Q363" s="17">
        <f t="shared" si="5"/>
        <v>346500</v>
      </c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</row>
    <row r="364" hidden="1">
      <c r="A364" s="4"/>
      <c r="B364" s="28" t="s">
        <v>306</v>
      </c>
      <c r="C364" s="28" t="s">
        <v>306</v>
      </c>
      <c r="D364" s="35" t="s">
        <v>325</v>
      </c>
      <c r="E364" s="30" t="s">
        <v>22</v>
      </c>
      <c r="F364" s="36">
        <v>8850.0</v>
      </c>
      <c r="G364" s="32">
        <f t="shared" si="6"/>
        <v>730125</v>
      </c>
      <c r="H364" s="33"/>
      <c r="I364" s="34"/>
      <c r="J364" s="34"/>
      <c r="K364" s="34"/>
      <c r="L364" s="34">
        <v>100.0</v>
      </c>
      <c r="M364" s="4"/>
      <c r="N364" s="17">
        <f t="shared" si="2"/>
        <v>0</v>
      </c>
      <c r="O364" s="17">
        <f t="shared" si="3"/>
        <v>0</v>
      </c>
      <c r="P364" s="17">
        <f t="shared" si="4"/>
        <v>0</v>
      </c>
      <c r="Q364" s="17">
        <f t="shared" si="5"/>
        <v>730125</v>
      </c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</row>
    <row r="365" hidden="1">
      <c r="A365" s="4"/>
      <c r="B365" s="28" t="s">
        <v>306</v>
      </c>
      <c r="C365" s="28" t="s">
        <v>306</v>
      </c>
      <c r="D365" s="35" t="s">
        <v>326</v>
      </c>
      <c r="E365" s="30" t="s">
        <v>22</v>
      </c>
      <c r="F365" s="36">
        <v>10800.0</v>
      </c>
      <c r="G365" s="32">
        <f t="shared" si="6"/>
        <v>891000</v>
      </c>
      <c r="H365" s="33"/>
      <c r="I365" s="34">
        <v>100.0</v>
      </c>
      <c r="J365" s="34"/>
      <c r="K365" s="34"/>
      <c r="L365" s="34"/>
      <c r="M365" s="4"/>
      <c r="N365" s="17">
        <f t="shared" si="2"/>
        <v>891000</v>
      </c>
      <c r="O365" s="17">
        <f t="shared" si="3"/>
        <v>0</v>
      </c>
      <c r="P365" s="17">
        <f t="shared" si="4"/>
        <v>0</v>
      </c>
      <c r="Q365" s="17">
        <f t="shared" si="5"/>
        <v>0</v>
      </c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</row>
    <row r="366" hidden="1">
      <c r="A366" s="4"/>
      <c r="B366" s="28" t="s">
        <v>306</v>
      </c>
      <c r="C366" s="28" t="s">
        <v>306</v>
      </c>
      <c r="D366" s="35" t="s">
        <v>327</v>
      </c>
      <c r="E366" s="30" t="s">
        <v>22</v>
      </c>
      <c r="F366" s="36">
        <v>6760.0</v>
      </c>
      <c r="G366" s="32">
        <f t="shared" si="6"/>
        <v>557700</v>
      </c>
      <c r="H366" s="33"/>
      <c r="I366" s="34">
        <v>100.0</v>
      </c>
      <c r="J366" s="34"/>
      <c r="K366" s="34"/>
      <c r="L366" s="34"/>
      <c r="M366" s="4"/>
      <c r="N366" s="17">
        <f t="shared" si="2"/>
        <v>557700</v>
      </c>
      <c r="O366" s="17">
        <f t="shared" si="3"/>
        <v>0</v>
      </c>
      <c r="P366" s="17">
        <f t="shared" si="4"/>
        <v>0</v>
      </c>
      <c r="Q366" s="17">
        <f t="shared" si="5"/>
        <v>0</v>
      </c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</row>
    <row r="367" hidden="1">
      <c r="A367" s="4"/>
      <c r="B367" s="28" t="s">
        <v>306</v>
      </c>
      <c r="C367" s="28" t="s">
        <v>306</v>
      </c>
      <c r="D367" s="35" t="s">
        <v>328</v>
      </c>
      <c r="E367" s="30" t="s">
        <v>22</v>
      </c>
      <c r="F367" s="36">
        <v>8850.0</v>
      </c>
      <c r="G367" s="32">
        <f t="shared" si="6"/>
        <v>730125</v>
      </c>
      <c r="H367" s="33"/>
      <c r="I367" s="34">
        <v>100.0</v>
      </c>
      <c r="J367" s="34"/>
      <c r="K367" s="34"/>
      <c r="L367" s="34"/>
      <c r="M367" s="4"/>
      <c r="N367" s="17">
        <f t="shared" si="2"/>
        <v>730125</v>
      </c>
      <c r="O367" s="17">
        <f t="shared" si="3"/>
        <v>0</v>
      </c>
      <c r="P367" s="17">
        <f t="shared" si="4"/>
        <v>0</v>
      </c>
      <c r="Q367" s="17">
        <f t="shared" si="5"/>
        <v>0</v>
      </c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</row>
    <row r="368" hidden="1">
      <c r="A368" s="4"/>
      <c r="B368" s="28" t="s">
        <v>306</v>
      </c>
      <c r="C368" s="28" t="s">
        <v>306</v>
      </c>
      <c r="D368" s="35" t="s">
        <v>329</v>
      </c>
      <c r="E368" s="30" t="s">
        <v>22</v>
      </c>
      <c r="F368" s="36">
        <v>6760.0</v>
      </c>
      <c r="G368" s="32">
        <f t="shared" si="6"/>
        <v>557700</v>
      </c>
      <c r="H368" s="33"/>
      <c r="I368" s="34">
        <v>100.0</v>
      </c>
      <c r="J368" s="34"/>
      <c r="K368" s="34"/>
      <c r="L368" s="34"/>
      <c r="M368" s="4"/>
      <c r="N368" s="17">
        <f t="shared" si="2"/>
        <v>557700</v>
      </c>
      <c r="O368" s="17">
        <f t="shared" si="3"/>
        <v>0</v>
      </c>
      <c r="P368" s="17">
        <f t="shared" si="4"/>
        <v>0</v>
      </c>
      <c r="Q368" s="17">
        <f t="shared" si="5"/>
        <v>0</v>
      </c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</row>
    <row r="369" hidden="1">
      <c r="A369" s="4"/>
      <c r="B369" s="28" t="s">
        <v>306</v>
      </c>
      <c r="C369" s="28" t="s">
        <v>306</v>
      </c>
      <c r="D369" s="35" t="s">
        <v>330</v>
      </c>
      <c r="E369" s="30" t="s">
        <v>22</v>
      </c>
      <c r="F369" s="36">
        <v>8300.0</v>
      </c>
      <c r="G369" s="32">
        <f t="shared" si="6"/>
        <v>684750</v>
      </c>
      <c r="H369" s="33"/>
      <c r="I369" s="34">
        <v>100.0</v>
      </c>
      <c r="J369" s="34"/>
      <c r="K369" s="34"/>
      <c r="L369" s="34"/>
      <c r="M369" s="4"/>
      <c r="N369" s="17">
        <f t="shared" si="2"/>
        <v>684750</v>
      </c>
      <c r="O369" s="17">
        <f t="shared" si="3"/>
        <v>0</v>
      </c>
      <c r="P369" s="17">
        <f t="shared" si="4"/>
        <v>0</v>
      </c>
      <c r="Q369" s="17">
        <f t="shared" si="5"/>
        <v>0</v>
      </c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</row>
    <row r="370" hidden="1">
      <c r="A370" s="4"/>
      <c r="B370" s="28" t="s">
        <v>306</v>
      </c>
      <c r="C370" s="28" t="s">
        <v>306</v>
      </c>
      <c r="D370" s="35" t="s">
        <v>331</v>
      </c>
      <c r="E370" s="30" t="s">
        <v>22</v>
      </c>
      <c r="F370" s="36">
        <v>5800.0</v>
      </c>
      <c r="G370" s="32">
        <f t="shared" si="6"/>
        <v>478500</v>
      </c>
      <c r="H370" s="33"/>
      <c r="I370" s="34">
        <v>100.0</v>
      </c>
      <c r="J370" s="34"/>
      <c r="K370" s="34"/>
      <c r="L370" s="34"/>
      <c r="M370" s="4"/>
      <c r="N370" s="17">
        <f t="shared" si="2"/>
        <v>478500</v>
      </c>
      <c r="O370" s="17">
        <f t="shared" si="3"/>
        <v>0</v>
      </c>
      <c r="P370" s="17">
        <f t="shared" si="4"/>
        <v>0</v>
      </c>
      <c r="Q370" s="17">
        <f t="shared" si="5"/>
        <v>0</v>
      </c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</row>
    <row r="371" hidden="1">
      <c r="A371" s="4"/>
      <c r="B371" s="28" t="s">
        <v>306</v>
      </c>
      <c r="C371" s="28" t="s">
        <v>306</v>
      </c>
      <c r="D371" s="35" t="s">
        <v>332</v>
      </c>
      <c r="E371" s="30" t="s">
        <v>22</v>
      </c>
      <c r="F371" s="36">
        <v>8850.0</v>
      </c>
      <c r="G371" s="32">
        <f t="shared" si="6"/>
        <v>730125</v>
      </c>
      <c r="H371" s="33"/>
      <c r="I371" s="34">
        <v>100.0</v>
      </c>
      <c r="J371" s="34"/>
      <c r="K371" s="34"/>
      <c r="L371" s="34"/>
      <c r="M371" s="4"/>
      <c r="N371" s="17">
        <f t="shared" si="2"/>
        <v>730125</v>
      </c>
      <c r="O371" s="17">
        <f t="shared" si="3"/>
        <v>0</v>
      </c>
      <c r="P371" s="17">
        <f t="shared" si="4"/>
        <v>0</v>
      </c>
      <c r="Q371" s="17">
        <f t="shared" si="5"/>
        <v>0</v>
      </c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</row>
    <row r="372" hidden="1">
      <c r="A372" s="4"/>
      <c r="B372" s="28" t="s">
        <v>306</v>
      </c>
      <c r="C372" s="28" t="s">
        <v>306</v>
      </c>
      <c r="D372" s="35" t="s">
        <v>333</v>
      </c>
      <c r="E372" s="30" t="s">
        <v>22</v>
      </c>
      <c r="F372" s="36">
        <v>6760.0</v>
      </c>
      <c r="G372" s="32">
        <f t="shared" si="6"/>
        <v>557700</v>
      </c>
      <c r="H372" s="33"/>
      <c r="I372" s="34">
        <v>100.0</v>
      </c>
      <c r="J372" s="34"/>
      <c r="K372" s="34"/>
      <c r="L372" s="34"/>
      <c r="M372" s="4"/>
      <c r="N372" s="17">
        <f t="shared" si="2"/>
        <v>557700</v>
      </c>
      <c r="O372" s="17">
        <f t="shared" si="3"/>
        <v>0</v>
      </c>
      <c r="P372" s="17">
        <f t="shared" si="4"/>
        <v>0</v>
      </c>
      <c r="Q372" s="17">
        <f t="shared" si="5"/>
        <v>0</v>
      </c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</row>
    <row r="373" hidden="1">
      <c r="A373" s="4"/>
      <c r="B373" s="28" t="s">
        <v>306</v>
      </c>
      <c r="C373" s="28" t="s">
        <v>306</v>
      </c>
      <c r="D373" s="35" t="s">
        <v>334</v>
      </c>
      <c r="E373" s="30" t="s">
        <v>22</v>
      </c>
      <c r="F373" s="36">
        <v>8850.0</v>
      </c>
      <c r="G373" s="32">
        <f t="shared" si="6"/>
        <v>730125</v>
      </c>
      <c r="H373" s="33"/>
      <c r="I373" s="34">
        <v>100.0</v>
      </c>
      <c r="J373" s="34"/>
      <c r="K373" s="34"/>
      <c r="L373" s="34"/>
      <c r="M373" s="4"/>
      <c r="N373" s="17">
        <f t="shared" si="2"/>
        <v>730125</v>
      </c>
      <c r="O373" s="17">
        <f t="shared" si="3"/>
        <v>0</v>
      </c>
      <c r="P373" s="17">
        <f t="shared" si="4"/>
        <v>0</v>
      </c>
      <c r="Q373" s="17">
        <f t="shared" si="5"/>
        <v>0</v>
      </c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</row>
    <row r="374" hidden="1">
      <c r="A374" s="4"/>
      <c r="B374" s="28" t="s">
        <v>306</v>
      </c>
      <c r="C374" s="28" t="s">
        <v>306</v>
      </c>
      <c r="D374" s="35" t="s">
        <v>335</v>
      </c>
      <c r="E374" s="30" t="s">
        <v>22</v>
      </c>
      <c r="F374" s="36">
        <v>7000.0</v>
      </c>
      <c r="G374" s="32">
        <f t="shared" si="6"/>
        <v>577500</v>
      </c>
      <c r="H374" s="33"/>
      <c r="I374" s="34">
        <v>100.0</v>
      </c>
      <c r="J374" s="34"/>
      <c r="K374" s="34"/>
      <c r="L374" s="34"/>
      <c r="M374" s="4"/>
      <c r="N374" s="17">
        <f t="shared" si="2"/>
        <v>577500</v>
      </c>
      <c r="O374" s="17">
        <f t="shared" si="3"/>
        <v>0</v>
      </c>
      <c r="P374" s="17">
        <f t="shared" si="4"/>
        <v>0</v>
      </c>
      <c r="Q374" s="17">
        <f t="shared" si="5"/>
        <v>0</v>
      </c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</row>
    <row r="375" hidden="1">
      <c r="A375" s="4"/>
      <c r="B375" s="28" t="s">
        <v>306</v>
      </c>
      <c r="C375" s="28" t="s">
        <v>306</v>
      </c>
      <c r="D375" s="29" t="s">
        <v>307</v>
      </c>
      <c r="E375" s="30" t="s">
        <v>22</v>
      </c>
      <c r="F375" s="31">
        <v>5530.0</v>
      </c>
      <c r="G375" s="32">
        <f t="shared" si="6"/>
        <v>456225</v>
      </c>
      <c r="H375" s="33"/>
      <c r="I375" s="34">
        <v>0.0</v>
      </c>
      <c r="J375" s="15">
        <v>100.0</v>
      </c>
      <c r="K375" s="34"/>
      <c r="L375" s="34"/>
      <c r="M375" s="4"/>
      <c r="N375" s="17">
        <f t="shared" si="2"/>
        <v>0</v>
      </c>
      <c r="O375" s="17">
        <f t="shared" si="3"/>
        <v>456225</v>
      </c>
      <c r="P375" s="17">
        <f t="shared" si="4"/>
        <v>0</v>
      </c>
      <c r="Q375" s="17">
        <f t="shared" si="5"/>
        <v>0</v>
      </c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</row>
    <row r="376" hidden="1">
      <c r="A376" s="4"/>
      <c r="B376" s="28" t="s">
        <v>306</v>
      </c>
      <c r="C376" s="28" t="s">
        <v>306</v>
      </c>
      <c r="D376" s="35" t="s">
        <v>308</v>
      </c>
      <c r="E376" s="30" t="s">
        <v>22</v>
      </c>
      <c r="F376" s="36">
        <v>6900.0</v>
      </c>
      <c r="G376" s="32">
        <f t="shared" si="6"/>
        <v>569250</v>
      </c>
      <c r="H376" s="33"/>
      <c r="I376" s="34"/>
      <c r="J376" s="15">
        <v>100.0</v>
      </c>
      <c r="K376" s="34"/>
      <c r="L376" s="34"/>
      <c r="M376" s="4"/>
      <c r="N376" s="17">
        <f t="shared" si="2"/>
        <v>0</v>
      </c>
      <c r="O376" s="17">
        <f t="shared" si="3"/>
        <v>569250</v>
      </c>
      <c r="P376" s="17">
        <f t="shared" si="4"/>
        <v>0</v>
      </c>
      <c r="Q376" s="17">
        <f t="shared" si="5"/>
        <v>0</v>
      </c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</row>
    <row r="377" hidden="1">
      <c r="A377" s="4"/>
      <c r="B377" s="28" t="s">
        <v>306</v>
      </c>
      <c r="C377" s="28" t="s">
        <v>306</v>
      </c>
      <c r="D377" s="35" t="s">
        <v>309</v>
      </c>
      <c r="E377" s="30" t="s">
        <v>22</v>
      </c>
      <c r="F377" s="36">
        <v>6900.0</v>
      </c>
      <c r="G377" s="32">
        <f t="shared" si="6"/>
        <v>569250</v>
      </c>
      <c r="H377" s="33"/>
      <c r="I377" s="34"/>
      <c r="J377" s="15">
        <v>100.0</v>
      </c>
      <c r="K377" s="34"/>
      <c r="L377" s="34"/>
      <c r="M377" s="4"/>
      <c r="N377" s="17">
        <f t="shared" si="2"/>
        <v>0</v>
      </c>
      <c r="O377" s="17">
        <f t="shared" si="3"/>
        <v>569250</v>
      </c>
      <c r="P377" s="17">
        <f t="shared" si="4"/>
        <v>0</v>
      </c>
      <c r="Q377" s="17">
        <f t="shared" si="5"/>
        <v>0</v>
      </c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</row>
    <row r="378" hidden="1">
      <c r="A378" s="4"/>
      <c r="B378" s="28" t="s">
        <v>306</v>
      </c>
      <c r="C378" s="28" t="s">
        <v>306</v>
      </c>
      <c r="D378" s="35" t="s">
        <v>310</v>
      </c>
      <c r="E378" s="30" t="s">
        <v>22</v>
      </c>
      <c r="F378" s="36">
        <v>10800.0</v>
      </c>
      <c r="G378" s="32">
        <f t="shared" si="6"/>
        <v>891000</v>
      </c>
      <c r="H378" s="33"/>
      <c r="I378" s="34"/>
      <c r="J378" s="15">
        <v>100.0</v>
      </c>
      <c r="K378" s="34"/>
      <c r="L378" s="34"/>
      <c r="M378" s="4"/>
      <c r="N378" s="17">
        <f t="shared" si="2"/>
        <v>0</v>
      </c>
      <c r="O378" s="17">
        <f t="shared" si="3"/>
        <v>891000</v>
      </c>
      <c r="P378" s="17">
        <f t="shared" si="4"/>
        <v>0</v>
      </c>
      <c r="Q378" s="17">
        <f t="shared" si="5"/>
        <v>0</v>
      </c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</row>
    <row r="379" hidden="1">
      <c r="A379" s="4"/>
      <c r="B379" s="28" t="s">
        <v>306</v>
      </c>
      <c r="C379" s="28" t="s">
        <v>306</v>
      </c>
      <c r="D379" s="35" t="s">
        <v>311</v>
      </c>
      <c r="E379" s="30" t="s">
        <v>22</v>
      </c>
      <c r="F379" s="36">
        <v>5530.0</v>
      </c>
      <c r="G379" s="32">
        <f t="shared" si="6"/>
        <v>456225</v>
      </c>
      <c r="H379" s="33"/>
      <c r="I379" s="34"/>
      <c r="J379" s="15">
        <v>100.0</v>
      </c>
      <c r="K379" s="34"/>
      <c r="L379" s="34"/>
      <c r="M379" s="4"/>
      <c r="N379" s="17">
        <f t="shared" si="2"/>
        <v>0</v>
      </c>
      <c r="O379" s="17">
        <f t="shared" si="3"/>
        <v>456225</v>
      </c>
      <c r="P379" s="17">
        <f t="shared" si="4"/>
        <v>0</v>
      </c>
      <c r="Q379" s="17">
        <f t="shared" si="5"/>
        <v>0</v>
      </c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</row>
    <row r="380" hidden="1">
      <c r="A380" s="4"/>
      <c r="B380" s="28" t="s">
        <v>306</v>
      </c>
      <c r="C380" s="28" t="s">
        <v>306</v>
      </c>
      <c r="D380" s="35" t="s">
        <v>312</v>
      </c>
      <c r="E380" s="30" t="s">
        <v>22</v>
      </c>
      <c r="F380" s="36">
        <v>5530.0</v>
      </c>
      <c r="G380" s="32">
        <f t="shared" si="6"/>
        <v>456225</v>
      </c>
      <c r="H380" s="33"/>
      <c r="I380" s="34"/>
      <c r="J380" s="15">
        <v>100.0</v>
      </c>
      <c r="K380" s="34"/>
      <c r="L380" s="34"/>
      <c r="M380" s="4"/>
      <c r="N380" s="17">
        <f t="shared" si="2"/>
        <v>0</v>
      </c>
      <c r="O380" s="17">
        <f t="shared" si="3"/>
        <v>456225</v>
      </c>
      <c r="P380" s="17">
        <f t="shared" si="4"/>
        <v>0</v>
      </c>
      <c r="Q380" s="17">
        <f t="shared" si="5"/>
        <v>0</v>
      </c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</row>
    <row r="381" hidden="1">
      <c r="A381" s="4"/>
      <c r="B381" s="28" t="s">
        <v>306</v>
      </c>
      <c r="C381" s="28" t="s">
        <v>306</v>
      </c>
      <c r="D381" s="35" t="s">
        <v>313</v>
      </c>
      <c r="E381" s="30" t="s">
        <v>22</v>
      </c>
      <c r="F381" s="36">
        <v>5530.0</v>
      </c>
      <c r="G381" s="32">
        <f t="shared" si="6"/>
        <v>456225</v>
      </c>
      <c r="H381" s="33"/>
      <c r="I381" s="34"/>
      <c r="J381" s="15">
        <v>100.0</v>
      </c>
      <c r="K381" s="34"/>
      <c r="L381" s="34"/>
      <c r="M381" s="4"/>
      <c r="N381" s="17">
        <f t="shared" si="2"/>
        <v>0</v>
      </c>
      <c r="O381" s="17">
        <f t="shared" si="3"/>
        <v>456225</v>
      </c>
      <c r="P381" s="17">
        <f t="shared" si="4"/>
        <v>0</v>
      </c>
      <c r="Q381" s="17">
        <f t="shared" si="5"/>
        <v>0</v>
      </c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</row>
    <row r="382" hidden="1">
      <c r="A382" s="4"/>
      <c r="B382" s="28" t="s">
        <v>306</v>
      </c>
      <c r="C382" s="28" t="s">
        <v>306</v>
      </c>
      <c r="D382" s="35" t="s">
        <v>314</v>
      </c>
      <c r="E382" s="30" t="s">
        <v>22</v>
      </c>
      <c r="F382" s="36">
        <v>5530.0</v>
      </c>
      <c r="G382" s="32">
        <f t="shared" si="6"/>
        <v>456225</v>
      </c>
      <c r="H382" s="33"/>
      <c r="I382" s="34"/>
      <c r="J382" s="15">
        <v>100.0</v>
      </c>
      <c r="K382" s="34"/>
      <c r="L382" s="34"/>
      <c r="M382" s="4"/>
      <c r="N382" s="17">
        <f t="shared" si="2"/>
        <v>0</v>
      </c>
      <c r="O382" s="17">
        <f t="shared" si="3"/>
        <v>456225</v>
      </c>
      <c r="P382" s="17">
        <f t="shared" si="4"/>
        <v>0</v>
      </c>
      <c r="Q382" s="17">
        <f t="shared" si="5"/>
        <v>0</v>
      </c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</row>
    <row r="383" hidden="1">
      <c r="A383" s="4"/>
      <c r="B383" s="28" t="s">
        <v>306</v>
      </c>
      <c r="C383" s="28" t="s">
        <v>306</v>
      </c>
      <c r="D383" s="35" t="s">
        <v>315</v>
      </c>
      <c r="E383" s="30" t="s">
        <v>22</v>
      </c>
      <c r="F383" s="36">
        <v>5530.0</v>
      </c>
      <c r="G383" s="32">
        <f t="shared" si="6"/>
        <v>456225</v>
      </c>
      <c r="H383" s="33"/>
      <c r="I383" s="34"/>
      <c r="J383" s="15">
        <v>100.0</v>
      </c>
      <c r="K383" s="34"/>
      <c r="L383" s="34"/>
      <c r="M383" s="4"/>
      <c r="N383" s="17">
        <f t="shared" si="2"/>
        <v>0</v>
      </c>
      <c r="O383" s="17">
        <f t="shared" si="3"/>
        <v>456225</v>
      </c>
      <c r="P383" s="17">
        <f t="shared" si="4"/>
        <v>0</v>
      </c>
      <c r="Q383" s="17">
        <f t="shared" si="5"/>
        <v>0</v>
      </c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</row>
    <row r="384" hidden="1">
      <c r="A384" s="4"/>
      <c r="B384" s="28" t="s">
        <v>306</v>
      </c>
      <c r="C384" s="28" t="s">
        <v>306</v>
      </c>
      <c r="D384" s="35" t="s">
        <v>316</v>
      </c>
      <c r="E384" s="30" t="s">
        <v>22</v>
      </c>
      <c r="F384" s="36">
        <v>5530.0</v>
      </c>
      <c r="G384" s="32">
        <f t="shared" si="6"/>
        <v>456225</v>
      </c>
      <c r="H384" s="33"/>
      <c r="I384" s="34"/>
      <c r="J384" s="15">
        <v>100.0</v>
      </c>
      <c r="K384" s="34"/>
      <c r="L384" s="34"/>
      <c r="M384" s="4"/>
      <c r="N384" s="17">
        <f t="shared" si="2"/>
        <v>0</v>
      </c>
      <c r="O384" s="17">
        <f t="shared" si="3"/>
        <v>456225</v>
      </c>
      <c r="P384" s="17">
        <f t="shared" si="4"/>
        <v>0</v>
      </c>
      <c r="Q384" s="17">
        <f t="shared" si="5"/>
        <v>0</v>
      </c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</row>
    <row r="385" hidden="1">
      <c r="A385" s="4"/>
      <c r="B385" s="28" t="s">
        <v>306</v>
      </c>
      <c r="C385" s="28" t="s">
        <v>306</v>
      </c>
      <c r="D385" s="35" t="s">
        <v>317</v>
      </c>
      <c r="E385" s="30" t="s">
        <v>22</v>
      </c>
      <c r="F385" s="36">
        <v>7000.0</v>
      </c>
      <c r="G385" s="32">
        <f t="shared" si="6"/>
        <v>577500</v>
      </c>
      <c r="H385" s="33"/>
      <c r="I385" s="34"/>
      <c r="J385" s="15">
        <v>0.0</v>
      </c>
      <c r="K385" s="34">
        <v>100.0</v>
      </c>
      <c r="L385" s="34"/>
      <c r="M385" s="4"/>
      <c r="N385" s="17">
        <f t="shared" si="2"/>
        <v>0</v>
      </c>
      <c r="O385" s="17">
        <f t="shared" si="3"/>
        <v>0</v>
      </c>
      <c r="P385" s="17">
        <f t="shared" si="4"/>
        <v>577500</v>
      </c>
      <c r="Q385" s="17">
        <f t="shared" si="5"/>
        <v>0</v>
      </c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</row>
    <row r="386" hidden="1">
      <c r="A386" s="4"/>
      <c r="B386" s="28" t="s">
        <v>306</v>
      </c>
      <c r="C386" s="28" t="s">
        <v>306</v>
      </c>
      <c r="D386" s="35" t="s">
        <v>318</v>
      </c>
      <c r="E386" s="30" t="s">
        <v>22</v>
      </c>
      <c r="F386" s="36">
        <v>6000.0</v>
      </c>
      <c r="G386" s="32">
        <f t="shared" si="6"/>
        <v>495000</v>
      </c>
      <c r="H386" s="33"/>
      <c r="I386" s="34"/>
      <c r="J386" s="34"/>
      <c r="K386" s="34">
        <v>100.0</v>
      </c>
      <c r="L386" s="34"/>
      <c r="M386" s="4"/>
      <c r="N386" s="17">
        <f t="shared" si="2"/>
        <v>0</v>
      </c>
      <c r="O386" s="17">
        <f t="shared" si="3"/>
        <v>0</v>
      </c>
      <c r="P386" s="17">
        <f t="shared" si="4"/>
        <v>495000</v>
      </c>
      <c r="Q386" s="17">
        <f t="shared" si="5"/>
        <v>0</v>
      </c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</row>
    <row r="387" hidden="1">
      <c r="A387" s="4"/>
      <c r="B387" s="28" t="s">
        <v>306</v>
      </c>
      <c r="C387" s="28" t="s">
        <v>306</v>
      </c>
      <c r="D387" s="35" t="s">
        <v>319</v>
      </c>
      <c r="E387" s="30" t="s">
        <v>22</v>
      </c>
      <c r="F387" s="36">
        <v>7000.0</v>
      </c>
      <c r="G387" s="32">
        <f t="shared" si="6"/>
        <v>577500</v>
      </c>
      <c r="H387" s="33"/>
      <c r="I387" s="34"/>
      <c r="J387" s="34"/>
      <c r="K387" s="34">
        <v>100.0</v>
      </c>
      <c r="L387" s="34"/>
      <c r="M387" s="4"/>
      <c r="N387" s="17">
        <f t="shared" si="2"/>
        <v>0</v>
      </c>
      <c r="O387" s="17">
        <f t="shared" si="3"/>
        <v>0</v>
      </c>
      <c r="P387" s="17">
        <f t="shared" si="4"/>
        <v>577500</v>
      </c>
      <c r="Q387" s="17">
        <f t="shared" si="5"/>
        <v>0</v>
      </c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</row>
    <row r="388" hidden="1">
      <c r="A388" s="4"/>
      <c r="B388" s="28" t="s">
        <v>306</v>
      </c>
      <c r="C388" s="28" t="s">
        <v>306</v>
      </c>
      <c r="D388" s="35" t="s">
        <v>320</v>
      </c>
      <c r="E388" s="30" t="s">
        <v>22</v>
      </c>
      <c r="F388" s="36">
        <v>3000.0</v>
      </c>
      <c r="G388" s="32">
        <f t="shared" si="6"/>
        <v>247500</v>
      </c>
      <c r="H388" s="33"/>
      <c r="I388" s="34"/>
      <c r="J388" s="34"/>
      <c r="K388" s="34">
        <v>100.0</v>
      </c>
      <c r="L388" s="34"/>
      <c r="M388" s="4"/>
      <c r="N388" s="17">
        <f t="shared" si="2"/>
        <v>0</v>
      </c>
      <c r="O388" s="17">
        <f t="shared" si="3"/>
        <v>0</v>
      </c>
      <c r="P388" s="17">
        <f t="shared" si="4"/>
        <v>247500</v>
      </c>
      <c r="Q388" s="17">
        <f t="shared" si="5"/>
        <v>0</v>
      </c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</row>
    <row r="389" hidden="1">
      <c r="A389" s="4"/>
      <c r="B389" s="28" t="s">
        <v>306</v>
      </c>
      <c r="C389" s="28" t="s">
        <v>306</v>
      </c>
      <c r="D389" s="35" t="s">
        <v>321</v>
      </c>
      <c r="E389" s="30" t="s">
        <v>22</v>
      </c>
      <c r="F389" s="36">
        <v>2100.0</v>
      </c>
      <c r="G389" s="32">
        <f t="shared" si="6"/>
        <v>173250</v>
      </c>
      <c r="H389" s="33"/>
      <c r="I389" s="34"/>
      <c r="J389" s="34"/>
      <c r="K389" s="34"/>
      <c r="L389" s="34">
        <v>100.0</v>
      </c>
      <c r="M389" s="4"/>
      <c r="N389" s="17">
        <f t="shared" si="2"/>
        <v>0</v>
      </c>
      <c r="O389" s="17">
        <f t="shared" si="3"/>
        <v>0</v>
      </c>
      <c r="P389" s="17">
        <f t="shared" si="4"/>
        <v>0</v>
      </c>
      <c r="Q389" s="17">
        <f t="shared" si="5"/>
        <v>173250</v>
      </c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</row>
    <row r="390" hidden="1">
      <c r="A390" s="4"/>
      <c r="B390" s="28" t="s">
        <v>306</v>
      </c>
      <c r="C390" s="28" t="s">
        <v>306</v>
      </c>
      <c r="D390" s="35" t="s">
        <v>322</v>
      </c>
      <c r="E390" s="30" t="s">
        <v>22</v>
      </c>
      <c r="F390" s="36">
        <v>3750.0</v>
      </c>
      <c r="G390" s="32">
        <f t="shared" si="6"/>
        <v>309375</v>
      </c>
      <c r="H390" s="33"/>
      <c r="I390" s="34"/>
      <c r="J390" s="34"/>
      <c r="K390" s="34"/>
      <c r="L390" s="34">
        <v>100.0</v>
      </c>
      <c r="M390" s="4"/>
      <c r="N390" s="17">
        <f t="shared" si="2"/>
        <v>0</v>
      </c>
      <c r="O390" s="17">
        <f t="shared" si="3"/>
        <v>0</v>
      </c>
      <c r="P390" s="17">
        <f t="shared" si="4"/>
        <v>0</v>
      </c>
      <c r="Q390" s="17">
        <f t="shared" si="5"/>
        <v>309375</v>
      </c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</row>
    <row r="391" hidden="1">
      <c r="A391" s="4"/>
      <c r="B391" s="28" t="s">
        <v>306</v>
      </c>
      <c r="C391" s="28" t="s">
        <v>306</v>
      </c>
      <c r="D391" s="35" t="s">
        <v>323</v>
      </c>
      <c r="E391" s="30" t="s">
        <v>22</v>
      </c>
      <c r="F391" s="36">
        <v>3000.0</v>
      </c>
      <c r="G391" s="32">
        <f t="shared" si="6"/>
        <v>247500</v>
      </c>
      <c r="H391" s="33"/>
      <c r="I391" s="34"/>
      <c r="J391" s="34"/>
      <c r="K391" s="34"/>
      <c r="L391" s="34">
        <v>100.0</v>
      </c>
      <c r="M391" s="4"/>
      <c r="N391" s="17">
        <f t="shared" si="2"/>
        <v>0</v>
      </c>
      <c r="O391" s="17">
        <f t="shared" si="3"/>
        <v>0</v>
      </c>
      <c r="P391" s="17">
        <f t="shared" si="4"/>
        <v>0</v>
      </c>
      <c r="Q391" s="17">
        <f t="shared" si="5"/>
        <v>247500</v>
      </c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</row>
    <row r="392" hidden="1">
      <c r="A392" s="4"/>
      <c r="B392" s="28" t="s">
        <v>306</v>
      </c>
      <c r="C392" s="28" t="s">
        <v>306</v>
      </c>
      <c r="D392" s="35" t="s">
        <v>324</v>
      </c>
      <c r="E392" s="30" t="s">
        <v>22</v>
      </c>
      <c r="F392" s="36">
        <v>4200.0</v>
      </c>
      <c r="G392" s="32">
        <f t="shared" si="6"/>
        <v>346500</v>
      </c>
      <c r="H392" s="33"/>
      <c r="I392" s="34"/>
      <c r="J392" s="34"/>
      <c r="K392" s="34"/>
      <c r="L392" s="34">
        <v>100.0</v>
      </c>
      <c r="M392" s="4"/>
      <c r="N392" s="17">
        <f t="shared" si="2"/>
        <v>0</v>
      </c>
      <c r="O392" s="17">
        <f t="shared" si="3"/>
        <v>0</v>
      </c>
      <c r="P392" s="17">
        <f t="shared" si="4"/>
        <v>0</v>
      </c>
      <c r="Q392" s="17">
        <f t="shared" si="5"/>
        <v>346500</v>
      </c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</row>
    <row r="393" hidden="1">
      <c r="A393" s="4"/>
      <c r="B393" s="28" t="s">
        <v>306</v>
      </c>
      <c r="C393" s="28" t="s">
        <v>306</v>
      </c>
      <c r="D393" s="35" t="s">
        <v>325</v>
      </c>
      <c r="E393" s="30" t="s">
        <v>22</v>
      </c>
      <c r="F393" s="36">
        <v>8850.0</v>
      </c>
      <c r="G393" s="32">
        <f t="shared" si="6"/>
        <v>730125</v>
      </c>
      <c r="H393" s="33"/>
      <c r="I393" s="34"/>
      <c r="J393" s="34"/>
      <c r="K393" s="34"/>
      <c r="L393" s="34">
        <v>100.0</v>
      </c>
      <c r="M393" s="4"/>
      <c r="N393" s="17">
        <f t="shared" si="2"/>
        <v>0</v>
      </c>
      <c r="O393" s="17">
        <f t="shared" si="3"/>
        <v>0</v>
      </c>
      <c r="P393" s="17">
        <f t="shared" si="4"/>
        <v>0</v>
      </c>
      <c r="Q393" s="17">
        <f t="shared" si="5"/>
        <v>730125</v>
      </c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</row>
    <row r="394" hidden="1">
      <c r="A394" s="4"/>
      <c r="B394" s="28" t="s">
        <v>306</v>
      </c>
      <c r="C394" s="28" t="s">
        <v>306</v>
      </c>
      <c r="D394" s="35" t="s">
        <v>326</v>
      </c>
      <c r="E394" s="30" t="s">
        <v>22</v>
      </c>
      <c r="F394" s="36">
        <v>10800.0</v>
      </c>
      <c r="G394" s="32">
        <f t="shared" si="6"/>
        <v>891000</v>
      </c>
      <c r="H394" s="33"/>
      <c r="I394" s="34">
        <v>100.0</v>
      </c>
      <c r="J394" s="34"/>
      <c r="K394" s="34"/>
      <c r="L394" s="34"/>
      <c r="M394" s="4"/>
      <c r="N394" s="17">
        <f t="shared" si="2"/>
        <v>891000</v>
      </c>
      <c r="O394" s="17">
        <f t="shared" si="3"/>
        <v>0</v>
      </c>
      <c r="P394" s="17">
        <f t="shared" si="4"/>
        <v>0</v>
      </c>
      <c r="Q394" s="17">
        <f t="shared" si="5"/>
        <v>0</v>
      </c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</row>
    <row r="395" hidden="1">
      <c r="A395" s="4"/>
      <c r="B395" s="28" t="s">
        <v>306</v>
      </c>
      <c r="C395" s="28" t="s">
        <v>306</v>
      </c>
      <c r="D395" s="35" t="s">
        <v>327</v>
      </c>
      <c r="E395" s="30" t="s">
        <v>22</v>
      </c>
      <c r="F395" s="36">
        <v>6760.0</v>
      </c>
      <c r="G395" s="32">
        <f t="shared" si="6"/>
        <v>557700</v>
      </c>
      <c r="H395" s="33"/>
      <c r="I395" s="34">
        <v>100.0</v>
      </c>
      <c r="J395" s="34"/>
      <c r="K395" s="34"/>
      <c r="L395" s="34"/>
      <c r="M395" s="4"/>
      <c r="N395" s="17">
        <f t="shared" si="2"/>
        <v>557700</v>
      </c>
      <c r="O395" s="17">
        <f t="shared" si="3"/>
        <v>0</v>
      </c>
      <c r="P395" s="17">
        <f t="shared" si="4"/>
        <v>0</v>
      </c>
      <c r="Q395" s="17">
        <f t="shared" si="5"/>
        <v>0</v>
      </c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</row>
    <row r="396" hidden="1">
      <c r="A396" s="4"/>
      <c r="B396" s="28" t="s">
        <v>306</v>
      </c>
      <c r="C396" s="28" t="s">
        <v>306</v>
      </c>
      <c r="D396" s="35" t="s">
        <v>328</v>
      </c>
      <c r="E396" s="30" t="s">
        <v>22</v>
      </c>
      <c r="F396" s="36">
        <v>8850.0</v>
      </c>
      <c r="G396" s="32">
        <f t="shared" si="6"/>
        <v>730125</v>
      </c>
      <c r="H396" s="33"/>
      <c r="I396" s="34">
        <v>100.0</v>
      </c>
      <c r="J396" s="34"/>
      <c r="K396" s="34"/>
      <c r="L396" s="34"/>
      <c r="M396" s="4"/>
      <c r="N396" s="17">
        <f t="shared" si="2"/>
        <v>730125</v>
      </c>
      <c r="O396" s="17">
        <f t="shared" si="3"/>
        <v>0</v>
      </c>
      <c r="P396" s="17">
        <f t="shared" si="4"/>
        <v>0</v>
      </c>
      <c r="Q396" s="17">
        <f t="shared" si="5"/>
        <v>0</v>
      </c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</row>
    <row r="397" hidden="1">
      <c r="A397" s="4"/>
      <c r="B397" s="28" t="s">
        <v>306</v>
      </c>
      <c r="C397" s="28" t="s">
        <v>306</v>
      </c>
      <c r="D397" s="35" t="s">
        <v>329</v>
      </c>
      <c r="E397" s="30" t="s">
        <v>22</v>
      </c>
      <c r="F397" s="36">
        <v>6760.0</v>
      </c>
      <c r="G397" s="32">
        <f t="shared" si="6"/>
        <v>557700</v>
      </c>
      <c r="H397" s="33"/>
      <c r="I397" s="34">
        <v>100.0</v>
      </c>
      <c r="J397" s="34"/>
      <c r="K397" s="34"/>
      <c r="L397" s="34"/>
      <c r="M397" s="4"/>
      <c r="N397" s="17">
        <f t="shared" si="2"/>
        <v>557700</v>
      </c>
      <c r="O397" s="17">
        <f t="shared" si="3"/>
        <v>0</v>
      </c>
      <c r="P397" s="17">
        <f t="shared" si="4"/>
        <v>0</v>
      </c>
      <c r="Q397" s="17">
        <f t="shared" si="5"/>
        <v>0</v>
      </c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</row>
    <row r="398" hidden="1">
      <c r="A398" s="4"/>
      <c r="B398" s="28" t="s">
        <v>306</v>
      </c>
      <c r="C398" s="28" t="s">
        <v>306</v>
      </c>
      <c r="D398" s="35" t="s">
        <v>330</v>
      </c>
      <c r="E398" s="30" t="s">
        <v>22</v>
      </c>
      <c r="F398" s="36">
        <v>8300.0</v>
      </c>
      <c r="G398" s="32">
        <f t="shared" si="6"/>
        <v>684750</v>
      </c>
      <c r="H398" s="33"/>
      <c r="I398" s="34">
        <v>100.0</v>
      </c>
      <c r="J398" s="34"/>
      <c r="K398" s="34"/>
      <c r="L398" s="34"/>
      <c r="M398" s="4"/>
      <c r="N398" s="17">
        <f t="shared" si="2"/>
        <v>684750</v>
      </c>
      <c r="O398" s="17">
        <f t="shared" si="3"/>
        <v>0</v>
      </c>
      <c r="P398" s="17">
        <f t="shared" si="4"/>
        <v>0</v>
      </c>
      <c r="Q398" s="17">
        <f t="shared" si="5"/>
        <v>0</v>
      </c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</row>
    <row r="399" hidden="1">
      <c r="A399" s="4"/>
      <c r="B399" s="28" t="s">
        <v>306</v>
      </c>
      <c r="C399" s="28" t="s">
        <v>306</v>
      </c>
      <c r="D399" s="35" t="s">
        <v>331</v>
      </c>
      <c r="E399" s="30" t="s">
        <v>22</v>
      </c>
      <c r="F399" s="36">
        <v>5800.0</v>
      </c>
      <c r="G399" s="32">
        <f t="shared" si="6"/>
        <v>478500</v>
      </c>
      <c r="H399" s="33"/>
      <c r="I399" s="34">
        <v>100.0</v>
      </c>
      <c r="J399" s="34"/>
      <c r="K399" s="34"/>
      <c r="L399" s="34"/>
      <c r="M399" s="4"/>
      <c r="N399" s="17">
        <f t="shared" si="2"/>
        <v>478500</v>
      </c>
      <c r="O399" s="17">
        <f t="shared" si="3"/>
        <v>0</v>
      </c>
      <c r="P399" s="17">
        <f t="shared" si="4"/>
        <v>0</v>
      </c>
      <c r="Q399" s="17">
        <f t="shared" si="5"/>
        <v>0</v>
      </c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</row>
    <row r="400" hidden="1">
      <c r="A400" s="4"/>
      <c r="B400" s="28" t="s">
        <v>306</v>
      </c>
      <c r="C400" s="28" t="s">
        <v>306</v>
      </c>
      <c r="D400" s="35" t="s">
        <v>332</v>
      </c>
      <c r="E400" s="30" t="s">
        <v>22</v>
      </c>
      <c r="F400" s="36">
        <v>8850.0</v>
      </c>
      <c r="G400" s="32">
        <f t="shared" si="6"/>
        <v>730125</v>
      </c>
      <c r="H400" s="33"/>
      <c r="I400" s="34">
        <v>100.0</v>
      </c>
      <c r="J400" s="34"/>
      <c r="K400" s="34"/>
      <c r="L400" s="34"/>
      <c r="M400" s="4"/>
      <c r="N400" s="17">
        <f t="shared" si="2"/>
        <v>730125</v>
      </c>
      <c r="O400" s="17">
        <f t="shared" si="3"/>
        <v>0</v>
      </c>
      <c r="P400" s="17">
        <f t="shared" si="4"/>
        <v>0</v>
      </c>
      <c r="Q400" s="17">
        <f t="shared" si="5"/>
        <v>0</v>
      </c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</row>
    <row r="401" hidden="1">
      <c r="A401" s="4"/>
      <c r="B401" s="28" t="s">
        <v>306</v>
      </c>
      <c r="C401" s="28" t="s">
        <v>306</v>
      </c>
      <c r="D401" s="35" t="s">
        <v>333</v>
      </c>
      <c r="E401" s="30" t="s">
        <v>22</v>
      </c>
      <c r="F401" s="36">
        <v>6760.0</v>
      </c>
      <c r="G401" s="32">
        <f t="shared" si="6"/>
        <v>557700</v>
      </c>
      <c r="H401" s="33"/>
      <c r="I401" s="34">
        <v>100.0</v>
      </c>
      <c r="J401" s="34"/>
      <c r="K401" s="34"/>
      <c r="L401" s="34"/>
      <c r="M401" s="4"/>
      <c r="N401" s="17">
        <f t="shared" si="2"/>
        <v>557700</v>
      </c>
      <c r="O401" s="17">
        <f t="shared" si="3"/>
        <v>0</v>
      </c>
      <c r="P401" s="17">
        <f t="shared" si="4"/>
        <v>0</v>
      </c>
      <c r="Q401" s="17">
        <f t="shared" si="5"/>
        <v>0</v>
      </c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</row>
    <row r="402" hidden="1">
      <c r="A402" s="4"/>
      <c r="B402" s="28" t="s">
        <v>306</v>
      </c>
      <c r="C402" s="28" t="s">
        <v>306</v>
      </c>
      <c r="D402" s="35" t="s">
        <v>334</v>
      </c>
      <c r="E402" s="30" t="s">
        <v>22</v>
      </c>
      <c r="F402" s="36">
        <v>8850.0</v>
      </c>
      <c r="G402" s="32">
        <f t="shared" si="6"/>
        <v>730125</v>
      </c>
      <c r="H402" s="33"/>
      <c r="I402" s="34">
        <v>100.0</v>
      </c>
      <c r="J402" s="34"/>
      <c r="K402" s="34"/>
      <c r="L402" s="34"/>
      <c r="M402" s="4"/>
      <c r="N402" s="17">
        <f t="shared" si="2"/>
        <v>730125</v>
      </c>
      <c r="O402" s="17">
        <f t="shared" si="3"/>
        <v>0</v>
      </c>
      <c r="P402" s="17">
        <f t="shared" si="4"/>
        <v>0</v>
      </c>
      <c r="Q402" s="17">
        <f t="shared" si="5"/>
        <v>0</v>
      </c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</row>
    <row r="403" hidden="1">
      <c r="A403" s="4"/>
      <c r="B403" s="28" t="s">
        <v>306</v>
      </c>
      <c r="C403" s="28" t="s">
        <v>306</v>
      </c>
      <c r="D403" s="35" t="s">
        <v>335</v>
      </c>
      <c r="E403" s="30" t="s">
        <v>22</v>
      </c>
      <c r="F403" s="36">
        <v>7000.0</v>
      </c>
      <c r="G403" s="32">
        <f t="shared" si="6"/>
        <v>577500</v>
      </c>
      <c r="H403" s="33"/>
      <c r="I403" s="34">
        <v>100.0</v>
      </c>
      <c r="J403" s="34"/>
      <c r="K403" s="34"/>
      <c r="L403" s="34"/>
      <c r="M403" s="4"/>
      <c r="N403" s="17">
        <f t="shared" si="2"/>
        <v>577500</v>
      </c>
      <c r="O403" s="17">
        <f t="shared" si="3"/>
        <v>0</v>
      </c>
      <c r="P403" s="17">
        <f t="shared" si="4"/>
        <v>0</v>
      </c>
      <c r="Q403" s="17">
        <f t="shared" si="5"/>
        <v>0</v>
      </c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</row>
    <row r="404" hidden="1">
      <c r="A404" s="4"/>
      <c r="B404" s="28">
        <v>9.062048547E9</v>
      </c>
      <c r="C404" s="37">
        <v>45116.0</v>
      </c>
      <c r="D404" s="30" t="s">
        <v>336</v>
      </c>
      <c r="E404" s="38" t="s">
        <v>254</v>
      </c>
      <c r="F404" s="38">
        <v>12000.0</v>
      </c>
      <c r="G404" s="39">
        <f t="shared" si="6"/>
        <v>990000</v>
      </c>
      <c r="H404" s="33"/>
      <c r="I404" s="34">
        <v>0.0</v>
      </c>
      <c r="J404" s="34">
        <v>100.0</v>
      </c>
      <c r="K404" s="34">
        <v>0.0</v>
      </c>
      <c r="L404" s="34">
        <v>0.0</v>
      </c>
      <c r="M404" s="4">
        <f t="shared" ref="M404:M406" si="7">SUM(I404:L404)</f>
        <v>100</v>
      </c>
      <c r="N404" s="17">
        <f t="shared" si="2"/>
        <v>0</v>
      </c>
      <c r="O404" s="17">
        <f t="shared" si="3"/>
        <v>990000</v>
      </c>
      <c r="P404" s="17">
        <f t="shared" si="4"/>
        <v>0</v>
      </c>
      <c r="Q404" s="17">
        <f t="shared" si="5"/>
        <v>0</v>
      </c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</row>
    <row r="405" hidden="1">
      <c r="A405" s="4"/>
      <c r="B405" s="28">
        <v>9.062048547E9</v>
      </c>
      <c r="C405" s="37">
        <v>45116.0</v>
      </c>
      <c r="D405" s="30" t="s">
        <v>337</v>
      </c>
      <c r="E405" s="38" t="s">
        <v>254</v>
      </c>
      <c r="F405" s="38">
        <v>9000.0</v>
      </c>
      <c r="G405" s="39">
        <f t="shared" si="6"/>
        <v>742500</v>
      </c>
      <c r="H405" s="33"/>
      <c r="I405" s="34">
        <v>0.0</v>
      </c>
      <c r="J405" s="34">
        <v>100.0</v>
      </c>
      <c r="K405" s="34">
        <v>0.0</v>
      </c>
      <c r="L405" s="34">
        <v>0.0</v>
      </c>
      <c r="M405" s="4">
        <f t="shared" si="7"/>
        <v>100</v>
      </c>
      <c r="N405" s="17">
        <f t="shared" si="2"/>
        <v>0</v>
      </c>
      <c r="O405" s="17">
        <f t="shared" si="3"/>
        <v>742500</v>
      </c>
      <c r="P405" s="17">
        <f t="shared" si="4"/>
        <v>0</v>
      </c>
      <c r="Q405" s="17">
        <f t="shared" si="5"/>
        <v>0</v>
      </c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</row>
    <row r="406" hidden="1">
      <c r="A406" s="4"/>
      <c r="B406" s="28">
        <v>9.062048547E9</v>
      </c>
      <c r="C406" s="37">
        <v>45116.0</v>
      </c>
      <c r="D406" s="30" t="s">
        <v>338</v>
      </c>
      <c r="E406" s="38" t="s">
        <v>254</v>
      </c>
      <c r="F406" s="38">
        <v>15000.0</v>
      </c>
      <c r="G406" s="39">
        <f t="shared" si="6"/>
        <v>1237500</v>
      </c>
      <c r="H406" s="33"/>
      <c r="I406" s="34">
        <v>0.0</v>
      </c>
      <c r="J406" s="34">
        <v>100.0</v>
      </c>
      <c r="K406" s="34">
        <v>0.0</v>
      </c>
      <c r="L406" s="34">
        <v>0.0</v>
      </c>
      <c r="M406" s="4">
        <f t="shared" si="7"/>
        <v>100</v>
      </c>
      <c r="N406" s="17">
        <f t="shared" si="2"/>
        <v>0</v>
      </c>
      <c r="O406" s="17">
        <f t="shared" si="3"/>
        <v>1237500</v>
      </c>
      <c r="P406" s="17">
        <f t="shared" si="4"/>
        <v>0</v>
      </c>
      <c r="Q406" s="17">
        <f t="shared" si="5"/>
        <v>0</v>
      </c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</row>
    <row r="407" hidden="1">
      <c r="A407" s="4"/>
      <c r="B407" s="28">
        <v>9.062048547E9</v>
      </c>
      <c r="C407" s="37">
        <v>45116.0</v>
      </c>
      <c r="D407" s="30" t="s">
        <v>339</v>
      </c>
      <c r="E407" s="38" t="s">
        <v>254</v>
      </c>
      <c r="F407" s="38">
        <v>15000.0</v>
      </c>
      <c r="G407" s="39">
        <f t="shared" si="6"/>
        <v>1237500</v>
      </c>
      <c r="H407" s="33"/>
      <c r="I407" s="34"/>
      <c r="J407" s="34">
        <v>100.0</v>
      </c>
      <c r="K407" s="34"/>
      <c r="L407" s="34"/>
      <c r="M407" s="4"/>
      <c r="N407" s="17">
        <f t="shared" si="2"/>
        <v>0</v>
      </c>
      <c r="O407" s="17">
        <f t="shared" si="3"/>
        <v>1237500</v>
      </c>
      <c r="P407" s="17">
        <f t="shared" si="4"/>
        <v>0</v>
      </c>
      <c r="Q407" s="17">
        <f t="shared" si="5"/>
        <v>0</v>
      </c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</row>
    <row r="408" hidden="1">
      <c r="A408" s="4"/>
      <c r="B408" s="28">
        <v>9.062048547E9</v>
      </c>
      <c r="C408" s="37">
        <v>45116.0</v>
      </c>
      <c r="D408" s="30" t="s">
        <v>340</v>
      </c>
      <c r="E408" s="38" t="s">
        <v>254</v>
      </c>
      <c r="F408" s="38">
        <v>15000.0</v>
      </c>
      <c r="G408" s="39">
        <f t="shared" si="6"/>
        <v>1237500</v>
      </c>
      <c r="H408" s="33"/>
      <c r="I408" s="34"/>
      <c r="J408" s="34">
        <v>100.0</v>
      </c>
      <c r="K408" s="34"/>
      <c r="L408" s="34"/>
      <c r="M408" s="4"/>
      <c r="N408" s="17">
        <f t="shared" si="2"/>
        <v>0</v>
      </c>
      <c r="O408" s="17">
        <f t="shared" si="3"/>
        <v>1237500</v>
      </c>
      <c r="P408" s="17">
        <f t="shared" si="4"/>
        <v>0</v>
      </c>
      <c r="Q408" s="17">
        <f t="shared" si="5"/>
        <v>0</v>
      </c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</row>
    <row r="409" hidden="1">
      <c r="A409" s="4"/>
      <c r="B409" s="28">
        <v>9.062048547E9</v>
      </c>
      <c r="C409" s="37">
        <v>45116.0</v>
      </c>
      <c r="D409" s="30" t="s">
        <v>341</v>
      </c>
      <c r="E409" s="38" t="s">
        <v>254</v>
      </c>
      <c r="F409" s="38">
        <v>7000.0</v>
      </c>
      <c r="G409" s="39">
        <f t="shared" si="6"/>
        <v>577500</v>
      </c>
      <c r="H409" s="33"/>
      <c r="I409" s="34">
        <v>100.0</v>
      </c>
      <c r="J409" s="34">
        <v>0.0</v>
      </c>
      <c r="K409" s="34">
        <v>0.0</v>
      </c>
      <c r="L409" s="34">
        <v>0.0</v>
      </c>
      <c r="M409" s="4">
        <f>SUM(I409:L409)</f>
        <v>100</v>
      </c>
      <c r="N409" s="17">
        <f t="shared" si="2"/>
        <v>577500</v>
      </c>
      <c r="O409" s="17">
        <f t="shared" si="3"/>
        <v>0</v>
      </c>
      <c r="P409" s="17">
        <f t="shared" si="4"/>
        <v>0</v>
      </c>
      <c r="Q409" s="17">
        <f t="shared" si="5"/>
        <v>0</v>
      </c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</row>
    <row r="410" hidden="1">
      <c r="A410" s="4"/>
      <c r="B410" s="28">
        <v>9.062048547E9</v>
      </c>
      <c r="C410" s="37">
        <v>45116.0</v>
      </c>
      <c r="D410" s="30" t="s">
        <v>342</v>
      </c>
      <c r="E410" s="38" t="s">
        <v>254</v>
      </c>
      <c r="F410" s="38">
        <v>4000.0</v>
      </c>
      <c r="G410" s="39">
        <f t="shared" si="6"/>
        <v>330000</v>
      </c>
      <c r="H410" s="33"/>
      <c r="I410" s="34">
        <v>100.0</v>
      </c>
      <c r="J410" s="34"/>
      <c r="K410" s="34"/>
      <c r="L410" s="34"/>
      <c r="M410" s="4"/>
      <c r="N410" s="17">
        <f t="shared" si="2"/>
        <v>330000</v>
      </c>
      <c r="O410" s="17">
        <f t="shared" si="3"/>
        <v>0</v>
      </c>
      <c r="P410" s="17">
        <f t="shared" si="4"/>
        <v>0</v>
      </c>
      <c r="Q410" s="17">
        <f t="shared" si="5"/>
        <v>0</v>
      </c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</row>
    <row r="411" hidden="1">
      <c r="A411" s="4"/>
      <c r="B411" s="28">
        <v>9.062048547E9</v>
      </c>
      <c r="C411" s="37">
        <v>45116.0</v>
      </c>
      <c r="D411" s="30" t="s">
        <v>343</v>
      </c>
      <c r="E411" s="38" t="s">
        <v>254</v>
      </c>
      <c r="F411" s="38">
        <v>10000.0</v>
      </c>
      <c r="G411" s="39">
        <f t="shared" si="6"/>
        <v>825000</v>
      </c>
      <c r="H411" s="33"/>
      <c r="I411" s="34">
        <v>100.0</v>
      </c>
      <c r="J411" s="34">
        <v>0.0</v>
      </c>
      <c r="K411" s="34">
        <v>0.0</v>
      </c>
      <c r="L411" s="34">
        <v>0.0</v>
      </c>
      <c r="M411" s="4">
        <f t="shared" ref="M411:M412" si="8">SUM(I411:L411)</f>
        <v>100</v>
      </c>
      <c r="N411" s="17">
        <f t="shared" si="2"/>
        <v>825000</v>
      </c>
      <c r="O411" s="17">
        <f t="shared" si="3"/>
        <v>0</v>
      </c>
      <c r="P411" s="17">
        <f t="shared" si="4"/>
        <v>0</v>
      </c>
      <c r="Q411" s="17">
        <f t="shared" si="5"/>
        <v>0</v>
      </c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</row>
    <row r="412" hidden="1">
      <c r="A412" s="4"/>
      <c r="B412" s="28">
        <v>9.062048547E9</v>
      </c>
      <c r="C412" s="37">
        <v>45116.0</v>
      </c>
      <c r="D412" s="30" t="s">
        <v>344</v>
      </c>
      <c r="E412" s="38" t="s">
        <v>254</v>
      </c>
      <c r="F412" s="38">
        <v>11000.0</v>
      </c>
      <c r="G412" s="39">
        <f t="shared" si="6"/>
        <v>907500</v>
      </c>
      <c r="H412" s="33"/>
      <c r="I412" s="34">
        <v>100.0</v>
      </c>
      <c r="J412" s="34">
        <v>0.0</v>
      </c>
      <c r="K412" s="34">
        <v>0.0</v>
      </c>
      <c r="L412" s="34">
        <v>0.0</v>
      </c>
      <c r="M412" s="4">
        <f t="shared" si="8"/>
        <v>100</v>
      </c>
      <c r="N412" s="17">
        <f t="shared" si="2"/>
        <v>907500</v>
      </c>
      <c r="O412" s="17">
        <f t="shared" si="3"/>
        <v>0</v>
      </c>
      <c r="P412" s="17">
        <f t="shared" si="4"/>
        <v>0</v>
      </c>
      <c r="Q412" s="17">
        <f t="shared" si="5"/>
        <v>0</v>
      </c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</row>
    <row r="413" hidden="1">
      <c r="A413" s="4"/>
      <c r="B413" s="28">
        <v>9.062048547E9</v>
      </c>
      <c r="C413" s="37">
        <v>45116.0</v>
      </c>
      <c r="D413" s="30" t="s">
        <v>345</v>
      </c>
      <c r="E413" s="38" t="s">
        <v>254</v>
      </c>
      <c r="F413" s="38">
        <v>5000.0</v>
      </c>
      <c r="G413" s="39">
        <f t="shared" si="6"/>
        <v>412500</v>
      </c>
      <c r="H413" s="33"/>
      <c r="I413" s="34">
        <v>100.0</v>
      </c>
      <c r="J413" s="34"/>
      <c r="K413" s="34"/>
      <c r="L413" s="34"/>
      <c r="M413" s="4"/>
      <c r="N413" s="17">
        <f t="shared" si="2"/>
        <v>412500</v>
      </c>
      <c r="O413" s="17">
        <f t="shared" si="3"/>
        <v>0</v>
      </c>
      <c r="P413" s="17">
        <f t="shared" si="4"/>
        <v>0</v>
      </c>
      <c r="Q413" s="17">
        <f t="shared" si="5"/>
        <v>0</v>
      </c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</row>
    <row r="414" hidden="1">
      <c r="A414" s="4"/>
      <c r="B414" s="28">
        <v>9.062048547E9</v>
      </c>
      <c r="C414" s="37">
        <v>45116.0</v>
      </c>
      <c r="D414" s="30" t="s">
        <v>346</v>
      </c>
      <c r="E414" s="38" t="s">
        <v>254</v>
      </c>
      <c r="F414" s="38">
        <v>50000.0</v>
      </c>
      <c r="G414" s="39">
        <f t="shared" si="6"/>
        <v>4125000</v>
      </c>
      <c r="H414" s="33"/>
      <c r="I414" s="34">
        <v>100.0</v>
      </c>
      <c r="J414" s="34"/>
      <c r="K414" s="34"/>
      <c r="L414" s="34"/>
      <c r="M414" s="4"/>
      <c r="N414" s="17">
        <f t="shared" si="2"/>
        <v>4125000</v>
      </c>
      <c r="O414" s="17">
        <f t="shared" si="3"/>
        <v>0</v>
      </c>
      <c r="P414" s="17">
        <f t="shared" si="4"/>
        <v>0</v>
      </c>
      <c r="Q414" s="17">
        <f t="shared" si="5"/>
        <v>0</v>
      </c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</row>
    <row r="415" hidden="1">
      <c r="A415" s="4"/>
      <c r="B415" s="40">
        <v>9.062048581E9</v>
      </c>
      <c r="C415" s="41">
        <v>45269.0</v>
      </c>
      <c r="D415" s="30" t="s">
        <v>347</v>
      </c>
      <c r="E415" s="42" t="s">
        <v>262</v>
      </c>
      <c r="F415" s="38">
        <v>32000.0</v>
      </c>
      <c r="G415" s="39">
        <f t="shared" si="6"/>
        <v>2640000</v>
      </c>
      <c r="H415" s="33"/>
      <c r="I415" s="34">
        <v>0.0</v>
      </c>
      <c r="J415" s="34">
        <v>100.0</v>
      </c>
      <c r="K415" s="34">
        <v>0.0</v>
      </c>
      <c r="L415" s="34">
        <v>0.0</v>
      </c>
      <c r="M415" s="4">
        <f>SUM(I415:L415)</f>
        <v>100</v>
      </c>
      <c r="N415" s="17">
        <f t="shared" si="2"/>
        <v>0</v>
      </c>
      <c r="O415" s="17">
        <f t="shared" si="3"/>
        <v>2640000</v>
      </c>
      <c r="P415" s="17">
        <f t="shared" si="4"/>
        <v>0</v>
      </c>
      <c r="Q415" s="17">
        <f t="shared" si="5"/>
        <v>0</v>
      </c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</row>
    <row r="416" hidden="1">
      <c r="A416" s="4"/>
      <c r="B416" s="40">
        <v>9.062048581E9</v>
      </c>
      <c r="C416" s="41">
        <v>45269.0</v>
      </c>
      <c r="D416" s="30" t="s">
        <v>348</v>
      </c>
      <c r="E416" s="42" t="s">
        <v>262</v>
      </c>
      <c r="F416" s="38">
        <v>15000.0</v>
      </c>
      <c r="G416" s="39">
        <f t="shared" si="6"/>
        <v>1237500</v>
      </c>
      <c r="H416" s="33"/>
      <c r="I416" s="34"/>
      <c r="J416" s="34">
        <v>100.0</v>
      </c>
      <c r="K416" s="34"/>
      <c r="L416" s="34"/>
      <c r="M416" s="4"/>
      <c r="N416" s="17">
        <f t="shared" si="2"/>
        <v>0</v>
      </c>
      <c r="O416" s="17">
        <f t="shared" si="3"/>
        <v>1237500</v>
      </c>
      <c r="P416" s="17">
        <f t="shared" si="4"/>
        <v>0</v>
      </c>
      <c r="Q416" s="17">
        <f t="shared" si="5"/>
        <v>0</v>
      </c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</row>
    <row r="417" hidden="1">
      <c r="A417" s="4"/>
      <c r="B417" s="40">
        <v>9.062048581E9</v>
      </c>
      <c r="C417" s="41">
        <v>45269.0</v>
      </c>
      <c r="D417" s="30" t="s">
        <v>349</v>
      </c>
      <c r="E417" s="42" t="s">
        <v>262</v>
      </c>
      <c r="F417" s="38">
        <v>32000.0</v>
      </c>
      <c r="G417" s="39">
        <f t="shared" si="6"/>
        <v>2640000</v>
      </c>
      <c r="H417" s="33"/>
      <c r="I417" s="34"/>
      <c r="J417" s="34">
        <v>100.0</v>
      </c>
      <c r="K417" s="34"/>
      <c r="L417" s="34"/>
      <c r="M417" s="4"/>
      <c r="N417" s="17">
        <f t="shared" si="2"/>
        <v>0</v>
      </c>
      <c r="O417" s="17">
        <f t="shared" si="3"/>
        <v>2640000</v>
      </c>
      <c r="P417" s="17">
        <f t="shared" si="4"/>
        <v>0</v>
      </c>
      <c r="Q417" s="17">
        <f t="shared" si="5"/>
        <v>0</v>
      </c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</row>
    <row r="418" hidden="1">
      <c r="A418" s="4"/>
      <c r="B418" s="40">
        <v>9.062048581E9</v>
      </c>
      <c r="C418" s="41">
        <v>45269.0</v>
      </c>
      <c r="D418" s="30" t="s">
        <v>350</v>
      </c>
      <c r="E418" s="42" t="s">
        <v>351</v>
      </c>
      <c r="F418" s="38">
        <v>32000.0</v>
      </c>
      <c r="G418" s="39">
        <f t="shared" si="6"/>
        <v>2640000</v>
      </c>
      <c r="H418" s="33"/>
      <c r="I418" s="34"/>
      <c r="J418" s="34">
        <v>100.0</v>
      </c>
      <c r="K418" s="34"/>
      <c r="L418" s="34"/>
      <c r="M418" s="4"/>
      <c r="N418" s="17">
        <f t="shared" si="2"/>
        <v>0</v>
      </c>
      <c r="O418" s="17">
        <f t="shared" si="3"/>
        <v>2640000</v>
      </c>
      <c r="P418" s="17">
        <f t="shared" si="4"/>
        <v>0</v>
      </c>
      <c r="Q418" s="17">
        <f t="shared" si="5"/>
        <v>0</v>
      </c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</row>
    <row r="419" hidden="1">
      <c r="A419" s="4"/>
      <c r="B419" s="40">
        <v>9.062048581E9</v>
      </c>
      <c r="C419" s="41">
        <v>45269.0</v>
      </c>
      <c r="D419" s="30" t="s">
        <v>352</v>
      </c>
      <c r="E419" s="42" t="s">
        <v>351</v>
      </c>
      <c r="F419" s="38">
        <v>65000.0</v>
      </c>
      <c r="G419" s="39">
        <f t="shared" si="6"/>
        <v>5362500</v>
      </c>
      <c r="H419" s="33"/>
      <c r="I419" s="34"/>
      <c r="J419" s="34">
        <v>100.0</v>
      </c>
      <c r="K419" s="34"/>
      <c r="L419" s="34"/>
      <c r="M419" s="4"/>
      <c r="N419" s="17">
        <f t="shared" si="2"/>
        <v>0</v>
      </c>
      <c r="O419" s="17">
        <f t="shared" si="3"/>
        <v>5362500</v>
      </c>
      <c r="P419" s="17">
        <f t="shared" si="4"/>
        <v>0</v>
      </c>
      <c r="Q419" s="17">
        <f t="shared" si="5"/>
        <v>0</v>
      </c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</row>
    <row r="420" hidden="1">
      <c r="A420" s="4"/>
      <c r="B420" s="40">
        <v>9.062048581E9</v>
      </c>
      <c r="C420" s="41">
        <v>45269.0</v>
      </c>
      <c r="D420" s="30" t="s">
        <v>353</v>
      </c>
      <c r="E420" s="42" t="s">
        <v>351</v>
      </c>
      <c r="F420" s="38">
        <v>32000.0</v>
      </c>
      <c r="G420" s="39">
        <f t="shared" si="6"/>
        <v>2640000</v>
      </c>
      <c r="H420" s="33"/>
      <c r="I420" s="34"/>
      <c r="J420" s="34">
        <v>100.0</v>
      </c>
      <c r="K420" s="34"/>
      <c r="L420" s="34"/>
      <c r="M420" s="4"/>
      <c r="N420" s="17">
        <f t="shared" si="2"/>
        <v>0</v>
      </c>
      <c r="O420" s="17">
        <f t="shared" si="3"/>
        <v>2640000</v>
      </c>
      <c r="P420" s="17">
        <f t="shared" si="4"/>
        <v>0</v>
      </c>
      <c r="Q420" s="17">
        <f t="shared" si="5"/>
        <v>0</v>
      </c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</row>
    <row r="421" hidden="1">
      <c r="A421" s="4"/>
      <c r="B421" s="40">
        <v>9.062048581E9</v>
      </c>
      <c r="C421" s="41">
        <v>45269.0</v>
      </c>
      <c r="D421" s="30" t="s">
        <v>354</v>
      </c>
      <c r="E421" s="42" t="s">
        <v>351</v>
      </c>
      <c r="F421" s="38">
        <v>15000.0</v>
      </c>
      <c r="G421" s="39">
        <f t="shared" si="6"/>
        <v>1237500</v>
      </c>
      <c r="H421" s="33"/>
      <c r="I421" s="34">
        <v>0.0</v>
      </c>
      <c r="J421" s="34">
        <v>100.0</v>
      </c>
      <c r="K421" s="34">
        <v>0.0</v>
      </c>
      <c r="L421" s="34">
        <v>0.0</v>
      </c>
      <c r="M421" s="4">
        <f t="shared" ref="M421:M432" si="9">SUM(I421:L421)</f>
        <v>100</v>
      </c>
      <c r="N421" s="17">
        <f t="shared" si="2"/>
        <v>0</v>
      </c>
      <c r="O421" s="17">
        <f t="shared" si="3"/>
        <v>1237500</v>
      </c>
      <c r="P421" s="17">
        <f t="shared" si="4"/>
        <v>0</v>
      </c>
      <c r="Q421" s="17">
        <f t="shared" si="5"/>
        <v>0</v>
      </c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</row>
    <row r="422" hidden="1">
      <c r="A422" s="4"/>
      <c r="B422" s="28" t="s">
        <v>355</v>
      </c>
      <c r="C422" s="28" t="s">
        <v>355</v>
      </c>
      <c r="D422" s="30" t="s">
        <v>356</v>
      </c>
      <c r="E422" s="38" t="s">
        <v>65</v>
      </c>
      <c r="F422" s="38">
        <v>5000.0</v>
      </c>
      <c r="G422" s="39">
        <v>412500.0</v>
      </c>
      <c r="H422" s="33"/>
      <c r="I422" s="34">
        <v>30.0</v>
      </c>
      <c r="J422" s="34">
        <v>30.0</v>
      </c>
      <c r="K422" s="34">
        <v>0.0</v>
      </c>
      <c r="L422" s="34">
        <v>40.0</v>
      </c>
      <c r="M422" s="4">
        <f t="shared" si="9"/>
        <v>100</v>
      </c>
      <c r="N422" s="17">
        <f t="shared" si="2"/>
        <v>123750</v>
      </c>
      <c r="O422" s="17">
        <f t="shared" si="3"/>
        <v>123750</v>
      </c>
      <c r="P422" s="17">
        <f t="shared" si="4"/>
        <v>0</v>
      </c>
      <c r="Q422" s="17">
        <f t="shared" si="5"/>
        <v>165000</v>
      </c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</row>
    <row r="423" hidden="1">
      <c r="A423" s="4"/>
      <c r="B423" s="28" t="s">
        <v>355</v>
      </c>
      <c r="C423" s="28" t="s">
        <v>355</v>
      </c>
      <c r="D423" s="30" t="s">
        <v>356</v>
      </c>
      <c r="E423" s="38" t="s">
        <v>65</v>
      </c>
      <c r="F423" s="38">
        <v>17000.0</v>
      </c>
      <c r="G423" s="38">
        <v>1402500.0</v>
      </c>
      <c r="H423" s="33"/>
      <c r="I423" s="34">
        <v>30.0</v>
      </c>
      <c r="J423" s="34">
        <v>30.0</v>
      </c>
      <c r="K423" s="34">
        <v>0.0</v>
      </c>
      <c r="L423" s="34">
        <v>40.0</v>
      </c>
      <c r="M423" s="4">
        <f t="shared" si="9"/>
        <v>100</v>
      </c>
      <c r="N423" s="17">
        <f t="shared" si="2"/>
        <v>420750</v>
      </c>
      <c r="O423" s="17">
        <f t="shared" si="3"/>
        <v>420750</v>
      </c>
      <c r="P423" s="17">
        <f t="shared" si="4"/>
        <v>0</v>
      </c>
      <c r="Q423" s="17">
        <f t="shared" si="5"/>
        <v>561000</v>
      </c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</row>
    <row r="424" hidden="1">
      <c r="A424" s="4"/>
      <c r="B424" s="28" t="s">
        <v>355</v>
      </c>
      <c r="C424" s="28" t="s">
        <v>355</v>
      </c>
      <c r="D424" s="30" t="s">
        <v>357</v>
      </c>
      <c r="E424" s="38" t="s">
        <v>65</v>
      </c>
      <c r="F424" s="38">
        <v>2000.0</v>
      </c>
      <c r="G424" s="38">
        <v>165000.0</v>
      </c>
      <c r="H424" s="33"/>
      <c r="I424" s="34">
        <v>30.0</v>
      </c>
      <c r="J424" s="34">
        <v>30.0</v>
      </c>
      <c r="K424" s="34">
        <v>0.0</v>
      </c>
      <c r="L424" s="34">
        <v>40.0</v>
      </c>
      <c r="M424" s="4">
        <f t="shared" si="9"/>
        <v>100</v>
      </c>
      <c r="N424" s="17">
        <f t="shared" si="2"/>
        <v>49500</v>
      </c>
      <c r="O424" s="17">
        <f t="shared" si="3"/>
        <v>49500</v>
      </c>
      <c r="P424" s="17">
        <f t="shared" si="4"/>
        <v>0</v>
      </c>
      <c r="Q424" s="17">
        <f t="shared" si="5"/>
        <v>66000</v>
      </c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</row>
    <row r="425" hidden="1">
      <c r="A425" s="4"/>
      <c r="B425" s="28" t="s">
        <v>355</v>
      </c>
      <c r="C425" s="28" t="s">
        <v>355</v>
      </c>
      <c r="D425" s="30" t="s">
        <v>357</v>
      </c>
      <c r="E425" s="38" t="s">
        <v>65</v>
      </c>
      <c r="F425" s="38">
        <v>7000.0</v>
      </c>
      <c r="G425" s="38">
        <v>577500.0</v>
      </c>
      <c r="H425" s="33"/>
      <c r="I425" s="34">
        <v>30.0</v>
      </c>
      <c r="J425" s="34">
        <v>30.0</v>
      </c>
      <c r="K425" s="34">
        <v>0.0</v>
      </c>
      <c r="L425" s="34">
        <v>40.0</v>
      </c>
      <c r="M425" s="4">
        <f t="shared" si="9"/>
        <v>100</v>
      </c>
      <c r="N425" s="17">
        <f t="shared" si="2"/>
        <v>173250</v>
      </c>
      <c r="O425" s="17">
        <f t="shared" si="3"/>
        <v>173250</v>
      </c>
      <c r="P425" s="17">
        <f t="shared" si="4"/>
        <v>0</v>
      </c>
      <c r="Q425" s="17">
        <f t="shared" si="5"/>
        <v>231000</v>
      </c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</row>
    <row r="426" hidden="1">
      <c r="A426" s="4"/>
      <c r="B426" s="28" t="s">
        <v>355</v>
      </c>
      <c r="C426" s="28" t="s">
        <v>355</v>
      </c>
      <c r="D426" s="30" t="s">
        <v>358</v>
      </c>
      <c r="E426" s="38" t="s">
        <v>359</v>
      </c>
      <c r="F426" s="38">
        <v>3000.0</v>
      </c>
      <c r="G426" s="38">
        <v>247500.0</v>
      </c>
      <c r="H426" s="33"/>
      <c r="I426" s="34">
        <v>30.0</v>
      </c>
      <c r="J426" s="34">
        <v>30.0</v>
      </c>
      <c r="K426" s="34">
        <v>0.0</v>
      </c>
      <c r="L426" s="34">
        <v>40.0</v>
      </c>
      <c r="M426" s="4">
        <f t="shared" si="9"/>
        <v>100</v>
      </c>
      <c r="N426" s="17">
        <f t="shared" si="2"/>
        <v>74250</v>
      </c>
      <c r="O426" s="17">
        <f t="shared" si="3"/>
        <v>74250</v>
      </c>
      <c r="P426" s="17">
        <f t="shared" si="4"/>
        <v>0</v>
      </c>
      <c r="Q426" s="17">
        <f t="shared" si="5"/>
        <v>99000</v>
      </c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</row>
    <row r="427" hidden="1">
      <c r="A427" s="4"/>
      <c r="B427" s="28" t="s">
        <v>355</v>
      </c>
      <c r="C427" s="28" t="s">
        <v>355</v>
      </c>
      <c r="D427" s="30" t="s">
        <v>358</v>
      </c>
      <c r="E427" s="38" t="s">
        <v>359</v>
      </c>
      <c r="F427" s="38">
        <v>7000.0</v>
      </c>
      <c r="G427" s="38">
        <v>577500.0</v>
      </c>
      <c r="H427" s="33"/>
      <c r="I427" s="34">
        <v>30.0</v>
      </c>
      <c r="J427" s="34">
        <v>30.0</v>
      </c>
      <c r="K427" s="34">
        <v>0.0</v>
      </c>
      <c r="L427" s="34">
        <v>40.0</v>
      </c>
      <c r="M427" s="4">
        <f t="shared" si="9"/>
        <v>100</v>
      </c>
      <c r="N427" s="17">
        <f t="shared" si="2"/>
        <v>173250</v>
      </c>
      <c r="O427" s="17">
        <f t="shared" si="3"/>
        <v>173250</v>
      </c>
      <c r="P427" s="17">
        <f t="shared" si="4"/>
        <v>0</v>
      </c>
      <c r="Q427" s="17">
        <f t="shared" si="5"/>
        <v>231000</v>
      </c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</row>
    <row r="428" hidden="1">
      <c r="A428" s="4"/>
      <c r="B428" s="28" t="s">
        <v>355</v>
      </c>
      <c r="C428" s="28" t="s">
        <v>355</v>
      </c>
      <c r="D428" s="30" t="s">
        <v>360</v>
      </c>
      <c r="E428" s="38" t="s">
        <v>359</v>
      </c>
      <c r="F428" s="38">
        <v>4000.0</v>
      </c>
      <c r="G428" s="38">
        <v>330000.0</v>
      </c>
      <c r="H428" s="33"/>
      <c r="I428" s="34">
        <v>30.0</v>
      </c>
      <c r="J428" s="34">
        <v>30.0</v>
      </c>
      <c r="K428" s="34">
        <v>0.0</v>
      </c>
      <c r="L428" s="34">
        <v>40.0</v>
      </c>
      <c r="M428" s="4">
        <f t="shared" si="9"/>
        <v>100</v>
      </c>
      <c r="N428" s="17">
        <f t="shared" si="2"/>
        <v>99000</v>
      </c>
      <c r="O428" s="17">
        <f t="shared" si="3"/>
        <v>99000</v>
      </c>
      <c r="P428" s="17">
        <f t="shared" si="4"/>
        <v>0</v>
      </c>
      <c r="Q428" s="17">
        <f t="shared" si="5"/>
        <v>132000</v>
      </c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</row>
    <row r="429" hidden="1">
      <c r="A429" s="4"/>
      <c r="B429" s="28" t="s">
        <v>355</v>
      </c>
      <c r="C429" s="28" t="s">
        <v>355</v>
      </c>
      <c r="D429" s="30" t="s">
        <v>360</v>
      </c>
      <c r="E429" s="38" t="s">
        <v>359</v>
      </c>
      <c r="F429" s="38">
        <v>3000.0</v>
      </c>
      <c r="G429" s="38">
        <v>247500.0</v>
      </c>
      <c r="H429" s="33"/>
      <c r="I429" s="34">
        <v>30.0</v>
      </c>
      <c r="J429" s="34">
        <v>30.0</v>
      </c>
      <c r="K429" s="34">
        <v>0.0</v>
      </c>
      <c r="L429" s="34">
        <v>40.0</v>
      </c>
      <c r="M429" s="4">
        <f t="shared" si="9"/>
        <v>100</v>
      </c>
      <c r="N429" s="17">
        <f t="shared" si="2"/>
        <v>74250</v>
      </c>
      <c r="O429" s="17">
        <f t="shared" si="3"/>
        <v>74250</v>
      </c>
      <c r="P429" s="17">
        <f t="shared" si="4"/>
        <v>0</v>
      </c>
      <c r="Q429" s="17">
        <f t="shared" si="5"/>
        <v>99000</v>
      </c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</row>
    <row r="430" hidden="1">
      <c r="A430" s="4"/>
      <c r="B430" s="28" t="s">
        <v>355</v>
      </c>
      <c r="C430" s="28" t="s">
        <v>355</v>
      </c>
      <c r="D430" s="30" t="s">
        <v>361</v>
      </c>
      <c r="E430" s="38" t="s">
        <v>362</v>
      </c>
      <c r="F430" s="38">
        <v>50000.0</v>
      </c>
      <c r="G430" s="39">
        <f t="shared" ref="G430:G432" si="10">F430*82.5</f>
        <v>4125000</v>
      </c>
      <c r="H430" s="33"/>
      <c r="I430" s="34">
        <v>30.0</v>
      </c>
      <c r="J430" s="34">
        <v>30.0</v>
      </c>
      <c r="K430" s="34">
        <v>0.0</v>
      </c>
      <c r="L430" s="34">
        <v>40.0</v>
      </c>
      <c r="M430" s="4">
        <f t="shared" si="9"/>
        <v>100</v>
      </c>
      <c r="N430" s="17">
        <f t="shared" si="2"/>
        <v>1237500</v>
      </c>
      <c r="O430" s="17">
        <f t="shared" si="3"/>
        <v>1237500</v>
      </c>
      <c r="P430" s="17">
        <f t="shared" si="4"/>
        <v>0</v>
      </c>
      <c r="Q430" s="17">
        <f t="shared" si="5"/>
        <v>1650000</v>
      </c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</row>
    <row r="431" hidden="1">
      <c r="A431" s="4"/>
      <c r="B431" s="28" t="s">
        <v>355</v>
      </c>
      <c r="C431" s="28" t="s">
        <v>355</v>
      </c>
      <c r="D431" s="30" t="s">
        <v>363</v>
      </c>
      <c r="E431" s="38" t="s">
        <v>362</v>
      </c>
      <c r="F431" s="38">
        <v>50000.0</v>
      </c>
      <c r="G431" s="39">
        <f t="shared" si="10"/>
        <v>4125000</v>
      </c>
      <c r="H431" s="33"/>
      <c r="I431" s="34">
        <v>30.0</v>
      </c>
      <c r="J431" s="34">
        <v>30.0</v>
      </c>
      <c r="K431" s="34">
        <v>0.0</v>
      </c>
      <c r="L431" s="34">
        <v>40.0</v>
      </c>
      <c r="M431" s="4">
        <f t="shared" si="9"/>
        <v>100</v>
      </c>
      <c r="N431" s="17">
        <f t="shared" si="2"/>
        <v>1237500</v>
      </c>
      <c r="O431" s="17">
        <f t="shared" si="3"/>
        <v>1237500</v>
      </c>
      <c r="P431" s="17">
        <f t="shared" si="4"/>
        <v>0</v>
      </c>
      <c r="Q431" s="17">
        <f t="shared" si="5"/>
        <v>1650000</v>
      </c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</row>
    <row r="432" hidden="1">
      <c r="A432" s="4"/>
      <c r="B432" s="28" t="s">
        <v>355</v>
      </c>
      <c r="C432" s="28" t="s">
        <v>355</v>
      </c>
      <c r="D432" s="30" t="s">
        <v>364</v>
      </c>
      <c r="E432" s="38" t="s">
        <v>362</v>
      </c>
      <c r="F432" s="38">
        <v>141000.0</v>
      </c>
      <c r="G432" s="39">
        <f t="shared" si="10"/>
        <v>11632500</v>
      </c>
      <c r="H432" s="33"/>
      <c r="I432" s="34">
        <v>30.0</v>
      </c>
      <c r="J432" s="34">
        <v>30.0</v>
      </c>
      <c r="K432" s="34">
        <v>0.0</v>
      </c>
      <c r="L432" s="34">
        <v>40.0</v>
      </c>
      <c r="M432" s="4">
        <f t="shared" si="9"/>
        <v>100</v>
      </c>
      <c r="N432" s="17">
        <f t="shared" si="2"/>
        <v>3489750</v>
      </c>
      <c r="O432" s="17">
        <f t="shared" si="3"/>
        <v>3489750</v>
      </c>
      <c r="P432" s="17">
        <f t="shared" si="4"/>
        <v>0</v>
      </c>
      <c r="Q432" s="17">
        <f t="shared" si="5"/>
        <v>4653000</v>
      </c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</row>
    <row r="433" hidden="1">
      <c r="A433" s="4"/>
      <c r="B433" s="28" t="s">
        <v>365</v>
      </c>
      <c r="C433" s="28" t="s">
        <v>365</v>
      </c>
      <c r="D433" s="30" t="s">
        <v>366</v>
      </c>
      <c r="E433" s="38" t="s">
        <v>74</v>
      </c>
      <c r="F433" s="38">
        <v>62121.0</v>
      </c>
      <c r="G433" s="39">
        <v>5125000.0</v>
      </c>
      <c r="H433" s="4"/>
      <c r="I433" s="34"/>
      <c r="J433" s="34">
        <v>100.0</v>
      </c>
      <c r="K433" s="34">
        <v>0.0</v>
      </c>
      <c r="L433" s="34">
        <v>0.0</v>
      </c>
      <c r="M433" s="4"/>
      <c r="N433" s="17">
        <f t="shared" si="2"/>
        <v>0</v>
      </c>
      <c r="O433" s="17">
        <f t="shared" si="3"/>
        <v>5125000</v>
      </c>
      <c r="P433" s="17">
        <f t="shared" si="4"/>
        <v>0</v>
      </c>
      <c r="Q433" s="17">
        <f t="shared" si="5"/>
        <v>0</v>
      </c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</row>
    <row r="434" hidden="1">
      <c r="A434" s="4"/>
      <c r="B434" s="28" t="s">
        <v>355</v>
      </c>
      <c r="C434" s="28" t="s">
        <v>355</v>
      </c>
      <c r="D434" s="38" t="s">
        <v>367</v>
      </c>
      <c r="E434" s="38" t="s">
        <v>262</v>
      </c>
      <c r="F434" s="43">
        <v>19200.0</v>
      </c>
      <c r="G434" s="39">
        <f t="shared" ref="G434:G447" si="11">F434*82.5</f>
        <v>1584000</v>
      </c>
      <c r="H434" s="27"/>
      <c r="I434" s="34">
        <v>100.0</v>
      </c>
      <c r="J434" s="34">
        <v>0.0</v>
      </c>
      <c r="K434" s="34">
        <v>0.0</v>
      </c>
      <c r="L434" s="34">
        <v>0.0</v>
      </c>
      <c r="M434" s="4"/>
      <c r="N434" s="17">
        <f t="shared" si="2"/>
        <v>1584000</v>
      </c>
      <c r="O434" s="17">
        <f t="shared" si="3"/>
        <v>0</v>
      </c>
      <c r="P434" s="17">
        <f t="shared" si="4"/>
        <v>0</v>
      </c>
      <c r="Q434" s="17">
        <f t="shared" si="5"/>
        <v>0</v>
      </c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</row>
    <row r="435" hidden="1">
      <c r="A435" s="4"/>
      <c r="B435" s="28" t="s">
        <v>355</v>
      </c>
      <c r="C435" s="28" t="s">
        <v>355</v>
      </c>
      <c r="D435" s="38" t="s">
        <v>368</v>
      </c>
      <c r="E435" s="38" t="s">
        <v>351</v>
      </c>
      <c r="F435" s="43">
        <v>6400.0</v>
      </c>
      <c r="G435" s="39">
        <f t="shared" si="11"/>
        <v>528000</v>
      </c>
      <c r="H435" s="27"/>
      <c r="I435" s="34">
        <v>100.0</v>
      </c>
      <c r="J435" s="34">
        <v>0.0</v>
      </c>
      <c r="K435" s="34">
        <v>0.0</v>
      </c>
      <c r="L435" s="34">
        <v>0.0</v>
      </c>
      <c r="M435" s="4"/>
      <c r="N435" s="17">
        <f t="shared" si="2"/>
        <v>528000</v>
      </c>
      <c r="O435" s="17">
        <f t="shared" si="3"/>
        <v>0</v>
      </c>
      <c r="P435" s="17">
        <f t="shared" si="4"/>
        <v>0</v>
      </c>
      <c r="Q435" s="17">
        <f t="shared" si="5"/>
        <v>0</v>
      </c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</row>
    <row r="436" hidden="1">
      <c r="A436" s="4"/>
      <c r="B436" s="28" t="s">
        <v>355</v>
      </c>
      <c r="C436" s="28" t="s">
        <v>355</v>
      </c>
      <c r="D436" s="38" t="s">
        <v>369</v>
      </c>
      <c r="E436" s="38" t="s">
        <v>262</v>
      </c>
      <c r="F436" s="43">
        <v>26200.0</v>
      </c>
      <c r="G436" s="39">
        <f t="shared" si="11"/>
        <v>2161500</v>
      </c>
      <c r="H436" s="27"/>
      <c r="I436" s="34">
        <v>100.0</v>
      </c>
      <c r="J436" s="34">
        <v>0.0</v>
      </c>
      <c r="K436" s="34">
        <v>0.0</v>
      </c>
      <c r="L436" s="34">
        <v>0.0</v>
      </c>
      <c r="M436" s="4"/>
      <c r="N436" s="17">
        <f t="shared" si="2"/>
        <v>2161500</v>
      </c>
      <c r="O436" s="17">
        <f t="shared" si="3"/>
        <v>0</v>
      </c>
      <c r="P436" s="17">
        <f t="shared" si="4"/>
        <v>0</v>
      </c>
      <c r="Q436" s="17">
        <f t="shared" si="5"/>
        <v>0</v>
      </c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</row>
    <row r="437" hidden="1">
      <c r="A437" s="4"/>
      <c r="B437" s="28" t="s">
        <v>355</v>
      </c>
      <c r="C437" s="28" t="s">
        <v>355</v>
      </c>
      <c r="D437" s="38" t="s">
        <v>370</v>
      </c>
      <c r="E437" s="38" t="s">
        <v>351</v>
      </c>
      <c r="F437" s="43">
        <v>21400.0</v>
      </c>
      <c r="G437" s="39">
        <f t="shared" si="11"/>
        <v>1765500</v>
      </c>
      <c r="H437" s="27"/>
      <c r="I437" s="34">
        <v>100.0</v>
      </c>
      <c r="J437" s="34">
        <v>0.0</v>
      </c>
      <c r="K437" s="34">
        <v>0.0</v>
      </c>
      <c r="L437" s="34">
        <v>0.0</v>
      </c>
      <c r="M437" s="4"/>
      <c r="N437" s="17">
        <f t="shared" si="2"/>
        <v>1765500</v>
      </c>
      <c r="O437" s="17">
        <f t="shared" si="3"/>
        <v>0</v>
      </c>
      <c r="P437" s="17">
        <f t="shared" si="4"/>
        <v>0</v>
      </c>
      <c r="Q437" s="17">
        <f t="shared" si="5"/>
        <v>0</v>
      </c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</row>
    <row r="438" hidden="1">
      <c r="A438" s="4"/>
      <c r="B438" s="28" t="s">
        <v>355</v>
      </c>
      <c r="C438" s="28" t="s">
        <v>355</v>
      </c>
      <c r="D438" s="38" t="s">
        <v>371</v>
      </c>
      <c r="E438" s="38" t="s">
        <v>351</v>
      </c>
      <c r="F438" s="43">
        <v>16400.0</v>
      </c>
      <c r="G438" s="39">
        <f t="shared" si="11"/>
        <v>1353000</v>
      </c>
      <c r="H438" s="27"/>
      <c r="I438" s="34">
        <v>100.0</v>
      </c>
      <c r="J438" s="34">
        <v>0.0</v>
      </c>
      <c r="K438" s="34">
        <v>0.0</v>
      </c>
      <c r="L438" s="34">
        <v>0.0</v>
      </c>
      <c r="M438" s="4"/>
      <c r="N438" s="17">
        <f t="shared" si="2"/>
        <v>1353000</v>
      </c>
      <c r="O438" s="17">
        <f t="shared" si="3"/>
        <v>0</v>
      </c>
      <c r="P438" s="17">
        <f t="shared" si="4"/>
        <v>0</v>
      </c>
      <c r="Q438" s="17">
        <f t="shared" si="5"/>
        <v>0</v>
      </c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</row>
    <row r="439" hidden="1">
      <c r="A439" s="4"/>
      <c r="B439" s="28" t="s">
        <v>355</v>
      </c>
      <c r="C439" s="28" t="s">
        <v>355</v>
      </c>
      <c r="D439" s="38" t="s">
        <v>372</v>
      </c>
      <c r="E439" s="38" t="s">
        <v>262</v>
      </c>
      <c r="F439" s="43">
        <v>23400.0</v>
      </c>
      <c r="G439" s="39">
        <f t="shared" si="11"/>
        <v>1930500</v>
      </c>
      <c r="H439" s="27"/>
      <c r="I439" s="34">
        <v>0.0</v>
      </c>
      <c r="J439" s="34">
        <v>100.0</v>
      </c>
      <c r="K439" s="34">
        <v>0.0</v>
      </c>
      <c r="L439" s="34">
        <v>0.0</v>
      </c>
      <c r="M439" s="4"/>
      <c r="N439" s="17">
        <f t="shared" si="2"/>
        <v>0</v>
      </c>
      <c r="O439" s="17">
        <f t="shared" si="3"/>
        <v>1930500</v>
      </c>
      <c r="P439" s="17">
        <f t="shared" si="4"/>
        <v>0</v>
      </c>
      <c r="Q439" s="17">
        <f t="shared" si="5"/>
        <v>0</v>
      </c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</row>
    <row r="440" hidden="1">
      <c r="A440" s="4"/>
      <c r="B440" s="28" t="s">
        <v>355</v>
      </c>
      <c r="C440" s="28" t="s">
        <v>355</v>
      </c>
      <c r="D440" s="38" t="s">
        <v>373</v>
      </c>
      <c r="E440" s="38" t="s">
        <v>262</v>
      </c>
      <c r="F440" s="43">
        <v>31200.0</v>
      </c>
      <c r="G440" s="39">
        <f t="shared" si="11"/>
        <v>2574000</v>
      </c>
      <c r="H440" s="27"/>
      <c r="I440" s="34">
        <v>100.0</v>
      </c>
      <c r="J440" s="34"/>
      <c r="K440" s="34">
        <v>0.0</v>
      </c>
      <c r="L440" s="34">
        <v>0.0</v>
      </c>
      <c r="M440" s="4"/>
      <c r="N440" s="17">
        <f t="shared" si="2"/>
        <v>2574000</v>
      </c>
      <c r="O440" s="17">
        <f t="shared" si="3"/>
        <v>0</v>
      </c>
      <c r="P440" s="17">
        <f t="shared" si="4"/>
        <v>0</v>
      </c>
      <c r="Q440" s="17">
        <f t="shared" si="5"/>
        <v>0</v>
      </c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</row>
    <row r="441" hidden="1">
      <c r="A441" s="4"/>
      <c r="B441" s="28" t="s">
        <v>355</v>
      </c>
      <c r="C441" s="28" t="s">
        <v>355</v>
      </c>
      <c r="D441" s="38" t="s">
        <v>374</v>
      </c>
      <c r="E441" s="38" t="s">
        <v>262</v>
      </c>
      <c r="F441" s="43">
        <v>16400.0</v>
      </c>
      <c r="G441" s="39">
        <f t="shared" si="11"/>
        <v>1353000</v>
      </c>
      <c r="H441" s="27"/>
      <c r="I441" s="34">
        <v>100.0</v>
      </c>
      <c r="J441" s="34"/>
      <c r="K441" s="34">
        <v>0.0</v>
      </c>
      <c r="L441" s="34">
        <v>0.0</v>
      </c>
      <c r="M441" s="4"/>
      <c r="N441" s="17">
        <f t="shared" si="2"/>
        <v>1353000</v>
      </c>
      <c r="O441" s="17">
        <f t="shared" si="3"/>
        <v>0</v>
      </c>
      <c r="P441" s="17">
        <f t="shared" si="4"/>
        <v>0</v>
      </c>
      <c r="Q441" s="17">
        <f t="shared" si="5"/>
        <v>0</v>
      </c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</row>
    <row r="442" hidden="1">
      <c r="A442" s="4"/>
      <c r="B442" s="28" t="s">
        <v>355</v>
      </c>
      <c r="C442" s="28" t="s">
        <v>355</v>
      </c>
      <c r="D442" s="38" t="s">
        <v>375</v>
      </c>
      <c r="E442" s="38" t="s">
        <v>262</v>
      </c>
      <c r="F442" s="43">
        <v>13200.0</v>
      </c>
      <c r="G442" s="39">
        <f t="shared" si="11"/>
        <v>1089000</v>
      </c>
      <c r="H442" s="27"/>
      <c r="I442" s="34">
        <v>100.0</v>
      </c>
      <c r="J442" s="34"/>
      <c r="K442" s="34">
        <v>0.0</v>
      </c>
      <c r="L442" s="34">
        <v>0.0</v>
      </c>
      <c r="M442" s="4"/>
      <c r="N442" s="17">
        <f t="shared" si="2"/>
        <v>1089000</v>
      </c>
      <c r="O442" s="17">
        <f t="shared" si="3"/>
        <v>0</v>
      </c>
      <c r="P442" s="17">
        <f t="shared" si="4"/>
        <v>0</v>
      </c>
      <c r="Q442" s="17">
        <f t="shared" si="5"/>
        <v>0</v>
      </c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</row>
    <row r="443" hidden="1">
      <c r="A443" s="4"/>
      <c r="B443" s="28" t="s">
        <v>355</v>
      </c>
      <c r="C443" s="28" t="s">
        <v>355</v>
      </c>
      <c r="D443" s="38" t="s">
        <v>376</v>
      </c>
      <c r="E443" s="38" t="s">
        <v>262</v>
      </c>
      <c r="F443" s="43">
        <v>16400.0</v>
      </c>
      <c r="G443" s="39">
        <f t="shared" si="11"/>
        <v>1353000</v>
      </c>
      <c r="H443" s="27"/>
      <c r="I443" s="34">
        <v>100.0</v>
      </c>
      <c r="J443" s="34"/>
      <c r="K443" s="34">
        <v>0.0</v>
      </c>
      <c r="L443" s="34">
        <v>0.0</v>
      </c>
      <c r="M443" s="4"/>
      <c r="N443" s="17">
        <f t="shared" si="2"/>
        <v>1353000</v>
      </c>
      <c r="O443" s="17">
        <f t="shared" si="3"/>
        <v>0</v>
      </c>
      <c r="P443" s="17">
        <f t="shared" si="4"/>
        <v>0</v>
      </c>
      <c r="Q443" s="17">
        <f t="shared" si="5"/>
        <v>0</v>
      </c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</row>
    <row r="444" hidden="1">
      <c r="A444" s="4"/>
      <c r="B444" s="28" t="s">
        <v>355</v>
      </c>
      <c r="C444" s="28" t="s">
        <v>355</v>
      </c>
      <c r="D444" s="38" t="s">
        <v>377</v>
      </c>
      <c r="E444" s="38" t="s">
        <v>351</v>
      </c>
      <c r="F444" s="43">
        <v>19200.0</v>
      </c>
      <c r="G444" s="39">
        <f t="shared" si="11"/>
        <v>1584000</v>
      </c>
      <c r="H444" s="27"/>
      <c r="I444" s="34">
        <v>0.0</v>
      </c>
      <c r="J444" s="34">
        <v>100.0</v>
      </c>
      <c r="K444" s="34">
        <v>0.0</v>
      </c>
      <c r="L444" s="34">
        <v>0.0</v>
      </c>
      <c r="M444" s="4"/>
      <c r="N444" s="17">
        <f t="shared" si="2"/>
        <v>0</v>
      </c>
      <c r="O444" s="17">
        <f t="shared" si="3"/>
        <v>1584000</v>
      </c>
      <c r="P444" s="17">
        <f t="shared" si="4"/>
        <v>0</v>
      </c>
      <c r="Q444" s="17">
        <f t="shared" si="5"/>
        <v>0</v>
      </c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</row>
    <row r="445" hidden="1">
      <c r="A445" s="4"/>
      <c r="B445" s="28" t="s">
        <v>355</v>
      </c>
      <c r="C445" s="28" t="s">
        <v>355</v>
      </c>
      <c r="D445" s="38" t="s">
        <v>378</v>
      </c>
      <c r="E445" s="38" t="s">
        <v>351</v>
      </c>
      <c r="F445" s="43">
        <v>16400.0</v>
      </c>
      <c r="G445" s="39">
        <f t="shared" si="11"/>
        <v>1353000</v>
      </c>
      <c r="H445" s="27"/>
      <c r="I445" s="34">
        <v>100.0</v>
      </c>
      <c r="J445" s="34"/>
      <c r="K445" s="34">
        <v>0.0</v>
      </c>
      <c r="L445" s="34">
        <v>0.0</v>
      </c>
      <c r="M445" s="4"/>
      <c r="N445" s="17">
        <f t="shared" si="2"/>
        <v>1353000</v>
      </c>
      <c r="O445" s="17">
        <f t="shared" si="3"/>
        <v>0</v>
      </c>
      <c r="P445" s="17">
        <f t="shared" si="4"/>
        <v>0</v>
      </c>
      <c r="Q445" s="17">
        <f t="shared" si="5"/>
        <v>0</v>
      </c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</row>
    <row r="446" hidden="1">
      <c r="A446" s="4"/>
      <c r="B446" s="28" t="s">
        <v>355</v>
      </c>
      <c r="C446" s="28" t="s">
        <v>355</v>
      </c>
      <c r="D446" s="38" t="s">
        <v>379</v>
      </c>
      <c r="E446" s="38" t="s">
        <v>351</v>
      </c>
      <c r="F446" s="43">
        <v>21400.0</v>
      </c>
      <c r="G446" s="39">
        <f t="shared" si="11"/>
        <v>1765500</v>
      </c>
      <c r="H446" s="27"/>
      <c r="I446" s="34">
        <v>100.0</v>
      </c>
      <c r="J446" s="34"/>
      <c r="K446" s="34">
        <v>0.0</v>
      </c>
      <c r="L446" s="34">
        <v>0.0</v>
      </c>
      <c r="M446" s="4"/>
      <c r="N446" s="17">
        <f t="shared" si="2"/>
        <v>1765500</v>
      </c>
      <c r="O446" s="17">
        <f t="shared" si="3"/>
        <v>0</v>
      </c>
      <c r="P446" s="17">
        <f t="shared" si="4"/>
        <v>0</v>
      </c>
      <c r="Q446" s="17">
        <f t="shared" si="5"/>
        <v>0</v>
      </c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</row>
    <row r="447" hidden="1">
      <c r="A447" s="4"/>
      <c r="B447" s="28" t="s">
        <v>355</v>
      </c>
      <c r="C447" s="28" t="s">
        <v>355</v>
      </c>
      <c r="D447" s="38" t="s">
        <v>380</v>
      </c>
      <c r="E447" s="38" t="s">
        <v>351</v>
      </c>
      <c r="F447" s="43">
        <v>3200.0</v>
      </c>
      <c r="G447" s="39">
        <f t="shared" si="11"/>
        <v>264000</v>
      </c>
      <c r="H447" s="27"/>
      <c r="I447" s="34">
        <v>100.0</v>
      </c>
      <c r="J447" s="34"/>
      <c r="K447" s="34">
        <v>0.0</v>
      </c>
      <c r="L447" s="34">
        <v>0.0</v>
      </c>
      <c r="M447" s="4"/>
      <c r="N447" s="17">
        <f t="shared" si="2"/>
        <v>264000</v>
      </c>
      <c r="O447" s="17">
        <f t="shared" si="3"/>
        <v>0</v>
      </c>
      <c r="P447" s="17">
        <f t="shared" si="4"/>
        <v>0</v>
      </c>
      <c r="Q447" s="17">
        <f t="shared" si="5"/>
        <v>0</v>
      </c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</row>
    <row r="448">
      <c r="A448" s="4"/>
      <c r="B448" s="2"/>
      <c r="C448" s="2"/>
      <c r="D448" s="3"/>
      <c r="H448" s="4"/>
      <c r="I448" s="4"/>
      <c r="J448" s="4"/>
      <c r="K448" s="4"/>
      <c r="L448" s="1" t="s">
        <v>381</v>
      </c>
      <c r="M448" s="4"/>
      <c r="N448" s="44">
        <f t="shared" ref="N448:Q448" si="12">SUM(N8:N447)</f>
        <v>125603152.9</v>
      </c>
      <c r="O448" s="44">
        <f t="shared" si="12"/>
        <v>149227430.7</v>
      </c>
      <c r="P448" s="44">
        <f t="shared" si="12"/>
        <v>22510603.58</v>
      </c>
      <c r="Q448" s="44">
        <f t="shared" si="12"/>
        <v>25436375.78</v>
      </c>
      <c r="R448" s="44">
        <f>sum(N448:Q448)</f>
        <v>322777563</v>
      </c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</row>
    <row r="449">
      <c r="A449" s="4"/>
      <c r="B449" s="2"/>
      <c r="C449" s="2"/>
      <c r="D449" s="3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5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</row>
    <row r="450">
      <c r="A450" s="4"/>
      <c r="B450" s="2"/>
      <c r="C450" s="2"/>
      <c r="D450" s="3"/>
      <c r="E450" s="1" t="s">
        <v>382</v>
      </c>
      <c r="F450" s="4"/>
      <c r="G450" s="46">
        <f>SUM(G8:G316)</f>
        <v>195864413</v>
      </c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</row>
    <row r="451">
      <c r="A451" s="4"/>
      <c r="B451" s="2"/>
      <c r="C451" s="2"/>
      <c r="D451" s="3"/>
      <c r="E451" s="1" t="s">
        <v>306</v>
      </c>
      <c r="F451" s="4"/>
      <c r="G451" s="46">
        <f>SUM(G317:G447)</f>
        <v>126913150</v>
      </c>
      <c r="H451" s="4"/>
      <c r="I451" s="1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</row>
    <row r="452">
      <c r="A452" s="4"/>
      <c r="B452" s="2"/>
      <c r="C452" s="2"/>
      <c r="D452" s="3"/>
      <c r="E452" s="1" t="s">
        <v>381</v>
      </c>
      <c r="F452" s="4"/>
      <c r="G452" s="46">
        <f>SUM(G8:G447)</f>
        <v>322777563</v>
      </c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</row>
    <row r="453">
      <c r="A453" s="4"/>
      <c r="B453" s="2"/>
      <c r="C453" s="2"/>
      <c r="D453" s="3"/>
      <c r="E453" s="1" t="s">
        <v>383</v>
      </c>
      <c r="F453" s="4"/>
      <c r="G453" s="46">
        <v>3.26154486E8</v>
      </c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</row>
    <row r="454">
      <c r="A454" s="4"/>
      <c r="B454" s="2"/>
      <c r="C454" s="2"/>
      <c r="D454" s="3"/>
      <c r="E454" s="1" t="s">
        <v>384</v>
      </c>
      <c r="F454" s="4"/>
      <c r="G454" s="46">
        <f>G453-G452</f>
        <v>3376923</v>
      </c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</row>
    <row r="455">
      <c r="A455" s="4"/>
      <c r="B455" s="2"/>
      <c r="C455" s="2" t="s">
        <v>8</v>
      </c>
      <c r="D455" s="3" t="s">
        <v>385</v>
      </c>
      <c r="E455" s="4" t="s">
        <v>386</v>
      </c>
      <c r="F455" s="4" t="s">
        <v>387</v>
      </c>
      <c r="G455" s="4" t="s">
        <v>388</v>
      </c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</row>
    <row r="456">
      <c r="A456" s="4"/>
      <c r="B456" s="2"/>
      <c r="C456" s="47" t="s">
        <v>77</v>
      </c>
      <c r="D456" s="48">
        <v>1401319.92</v>
      </c>
      <c r="E456" s="49">
        <v>7989071.52</v>
      </c>
      <c r="F456" s="49">
        <v>2310350.7800000003</v>
      </c>
      <c r="G456" s="49">
        <v>2038513.28</v>
      </c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</row>
    <row r="457">
      <c r="A457" s="4"/>
      <c r="B457" s="2"/>
      <c r="C457" s="47" t="s">
        <v>362</v>
      </c>
      <c r="D457" s="48">
        <v>5964750.0</v>
      </c>
      <c r="E457" s="49">
        <v>5964750.0</v>
      </c>
      <c r="F457" s="49">
        <v>0.0</v>
      </c>
      <c r="G457" s="49">
        <v>7953000.0</v>
      </c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</row>
    <row r="458">
      <c r="A458" s="4"/>
      <c r="B458" s="2"/>
      <c r="C458" s="47" t="s">
        <v>22</v>
      </c>
      <c r="D458" s="48">
        <v>7.1576113E7</v>
      </c>
      <c r="E458" s="49">
        <v>5.08798467E7</v>
      </c>
      <c r="F458" s="49">
        <v>2.02002528E7</v>
      </c>
      <c r="G458" s="49">
        <v>1.38608625E7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</row>
    <row r="459">
      <c r="A459" s="4"/>
      <c r="B459" s="2"/>
      <c r="C459" s="47" t="s">
        <v>359</v>
      </c>
      <c r="D459" s="48">
        <v>420750.0</v>
      </c>
      <c r="E459" s="49">
        <v>420750.0</v>
      </c>
      <c r="F459" s="49">
        <v>0.0</v>
      </c>
      <c r="G459" s="49">
        <v>561000.0</v>
      </c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</row>
    <row r="460">
      <c r="A460" s="4"/>
      <c r="B460" s="2"/>
      <c r="C460" s="47" t="s">
        <v>65</v>
      </c>
      <c r="D460" s="48">
        <v>5419220.0</v>
      </c>
      <c r="E460" s="49">
        <v>5409100.0</v>
      </c>
      <c r="F460" s="49">
        <v>0.0</v>
      </c>
      <c r="G460" s="49">
        <v>1023000.0</v>
      </c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</row>
    <row r="461">
      <c r="A461" s="4"/>
      <c r="B461" s="2"/>
      <c r="C461" s="47" t="s">
        <v>351</v>
      </c>
      <c r="D461" s="48">
        <v>7029000.0</v>
      </c>
      <c r="E461" s="49">
        <v>1.3464E7</v>
      </c>
      <c r="F461" s="49">
        <v>0.0</v>
      </c>
      <c r="G461" s="49">
        <v>0.0</v>
      </c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</row>
    <row r="462">
      <c r="A462" s="4"/>
      <c r="B462" s="2"/>
      <c r="C462" s="47" t="s">
        <v>262</v>
      </c>
      <c r="D462" s="48">
        <v>2.3562E7</v>
      </c>
      <c r="E462" s="49">
        <v>2.6103E7</v>
      </c>
      <c r="F462" s="49">
        <v>0.0</v>
      </c>
      <c r="G462" s="49">
        <v>0.0</v>
      </c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</row>
    <row r="463">
      <c r="A463" s="4"/>
      <c r="B463" s="2"/>
      <c r="C463" s="47" t="s">
        <v>254</v>
      </c>
      <c r="D463" s="48">
        <v>1.023E7</v>
      </c>
      <c r="E463" s="49">
        <v>1.056E7</v>
      </c>
      <c r="F463" s="49">
        <v>0.0</v>
      </c>
      <c r="G463" s="49">
        <v>0.0</v>
      </c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</row>
    <row r="464">
      <c r="A464" s="4"/>
      <c r="B464" s="2"/>
      <c r="C464" s="47" t="s">
        <v>74</v>
      </c>
      <c r="D464" s="48">
        <v>0.0</v>
      </c>
      <c r="E464" s="49">
        <v>2.84369125E7</v>
      </c>
      <c r="F464" s="49">
        <v>0.0</v>
      </c>
      <c r="G464" s="49">
        <v>0.0</v>
      </c>
      <c r="H464" s="4"/>
      <c r="I464" s="1">
        <v>5125000.0</v>
      </c>
      <c r="J464" s="49">
        <f>E464-I464</f>
        <v>23311912.5</v>
      </c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</row>
    <row r="465">
      <c r="A465" s="4"/>
      <c r="B465" s="2"/>
      <c r="C465" s="47" t="s">
        <v>389</v>
      </c>
      <c r="D465" s="48">
        <v>1.2560315292E8</v>
      </c>
      <c r="E465" s="49">
        <v>1.4922743072E8</v>
      </c>
      <c r="F465" s="49">
        <v>2.251060358E7</v>
      </c>
      <c r="G465" s="49">
        <v>2.543637578E7</v>
      </c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</row>
    <row r="466">
      <c r="A466" s="4"/>
      <c r="B466" s="2"/>
      <c r="C466" s="47"/>
      <c r="D466" s="48"/>
      <c r="E466" s="49"/>
      <c r="F466" s="49"/>
      <c r="G466" s="49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</row>
    <row r="467">
      <c r="A467" s="4"/>
      <c r="B467" s="2"/>
      <c r="C467" s="2"/>
      <c r="D467" s="48"/>
      <c r="E467" s="49"/>
      <c r="F467" s="49"/>
      <c r="G467" s="49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</row>
    <row r="468">
      <c r="A468" s="4"/>
      <c r="B468" s="2"/>
      <c r="C468" s="2"/>
      <c r="D468" s="3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</row>
    <row r="469">
      <c r="A469" s="4"/>
      <c r="B469" s="2"/>
      <c r="C469" s="2"/>
      <c r="D469" s="3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</row>
    <row r="470">
      <c r="A470" s="4"/>
      <c r="B470" s="2"/>
      <c r="C470" s="50"/>
      <c r="D470" s="50"/>
      <c r="E470" s="50"/>
      <c r="F470" s="50"/>
      <c r="G470" s="50"/>
      <c r="H470" s="50"/>
      <c r="I470" s="4"/>
      <c r="J470" s="4"/>
      <c r="K470" s="4"/>
      <c r="L470" s="50"/>
      <c r="M470" s="50"/>
      <c r="N470" s="50"/>
      <c r="O470" s="50"/>
      <c r="P470" s="50"/>
      <c r="Q470" s="50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</row>
    <row r="471">
      <c r="A471" s="4"/>
      <c r="B471" s="2"/>
      <c r="C471" s="50"/>
      <c r="D471" s="50"/>
      <c r="E471" s="50"/>
      <c r="F471" s="50"/>
      <c r="G471" s="50"/>
      <c r="H471" s="50"/>
      <c r="I471" s="4"/>
      <c r="J471" s="4"/>
      <c r="K471" s="4"/>
      <c r="L471" s="50"/>
      <c r="M471" s="50"/>
      <c r="N471" s="50"/>
      <c r="O471" s="50"/>
      <c r="P471" s="50"/>
      <c r="Q471" s="50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</row>
    <row r="472">
      <c r="A472" s="4"/>
      <c r="B472" s="2"/>
      <c r="C472" s="50"/>
      <c r="D472" s="50"/>
      <c r="E472" s="50"/>
      <c r="F472" s="50"/>
      <c r="G472" s="50"/>
      <c r="H472" s="50"/>
      <c r="I472" s="4"/>
      <c r="J472" s="4"/>
      <c r="K472" s="4"/>
      <c r="L472" s="4"/>
      <c r="M472" s="4"/>
      <c r="N472" s="4"/>
      <c r="O472" s="51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</row>
    <row r="473">
      <c r="A473" s="4"/>
      <c r="B473" s="2"/>
      <c r="C473" s="50"/>
      <c r="D473" s="50"/>
      <c r="E473" s="50"/>
      <c r="F473" s="50"/>
      <c r="G473" s="50"/>
      <c r="H473" s="50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</row>
    <row r="474">
      <c r="A474" s="4"/>
      <c r="B474" s="2"/>
      <c r="C474" s="52" t="str">
        <f>IFERROR(__xludf.DUMMYFUNCTION("importrange(""https://docs.google.com/spreadsheets/d/1kFlyfvjWi0Jr3x_F_TshhpSgcHu-B-yUZgW7_WcClFs/edit#gid=90879778"",""Keysight!b4:e156"")"),"SW / QA Team")</f>
        <v>SW / QA Team</v>
      </c>
      <c r="D474" s="53"/>
      <c r="E474" s="53"/>
      <c r="F474" s="53"/>
      <c r="G474" s="53"/>
      <c r="H474" s="53"/>
      <c r="I474" s="5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</row>
    <row r="475">
      <c r="A475" s="4"/>
      <c r="B475" s="2"/>
      <c r="C475" s="55" t="str">
        <f>IFERROR(__xludf.DUMMYFUNCTION("""COMPUTED_VALUE"""),"Project ")</f>
        <v>Project </v>
      </c>
      <c r="D475" s="55" t="str">
        <f>IFERROR(__xludf.DUMMYFUNCTION("""COMPUTED_VALUE"""),"customer")</f>
        <v>customer</v>
      </c>
      <c r="E475" s="55" t="str">
        <f>IFERROR(__xludf.DUMMYFUNCTION("""COMPUTED_VALUE"""),"Annual salary cost (in INR in L)")</f>
        <v>Annual salary cost (in INR in L)</v>
      </c>
      <c r="F475" s="55" t="str">
        <f>IFERROR(__xludf.DUMMYFUNCTION("""COMPUTED_VALUE"""),"annual salary cost with overhead (in L)")</f>
        <v>annual salary cost with overhead (in L)</v>
      </c>
      <c r="G475" s="55" t="s">
        <v>306</v>
      </c>
      <c r="H475" s="55"/>
      <c r="I475" s="55" t="s">
        <v>390</v>
      </c>
      <c r="J475" s="4"/>
      <c r="K475" s="4"/>
      <c r="L475" s="4"/>
      <c r="M475" s="4"/>
      <c r="N475" s="4">
        <f>(D465+G465)/100000</f>
        <v>1510.395287</v>
      </c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</row>
    <row r="476">
      <c r="A476" s="4"/>
      <c r="B476" s="2"/>
      <c r="C476" s="56" t="str">
        <f>IFERROR(__xludf.DUMMYFUNCTION("""COMPUTED_VALUE"""),"Keysight_Corvette_Gen5_Analyzer_156")</f>
        <v>Keysight_Corvette_Gen5_Analyzer_156</v>
      </c>
      <c r="D476" s="56" t="str">
        <f>IFERROR(__xludf.DUMMYFUNCTION("""COMPUTED_VALUE"""),"keysight corvette")</f>
        <v>keysight corvette</v>
      </c>
      <c r="E476" s="57">
        <f>IFERROR(__xludf.DUMMYFUNCTION("""COMPUTED_VALUE"""),37.11975720833333)</f>
        <v>37.11975721</v>
      </c>
      <c r="F476" s="58">
        <f>IFERROR(__xludf.DUMMYFUNCTION("""COMPUTED_VALUE"""),53.63804916604167)</f>
        <v>53.63804917</v>
      </c>
      <c r="G476" s="58">
        <f t="shared" ref="G476:G489" si="13">(iferror(vlookup(C476,$C$456:$D$464,2,false)/100000,0))+iferror((vlookup(C476,$C$455:$G$465,5,false)/100000),0)</f>
        <v>34.398332</v>
      </c>
      <c r="H476" s="59"/>
      <c r="I476" s="58">
        <f t="shared" ref="I476:I489" si="14">G476-F476</f>
        <v>-19.23971717</v>
      </c>
      <c r="J476" s="4"/>
      <c r="K476" s="60">
        <f>iferror((vlookup(C476,C455:G465,5,false)/100000),0)</f>
        <v>20.3851328</v>
      </c>
      <c r="L476" s="1" t="s">
        <v>391</v>
      </c>
      <c r="M476" s="4"/>
      <c r="N476" s="61">
        <f>E490/N475</f>
        <v>0.539571295</v>
      </c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</row>
    <row r="477">
      <c r="A477" s="4"/>
      <c r="B477" s="2"/>
      <c r="C477" s="56" t="str">
        <f>IFERROR(__xludf.DUMMYFUNCTION("""COMPUTED_VALUE"""),"Keysight_Corvette_Gen5_Exerciser_157")</f>
        <v>Keysight_Corvette_Gen5_Exerciser_157</v>
      </c>
      <c r="D477" s="56" t="str">
        <f>IFERROR(__xludf.DUMMYFUNCTION("""COMPUTED_VALUE"""),"keysight corvette")</f>
        <v>keysight corvette</v>
      </c>
      <c r="E477" s="57">
        <f>IFERROR(__xludf.DUMMYFUNCTION("""COMPUTED_VALUE"""),14.324689500000002)</f>
        <v>14.3246895</v>
      </c>
      <c r="F477" s="58">
        <f>IFERROR(__xludf.DUMMYFUNCTION("""COMPUTED_VALUE"""),20.699176327500002)</f>
        <v>20.69917633</v>
      </c>
      <c r="G477" s="58">
        <f t="shared" si="13"/>
        <v>0</v>
      </c>
      <c r="H477" s="59"/>
      <c r="I477" s="58">
        <f t="shared" si="14"/>
        <v>-20.69917633</v>
      </c>
      <c r="J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</row>
    <row r="478">
      <c r="A478" s="4"/>
      <c r="B478" s="2"/>
      <c r="C478" s="56" t="str">
        <f>IFERROR(__xludf.DUMMYFUNCTION("""COMPUTED_VALUE"""),"Keysight_Corvette_Gen5_Porting_On_Gen6_HW_160")</f>
        <v>Keysight_Corvette_Gen5_Porting_On_Gen6_HW_160</v>
      </c>
      <c r="D478" s="56" t="str">
        <f>IFERROR(__xludf.DUMMYFUNCTION("""COMPUTED_VALUE"""),"keysight corvette")</f>
        <v>keysight corvette</v>
      </c>
      <c r="E478" s="57">
        <f>IFERROR(__xludf.DUMMYFUNCTION("""COMPUTED_VALUE"""),4.245437916666667)</f>
        <v>4.245437917</v>
      </c>
      <c r="F478" s="58">
        <f>IFERROR(__xludf.DUMMYFUNCTION("""COMPUTED_VALUE"""),6.134657789583334)</f>
        <v>6.13465779</v>
      </c>
      <c r="G478" s="58">
        <f t="shared" si="13"/>
        <v>139.1775</v>
      </c>
      <c r="H478" s="59"/>
      <c r="I478" s="58">
        <f t="shared" si="14"/>
        <v>133.0428422</v>
      </c>
      <c r="J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</row>
    <row r="479">
      <c r="A479" s="4"/>
      <c r="B479" s="2"/>
      <c r="C479" s="56" t="str">
        <f>IFERROR(__xludf.DUMMYFUNCTION("""COMPUTED_VALUE"""),"Keysight_Corvette_Gen6_Analyzer_T&amp;M_159")</f>
        <v>Keysight_Corvette_Gen6_Analyzer_T&amp;M_159</v>
      </c>
      <c r="D479" s="56" t="str">
        <f>IFERROR(__xludf.DUMMYFUNCTION("""COMPUTED_VALUE"""),"keysight corvette")</f>
        <v>keysight corvette</v>
      </c>
      <c r="E479" s="57">
        <f>IFERROR(__xludf.DUMMYFUNCTION("""COMPUTED_VALUE"""),126.73399866666665)</f>
        <v>126.7339987</v>
      </c>
      <c r="F479" s="58">
        <f>IFERROR(__xludf.DUMMYFUNCTION("""COMPUTED_VALUE"""),183.13062807333333)</f>
        <v>183.1306281</v>
      </c>
      <c r="G479" s="58">
        <f t="shared" si="13"/>
        <v>0</v>
      </c>
      <c r="H479" s="59"/>
      <c r="I479" s="58">
        <f t="shared" si="14"/>
        <v>-183.1306281</v>
      </c>
      <c r="J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</row>
    <row r="480">
      <c r="A480" s="4"/>
      <c r="B480" s="2"/>
      <c r="C480" s="56" t="str">
        <f>IFERROR(__xludf.DUMMYFUNCTION("""COMPUTED_VALUE"""),"Keysight_Corvette_Gen6_Exerciser_T&amp;M_158")</f>
        <v>Keysight_Corvette_Gen6_Exerciser_T&amp;M_158</v>
      </c>
      <c r="D480" s="56" t="str">
        <f>IFERROR(__xludf.DUMMYFUNCTION("""COMPUTED_VALUE"""),"keysight corvette")</f>
        <v>keysight corvette</v>
      </c>
      <c r="E480" s="57">
        <f>IFERROR(__xludf.DUMMYFUNCTION("""COMPUTED_VALUE"""),284.0688046333334)</f>
        <v>284.0688046</v>
      </c>
      <c r="F480" s="58">
        <f>IFERROR(__xludf.DUMMYFUNCTION("""COMPUTED_VALUE"""),410.47942269516676)</f>
        <v>410.4794227</v>
      </c>
      <c r="G480" s="58">
        <f t="shared" si="13"/>
        <v>854.369755</v>
      </c>
      <c r="H480" s="59"/>
      <c r="I480" s="58">
        <f t="shared" si="14"/>
        <v>443.8903323</v>
      </c>
      <c r="J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</row>
    <row r="481">
      <c r="A481" s="4"/>
      <c r="B481" s="2"/>
      <c r="C481" s="56" t="str">
        <f>IFERROR(__xludf.DUMMYFUNCTION("""COMPUTED_VALUE"""),"Keysight_CXL_2.0_Analyzer_145")</f>
        <v>Keysight_CXL_2.0_Analyzer_145</v>
      </c>
      <c r="D481" s="56" t="str">
        <f>IFERROR(__xludf.DUMMYFUNCTION("""COMPUTED_VALUE"""),"keysight CXL")</f>
        <v>keysight CXL</v>
      </c>
      <c r="E481" s="57">
        <f>IFERROR(__xludf.DUMMYFUNCTION("""COMPUTED_VALUE"""),50.39034104166666)</f>
        <v>50.39034104</v>
      </c>
      <c r="F481" s="58">
        <f>IFERROR(__xludf.DUMMYFUNCTION("""COMPUTED_VALUE"""),72.81404280520833)</f>
        <v>72.81404281</v>
      </c>
      <c r="G481" s="58">
        <f t="shared" si="13"/>
        <v>9.8175</v>
      </c>
      <c r="H481" s="59"/>
      <c r="I481" s="58">
        <f t="shared" si="14"/>
        <v>-62.99654281</v>
      </c>
      <c r="J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</row>
    <row r="482">
      <c r="A482" s="4"/>
      <c r="B482" s="2"/>
      <c r="C482" s="56" t="str">
        <f>IFERROR(__xludf.DUMMYFUNCTION("""COMPUTED_VALUE"""),"Keysight_CXL_2.0_Exercsier_144")</f>
        <v>Keysight_CXL_2.0_Exercsier_144</v>
      </c>
      <c r="D482" s="56" t="str">
        <f>IFERROR(__xludf.DUMMYFUNCTION("""COMPUTED_VALUE"""),"keysight CXL")</f>
        <v>keysight CXL</v>
      </c>
      <c r="E482" s="57">
        <f>IFERROR(__xludf.DUMMYFUNCTION("""COMPUTED_VALUE"""),95.55187958333332)</f>
        <v>95.55187958</v>
      </c>
      <c r="F482" s="58">
        <f>IFERROR(__xludf.DUMMYFUNCTION("""COMPUTED_VALUE"""),138.07246599791665)</f>
        <v>138.072466</v>
      </c>
      <c r="G482" s="58">
        <f t="shared" si="13"/>
        <v>64.4222</v>
      </c>
      <c r="H482" s="59"/>
      <c r="I482" s="58">
        <f t="shared" si="14"/>
        <v>-73.650266</v>
      </c>
      <c r="J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</row>
    <row r="483">
      <c r="A483" s="4"/>
      <c r="B483" s="2"/>
      <c r="C483" s="56" t="str">
        <f>IFERROR(__xludf.DUMMYFUNCTION("""COMPUTED_VALUE"""),"Keysight_CXL_3.0_Analyzer_147")</f>
        <v>Keysight_CXL_3.0_Analyzer_147</v>
      </c>
      <c r="D483" s="56" t="str">
        <f>IFERROR(__xludf.DUMMYFUNCTION("""COMPUTED_VALUE"""),"keysight CXL")</f>
        <v>keysight CXL</v>
      </c>
      <c r="E483" s="57">
        <f>IFERROR(__xludf.DUMMYFUNCTION("""COMPUTED_VALUE"""),146.90616845833335)</f>
        <v>146.9061685</v>
      </c>
      <c r="F483" s="58">
        <f>IFERROR(__xludf.DUMMYFUNCTION("""COMPUTED_VALUE"""),212.2794134222917)</f>
        <v>212.2794134</v>
      </c>
      <c r="G483" s="58">
        <f t="shared" si="13"/>
        <v>70.29</v>
      </c>
      <c r="H483" s="59"/>
      <c r="I483" s="58">
        <f t="shared" si="14"/>
        <v>-141.9894134</v>
      </c>
      <c r="J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</row>
    <row r="484">
      <c r="A484" s="4"/>
      <c r="B484" s="2"/>
      <c r="C484" s="56" t="str">
        <f>IFERROR(__xludf.DUMMYFUNCTION("""COMPUTED_VALUE"""),"Keysight_CXL_3.0_Exercsier_146")</f>
        <v>Keysight_CXL_3.0_Exercsier_146</v>
      </c>
      <c r="D484" s="56" t="str">
        <f>IFERROR(__xludf.DUMMYFUNCTION("""COMPUTED_VALUE"""),"keysight CXL")</f>
        <v>keysight CXL</v>
      </c>
      <c r="E484" s="57">
        <f>IFERROR(__xludf.DUMMYFUNCTION("""COMPUTED_VALUE"""),20.81691466666667)</f>
        <v>20.81691467</v>
      </c>
      <c r="F484" s="58">
        <f>IFERROR(__xludf.DUMMYFUNCTION("""COMPUTED_VALUE"""),30.080441693333338)</f>
        <v>30.08044169</v>
      </c>
      <c r="G484" s="58">
        <f t="shared" si="13"/>
        <v>235.62</v>
      </c>
      <c r="H484" s="59"/>
      <c r="I484" s="58">
        <f t="shared" si="14"/>
        <v>205.5395583</v>
      </c>
      <c r="J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</row>
    <row r="485">
      <c r="A485" s="4"/>
      <c r="B485" s="2"/>
      <c r="C485" s="56" t="str">
        <f>IFERROR(__xludf.DUMMYFUNCTION("""COMPUTED_VALUE"""),"Keysight_Ketch_NVMe_114")</f>
        <v>Keysight_Ketch_NVMe_114</v>
      </c>
      <c r="D485" s="56" t="str">
        <f>IFERROR(__xludf.DUMMYFUNCTION("""COMPUTED_VALUE"""),"keysight corvette")</f>
        <v>keysight corvette</v>
      </c>
      <c r="E485" s="57">
        <f>IFERROR(__xludf.DUMMYFUNCTION("""COMPUTED_VALUE"""),0.0)</f>
        <v>0</v>
      </c>
      <c r="F485" s="58">
        <f>IFERROR(__xludf.DUMMYFUNCTION("""COMPUTED_VALUE"""),0.0)</f>
        <v>0</v>
      </c>
      <c r="G485" s="58">
        <f t="shared" si="13"/>
        <v>0</v>
      </c>
      <c r="H485" s="59"/>
      <c r="I485" s="58">
        <f t="shared" si="14"/>
        <v>0</v>
      </c>
      <c r="J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</row>
    <row r="486">
      <c r="A486" s="4"/>
      <c r="B486" s="2"/>
      <c r="C486" s="56" t="str">
        <f>IFERROR(__xludf.DUMMYFUNCTION("""COMPUTED_VALUE"""),"Keysight_PCIe_Gen5_Cutter_PTC_155")</f>
        <v>Keysight_PCIe_Gen5_Cutter_PTC_155</v>
      </c>
      <c r="D486" s="56" t="str">
        <f>IFERROR(__xludf.DUMMYFUNCTION("""COMPUTED_VALUE"""),"Keysight PTC")</f>
        <v>Keysight PTC</v>
      </c>
      <c r="E486" s="57">
        <f>IFERROR(__xludf.DUMMYFUNCTION("""COMPUTED_VALUE"""),28.4475365)</f>
        <v>28.4475365</v>
      </c>
      <c r="F486" s="58">
        <f>IFERROR(__xludf.DUMMYFUNCTION("""COMPUTED_VALUE"""),41.1066902425)</f>
        <v>41.10669024</v>
      </c>
      <c r="G486" s="58">
        <f t="shared" si="13"/>
        <v>102.3</v>
      </c>
      <c r="H486" s="59"/>
      <c r="I486" s="58">
        <f t="shared" si="14"/>
        <v>61.19330976</v>
      </c>
      <c r="J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</row>
    <row r="487">
      <c r="A487" s="4"/>
      <c r="B487" s="2"/>
      <c r="C487" s="56" t="str">
        <f>IFERROR(__xludf.DUMMYFUNCTION("""COMPUTED_VALUE"""),"Keysight_Vision_PCIe_Gen6_LTSSM_112")</f>
        <v>Keysight_Vision_PCIe_Gen6_LTSSM_112</v>
      </c>
      <c r="D487" s="56" t="str">
        <f>IFERROR(__xludf.DUMMYFUNCTION("""COMPUTED_VALUE"""),"keysight BERT")</f>
        <v>keysight BERT</v>
      </c>
      <c r="E487" s="57">
        <f>IFERROR(__xludf.DUMMYFUNCTION("""COMPUTED_VALUE"""),1.812221)</f>
        <v>1.812221</v>
      </c>
      <c r="F487" s="58">
        <f>IFERROR(__xludf.DUMMYFUNCTION("""COMPUTED_VALUE"""),2.618659345)</f>
        <v>2.618659345</v>
      </c>
      <c r="G487" s="58">
        <f t="shared" si="13"/>
        <v>0</v>
      </c>
      <c r="H487" s="59"/>
      <c r="I487" s="58">
        <f t="shared" si="14"/>
        <v>-2.618659345</v>
      </c>
      <c r="J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</row>
    <row r="488">
      <c r="A488" s="4"/>
      <c r="B488" s="2"/>
      <c r="C488" s="56" t="str">
        <f>IFERROR(__xludf.DUMMYFUNCTION("""COMPUTED_VALUE"""),"Keysight_Vision_PG_FPGA_Design_064")</f>
        <v>Keysight_Vision_PG_FPGA_Design_064</v>
      </c>
      <c r="D488" s="56" t="str">
        <f>IFERROR(__xludf.DUMMYFUNCTION("""COMPUTED_VALUE"""),"keysight BERT")</f>
        <v>keysight BERT</v>
      </c>
      <c r="E488" s="57">
        <f>IFERROR(__xludf.DUMMYFUNCTION("""COMPUTED_VALUE"""),0.0)</f>
        <v>0</v>
      </c>
      <c r="F488" s="58">
        <f>IFERROR(__xludf.DUMMYFUNCTION("""COMPUTED_VALUE"""),0.0)</f>
        <v>0</v>
      </c>
      <c r="G488" s="58">
        <f t="shared" si="13"/>
        <v>0</v>
      </c>
      <c r="H488" s="59"/>
      <c r="I488" s="58">
        <f t="shared" si="14"/>
        <v>0</v>
      </c>
      <c r="J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</row>
    <row r="489">
      <c r="A489" s="4"/>
      <c r="B489" s="2"/>
      <c r="C489" s="56" t="str">
        <f>IFERROR(__xludf.DUMMYFUNCTION("""COMPUTED_VALUE"""),"LOKI_PCIe_Gen6_LTSSM_085")</f>
        <v>LOKI_PCIe_Gen6_LTSSM_085</v>
      </c>
      <c r="D489" s="56" t="str">
        <f>IFERROR(__xludf.DUMMYFUNCTION("""COMPUTED_VALUE"""),"keysight BERT")</f>
        <v>keysight BERT</v>
      </c>
      <c r="E489" s="57">
        <f>IFERROR(__xludf.DUMMYFUNCTION("""COMPUTED_VALUE"""),4.548191750000001)</f>
        <v>4.54819175</v>
      </c>
      <c r="F489" s="58">
        <f>IFERROR(__xludf.DUMMYFUNCTION("""COMPUTED_VALUE"""),6.572137078750002)</f>
        <v>6.572137079</v>
      </c>
      <c r="G489" s="58">
        <f t="shared" si="13"/>
        <v>0</v>
      </c>
      <c r="H489" s="59"/>
      <c r="I489" s="58">
        <f t="shared" si="14"/>
        <v>-6.572137079</v>
      </c>
      <c r="J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</row>
    <row r="490">
      <c r="A490" s="4"/>
      <c r="B490" s="2"/>
      <c r="C490" s="56" t="str">
        <f>IFERROR(__xludf.DUMMYFUNCTION("""COMPUTED_VALUE"""),"Total")</f>
        <v>Total</v>
      </c>
      <c r="D490" s="56"/>
      <c r="E490" s="57">
        <f>IFERROR(__xludf.DUMMYFUNCTION("""COMPUTED_VALUE"""),814.9659409249999)</f>
        <v>814.9659409</v>
      </c>
      <c r="F490" s="57">
        <f>IFERROR(__xludf.DUMMYFUNCTION("""COMPUTED_VALUE"""),1177.6257846366252)</f>
        <v>1177.625785</v>
      </c>
      <c r="G490" s="57">
        <f>sum(G476:G489)</f>
        <v>1510.395287</v>
      </c>
      <c r="H490" s="59"/>
      <c r="I490" s="57">
        <f>sum(I476:I489)</f>
        <v>332.7695024</v>
      </c>
      <c r="J490" s="4"/>
      <c r="L490" s="4"/>
      <c r="M490" s="4"/>
      <c r="N490" s="62">
        <f>G490-F490</f>
        <v>332.7695024</v>
      </c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</row>
    <row r="491">
      <c r="A491" s="4"/>
      <c r="B491" s="2"/>
      <c r="C491" s="63" t="str">
        <f>IFERROR(__xludf.DUMMYFUNCTION("""COMPUTED_VALUE"""),"SW team R&amp;D Service Delivery Cost")</f>
        <v>SW team R&amp;D Service Delivery Cost</v>
      </c>
      <c r="D491" s="64">
        <f>IFERROR(__xludf.DUMMYFUNCTION("""COMPUTED_VALUE"""),0.5395712949712084)</f>
        <v>0.539571295</v>
      </c>
      <c r="E491" s="65"/>
      <c r="F491" s="65"/>
      <c r="G491" s="65"/>
      <c r="H491" s="64"/>
      <c r="I491" s="65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</row>
    <row r="492">
      <c r="A492" s="4"/>
      <c r="B492" s="2"/>
      <c r="C492" s="2"/>
      <c r="D492" s="3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</row>
    <row r="493">
      <c r="A493" s="4"/>
      <c r="B493" s="2"/>
      <c r="C493" s="52" t="str">
        <f>IFERROR(__xludf.DUMMYFUNCTION("""COMPUTED_VALUE"""),"FPGA / Verification Team")</f>
        <v>FPGA / Verification Team</v>
      </c>
      <c r="D493" s="53"/>
      <c r="E493" s="53"/>
      <c r="F493" s="53"/>
      <c r="G493" s="53"/>
      <c r="H493" s="53"/>
      <c r="I493" s="5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</row>
    <row r="494">
      <c r="A494" s="4"/>
      <c r="B494" s="2"/>
      <c r="C494" s="55" t="str">
        <f>IFERROR(__xludf.DUMMYFUNCTION("""COMPUTED_VALUE"""),"Project ")</f>
        <v>Project </v>
      </c>
      <c r="D494" s="55" t="str">
        <f>IFERROR(__xludf.DUMMYFUNCTION("""COMPUTED_VALUE"""),"customer")</f>
        <v>customer</v>
      </c>
      <c r="E494" s="55" t="str">
        <f>IFERROR(__xludf.DUMMYFUNCTION("""COMPUTED_VALUE"""),"Annual salary cost (in INR in L)")</f>
        <v>Annual salary cost (in INR in L)</v>
      </c>
      <c r="F494" s="55" t="str">
        <f>IFERROR(__xludf.DUMMYFUNCTION("""COMPUTED_VALUE"""),"annual salary cost with overhead (in L)")</f>
        <v>annual salary cost with overhead (in L)</v>
      </c>
      <c r="G494" s="55" t="s">
        <v>306</v>
      </c>
      <c r="H494" s="55"/>
      <c r="I494" s="55" t="s">
        <v>390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</row>
    <row r="495">
      <c r="A495" s="4"/>
      <c r="B495" s="2"/>
      <c r="C495" s="56" t="str">
        <f>IFERROR(__xludf.DUMMYFUNCTION("""COMPUTED_VALUE"""),"Keysight_Corvette_Gen5_Analyzer_156")</f>
        <v>Keysight_Corvette_Gen5_Analyzer_156</v>
      </c>
      <c r="D495" s="56" t="str">
        <f>IFERROR(__xludf.DUMMYFUNCTION("""COMPUTED_VALUE"""),"keysight corvette")</f>
        <v>keysight corvette</v>
      </c>
      <c r="E495" s="57">
        <f>IFERROR(__xludf.DUMMYFUNCTION("""COMPUTED_VALUE"""),19.45164875)</f>
        <v>19.45164875</v>
      </c>
      <c r="F495" s="58">
        <f>IFERROR(__xludf.DUMMYFUNCTION("""COMPUTED_VALUE"""),28.107632443750003)</f>
        <v>28.10763244</v>
      </c>
      <c r="G495" s="58">
        <f t="shared" ref="G495:G508" si="15">iferror(vlookup(C495,$C$456:$E$466,3,false)/100000,0)</f>
        <v>79.8907152</v>
      </c>
      <c r="H495" s="59"/>
      <c r="I495" s="58">
        <f t="shared" ref="I495:I508" si="16">G495-F495</f>
        <v>51.78308276</v>
      </c>
      <c r="J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</row>
    <row r="496">
      <c r="A496" s="4"/>
      <c r="B496" s="2"/>
      <c r="C496" s="56" t="str">
        <f>IFERROR(__xludf.DUMMYFUNCTION("""COMPUTED_VALUE"""),"Keysight_Corvette_Gen5_Exerciser_157")</f>
        <v>Keysight_Corvette_Gen5_Exerciser_157</v>
      </c>
      <c r="D496" s="56" t="str">
        <f>IFERROR(__xludf.DUMMYFUNCTION("""COMPUTED_VALUE"""),"keysight corvette")</f>
        <v>keysight corvette</v>
      </c>
      <c r="E496" s="57">
        <f>IFERROR(__xludf.DUMMYFUNCTION("""COMPUTED_VALUE"""),5.884540250000001)</f>
        <v>5.88454025</v>
      </c>
      <c r="F496" s="58">
        <f>IFERROR(__xludf.DUMMYFUNCTION("""COMPUTED_VALUE"""),8.503160661250002)</f>
        <v>8.503160661</v>
      </c>
      <c r="G496" s="58">
        <f t="shared" si="15"/>
        <v>0</v>
      </c>
      <c r="H496" s="59"/>
      <c r="I496" s="58">
        <f t="shared" si="16"/>
        <v>-8.503160661</v>
      </c>
      <c r="J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</row>
    <row r="497">
      <c r="A497" s="4"/>
      <c r="B497" s="2"/>
      <c r="C497" s="56" t="str">
        <f>IFERROR(__xludf.DUMMYFUNCTION("""COMPUTED_VALUE"""),"Keysight_Corvette_Gen5_Porting_On_Gen6_HW_160")</f>
        <v>Keysight_Corvette_Gen5_Porting_On_Gen6_HW_160</v>
      </c>
      <c r="D497" s="56" t="str">
        <f>IFERROR(__xludf.DUMMYFUNCTION("""COMPUTED_VALUE"""),"keysight corvette")</f>
        <v>keysight corvette</v>
      </c>
      <c r="E497" s="57">
        <f>IFERROR(__xludf.DUMMYFUNCTION("""COMPUTED_VALUE"""),10.983603)</f>
        <v>10.983603</v>
      </c>
      <c r="F497" s="58">
        <f>IFERROR(__xludf.DUMMYFUNCTION("""COMPUTED_VALUE"""),15.871306335000002)</f>
        <v>15.87130634</v>
      </c>
      <c r="G497" s="58">
        <f t="shared" si="15"/>
        <v>59.6475</v>
      </c>
      <c r="H497" s="59"/>
      <c r="I497" s="58">
        <f t="shared" si="16"/>
        <v>43.77619367</v>
      </c>
      <c r="J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</row>
    <row r="498">
      <c r="A498" s="4"/>
      <c r="B498" s="2"/>
      <c r="C498" s="56" t="str">
        <f>IFERROR(__xludf.DUMMYFUNCTION("""COMPUTED_VALUE"""),"Keysight_Corvette_Gen6_Analyzer_T&amp;M_159")</f>
        <v>Keysight_Corvette_Gen6_Analyzer_T&amp;M_159</v>
      </c>
      <c r="D498" s="56" t="str">
        <f>IFERROR(__xludf.DUMMYFUNCTION("""COMPUTED_VALUE"""),"keysight corvette")</f>
        <v>keysight corvette</v>
      </c>
      <c r="E498" s="57">
        <f>IFERROR(__xludf.DUMMYFUNCTION("""COMPUTED_VALUE"""),59.78478549999999)</f>
        <v>59.7847855</v>
      </c>
      <c r="F498" s="58">
        <f>IFERROR(__xludf.DUMMYFUNCTION("""COMPUTED_VALUE"""),86.3890150475)</f>
        <v>86.38901505</v>
      </c>
      <c r="G498" s="58">
        <f t="shared" si="15"/>
        <v>0</v>
      </c>
      <c r="H498" s="59"/>
      <c r="I498" s="58">
        <f t="shared" si="16"/>
        <v>-86.38901505</v>
      </c>
      <c r="J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</row>
    <row r="499">
      <c r="A499" s="4"/>
      <c r="B499" s="2"/>
      <c r="C499" s="56" t="str">
        <f>IFERROR(__xludf.DUMMYFUNCTION("""COMPUTED_VALUE"""),"Keysight_Corvette_Gen6_Exerciser_T&amp;M_158")</f>
        <v>Keysight_Corvette_Gen6_Exerciser_T&amp;M_158</v>
      </c>
      <c r="D499" s="56" t="str">
        <f>IFERROR(__xludf.DUMMYFUNCTION("""COMPUTED_VALUE"""),"keysight corvette")</f>
        <v>keysight corvette</v>
      </c>
      <c r="E499" s="57">
        <f>IFERROR(__xludf.DUMMYFUNCTION("""COMPUTED_VALUE"""),226.41346216666668)</f>
        <v>226.4134622</v>
      </c>
      <c r="F499" s="58">
        <f>IFERROR(__xludf.DUMMYFUNCTION("""COMPUTED_VALUE"""),327.1674528308334)</f>
        <v>327.1674528</v>
      </c>
      <c r="G499" s="58">
        <f t="shared" si="15"/>
        <v>508.798467</v>
      </c>
      <c r="H499" s="59"/>
      <c r="I499" s="58">
        <f t="shared" si="16"/>
        <v>181.6310142</v>
      </c>
      <c r="J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</row>
    <row r="500">
      <c r="A500" s="4"/>
      <c r="B500" s="2"/>
      <c r="C500" s="56" t="str">
        <f>IFERROR(__xludf.DUMMYFUNCTION("""COMPUTED_VALUE"""),"Keysight_CXL_2.0_Analyzer_145")</f>
        <v>Keysight_CXL_2.0_Analyzer_145</v>
      </c>
      <c r="D500" s="56" t="str">
        <f>IFERROR(__xludf.DUMMYFUNCTION("""COMPUTED_VALUE"""),"keysight CXL")</f>
        <v>keysight CXL</v>
      </c>
      <c r="E500" s="57">
        <f>IFERROR(__xludf.DUMMYFUNCTION("""COMPUTED_VALUE"""),22.701477125)</f>
        <v>22.70147713</v>
      </c>
      <c r="F500" s="58">
        <f>IFERROR(__xludf.DUMMYFUNCTION("""COMPUTED_VALUE"""),32.803634445625)</f>
        <v>32.80363445</v>
      </c>
      <c r="G500" s="58">
        <f t="shared" si="15"/>
        <v>4.2075</v>
      </c>
      <c r="H500" s="59"/>
      <c r="I500" s="58">
        <f t="shared" si="16"/>
        <v>-28.59613445</v>
      </c>
      <c r="J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</row>
    <row r="501">
      <c r="A501" s="4"/>
      <c r="B501" s="2"/>
      <c r="C501" s="56" t="str">
        <f>IFERROR(__xludf.DUMMYFUNCTION("""COMPUTED_VALUE"""),"Keysight_CXL_2.0_Exercsier_144")</f>
        <v>Keysight_CXL_2.0_Exercsier_144</v>
      </c>
      <c r="D501" s="56" t="str">
        <f>IFERROR(__xludf.DUMMYFUNCTION("""COMPUTED_VALUE"""),"keysight CXL")</f>
        <v>keysight CXL</v>
      </c>
      <c r="E501" s="57">
        <f>IFERROR(__xludf.DUMMYFUNCTION("""COMPUTED_VALUE"""),49.16461783333333)</f>
        <v>49.16461783</v>
      </c>
      <c r="F501" s="58">
        <f>IFERROR(__xludf.DUMMYFUNCTION("""COMPUTED_VALUE"""),71.04287276916666)</f>
        <v>71.04287277</v>
      </c>
      <c r="G501" s="58">
        <f t="shared" si="15"/>
        <v>54.091</v>
      </c>
      <c r="H501" s="59"/>
      <c r="I501" s="58">
        <f t="shared" si="16"/>
        <v>-16.95187277</v>
      </c>
      <c r="J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</row>
    <row r="502">
      <c r="A502" s="4"/>
      <c r="B502" s="2"/>
      <c r="C502" s="56" t="str">
        <f>IFERROR(__xludf.DUMMYFUNCTION("""COMPUTED_VALUE"""),"Keysight_CXL_3.0_Analyzer_147")</f>
        <v>Keysight_CXL_3.0_Analyzer_147</v>
      </c>
      <c r="D502" s="56" t="str">
        <f>IFERROR(__xludf.DUMMYFUNCTION("""COMPUTED_VALUE"""),"keysight CXL")</f>
        <v>keysight CXL</v>
      </c>
      <c r="E502" s="57">
        <f>IFERROR(__xludf.DUMMYFUNCTION("""COMPUTED_VALUE"""),111.29478329166666)</f>
        <v>111.2947833</v>
      </c>
      <c r="F502" s="58">
        <f>IFERROR(__xludf.DUMMYFUNCTION("""COMPUTED_VALUE"""),160.82096185645833)</f>
        <v>160.8209619</v>
      </c>
      <c r="G502" s="58">
        <f t="shared" si="15"/>
        <v>134.64</v>
      </c>
      <c r="H502" s="59"/>
      <c r="I502" s="58">
        <f t="shared" si="16"/>
        <v>-26.18096186</v>
      </c>
      <c r="J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</row>
    <row r="503">
      <c r="A503" s="4"/>
      <c r="B503" s="2"/>
      <c r="C503" s="56" t="str">
        <f>IFERROR(__xludf.DUMMYFUNCTION("""COMPUTED_VALUE"""),"Keysight_CXL_3.0_Exercsier_146")</f>
        <v>Keysight_CXL_3.0_Exercsier_146</v>
      </c>
      <c r="D503" s="56" t="str">
        <f>IFERROR(__xludf.DUMMYFUNCTION("""COMPUTED_VALUE"""),"keysight CXL")</f>
        <v>keysight CXL</v>
      </c>
      <c r="E503" s="57">
        <f>IFERROR(__xludf.DUMMYFUNCTION("""COMPUTED_VALUE"""),31.50924841666667)</f>
        <v>31.50924842</v>
      </c>
      <c r="F503" s="58">
        <f>IFERROR(__xludf.DUMMYFUNCTION("""COMPUTED_VALUE"""),45.53086396208334)</f>
        <v>45.53086396</v>
      </c>
      <c r="G503" s="58">
        <f t="shared" si="15"/>
        <v>261.03</v>
      </c>
      <c r="H503" s="59"/>
      <c r="I503" s="58">
        <f t="shared" si="16"/>
        <v>215.499136</v>
      </c>
      <c r="J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</row>
    <row r="504">
      <c r="A504" s="4"/>
      <c r="B504" s="2"/>
      <c r="C504" s="56" t="str">
        <f>IFERROR(__xludf.DUMMYFUNCTION("""COMPUTED_VALUE"""),"Keysight_Ketch_NVMe_114")</f>
        <v>Keysight_Ketch_NVMe_114</v>
      </c>
      <c r="D504" s="56" t="str">
        <f>IFERROR(__xludf.DUMMYFUNCTION("""COMPUTED_VALUE"""),"keysight corvette")</f>
        <v>keysight corvette</v>
      </c>
      <c r="E504" s="57">
        <f>IFERROR(__xludf.DUMMYFUNCTION("""COMPUTED_VALUE"""),0.0)</f>
        <v>0</v>
      </c>
      <c r="F504" s="58">
        <f>IFERROR(__xludf.DUMMYFUNCTION("""COMPUTED_VALUE"""),0.0)</f>
        <v>0</v>
      </c>
      <c r="G504" s="58">
        <f t="shared" si="15"/>
        <v>0</v>
      </c>
      <c r="H504" s="59"/>
      <c r="I504" s="58">
        <f t="shared" si="16"/>
        <v>0</v>
      </c>
      <c r="J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</row>
    <row r="505">
      <c r="A505" s="4"/>
      <c r="B505" s="2"/>
      <c r="C505" s="56" t="str">
        <f>IFERROR(__xludf.DUMMYFUNCTION("""COMPUTED_VALUE"""),"Keysight_PCIe_Gen5_Cutter_PTC_155")</f>
        <v>Keysight_PCIe_Gen5_Cutter_PTC_155</v>
      </c>
      <c r="D505" s="56" t="str">
        <f>IFERROR(__xludf.DUMMYFUNCTION("""COMPUTED_VALUE"""),"Keysight PTC")</f>
        <v>Keysight PTC</v>
      </c>
      <c r="E505" s="57">
        <f>IFERROR(__xludf.DUMMYFUNCTION("""COMPUTED_VALUE"""),21.238706416666666)</f>
        <v>21.23870642</v>
      </c>
      <c r="F505" s="58">
        <f>IFERROR(__xludf.DUMMYFUNCTION("""COMPUTED_VALUE"""),30.689930772083333)</f>
        <v>30.68993077</v>
      </c>
      <c r="G505" s="58">
        <f t="shared" si="15"/>
        <v>105.6</v>
      </c>
      <c r="H505" s="59"/>
      <c r="I505" s="58">
        <f t="shared" si="16"/>
        <v>74.91006923</v>
      </c>
      <c r="J505" s="4"/>
      <c r="L505" s="4"/>
      <c r="M505" s="4"/>
      <c r="N505" s="1" t="s">
        <v>391</v>
      </c>
      <c r="O505" s="61">
        <f>(E509*100000)/E465</f>
        <v>0.4500578375</v>
      </c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</row>
    <row r="506">
      <c r="A506" s="4"/>
      <c r="B506" s="2"/>
      <c r="C506" s="56" t="str">
        <f>IFERROR(__xludf.DUMMYFUNCTION("""COMPUTED_VALUE"""),"Keysight_Vision_PCIe_Gen6_LTSSM_112")</f>
        <v>Keysight_Vision_PCIe_Gen6_LTSSM_112</v>
      </c>
      <c r="D506" s="56" t="str">
        <f>IFERROR(__xludf.DUMMYFUNCTION("""COMPUTED_VALUE"""),"keysight BERT")</f>
        <v>keysight BERT</v>
      </c>
      <c r="E506" s="57">
        <f>IFERROR(__xludf.DUMMYFUNCTION("""COMPUTED_VALUE"""),67.68383058333333)</f>
        <v>67.68383058</v>
      </c>
      <c r="F506" s="58">
        <f>IFERROR(__xludf.DUMMYFUNCTION("""COMPUTED_VALUE"""),97.80313519291667)</f>
        <v>97.80313519</v>
      </c>
      <c r="G506" s="58">
        <f t="shared" si="15"/>
        <v>0</v>
      </c>
      <c r="H506" s="59"/>
      <c r="I506" s="58">
        <f t="shared" si="16"/>
        <v>-97.80313519</v>
      </c>
      <c r="J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</row>
    <row r="507">
      <c r="A507" s="4"/>
      <c r="B507" s="2"/>
      <c r="C507" s="56" t="str">
        <f>IFERROR(__xludf.DUMMYFUNCTION("""COMPUTED_VALUE"""),"Keysight_Vision_PG_FPGA_Design_064")</f>
        <v>Keysight_Vision_PG_FPGA_Design_064</v>
      </c>
      <c r="D507" s="56" t="str">
        <f>IFERROR(__xludf.DUMMYFUNCTION("""COMPUTED_VALUE"""),"keysight BERT")</f>
        <v>keysight BERT</v>
      </c>
      <c r="E507" s="57">
        <f>IFERROR(__xludf.DUMMYFUNCTION("""COMPUTED_VALUE"""),0.0)</f>
        <v>0</v>
      </c>
      <c r="F507" s="58">
        <f>IFERROR(__xludf.DUMMYFUNCTION("""COMPUTED_VALUE"""),0.0)</f>
        <v>0</v>
      </c>
      <c r="G507" s="58">
        <f t="shared" si="15"/>
        <v>0</v>
      </c>
      <c r="H507" s="59"/>
      <c r="I507" s="58">
        <f t="shared" si="16"/>
        <v>0</v>
      </c>
      <c r="J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</row>
    <row r="508">
      <c r="A508" s="4"/>
      <c r="B508" s="2"/>
      <c r="C508" s="56" t="str">
        <f>IFERROR(__xludf.DUMMYFUNCTION("""COMPUTED_VALUE"""),"LOKI_PCIe_Gen6_LTSSM_085")</f>
        <v>LOKI_PCIe_Gen6_LTSSM_085</v>
      </c>
      <c r="D508" s="56" t="str">
        <f>IFERROR(__xludf.DUMMYFUNCTION("""COMPUTED_VALUE"""),"keysight BERT")</f>
        <v>keysight BERT</v>
      </c>
      <c r="E508" s="57">
        <f>IFERROR(__xludf.DUMMYFUNCTION("""COMPUTED_VALUE"""),45.49904433333334)</f>
        <v>45.49904433</v>
      </c>
      <c r="F508" s="58">
        <f>IFERROR(__xludf.DUMMYFUNCTION("""COMPUTED_VALUE"""),65.74611906166668)</f>
        <v>65.74611906</v>
      </c>
      <c r="G508" s="58">
        <f t="shared" si="15"/>
        <v>284.369125</v>
      </c>
      <c r="H508" s="59"/>
      <c r="I508" s="58">
        <f t="shared" si="16"/>
        <v>218.6230059</v>
      </c>
      <c r="J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</row>
    <row r="509">
      <c r="A509" s="4"/>
      <c r="B509" s="2"/>
      <c r="C509" s="56" t="str">
        <f>IFERROR(__xludf.DUMMYFUNCTION("""COMPUTED_VALUE"""),"Total")</f>
        <v>Total</v>
      </c>
      <c r="D509" s="56"/>
      <c r="E509" s="57">
        <f>IFERROR(__xludf.DUMMYFUNCTION("""COMPUTED_VALUE"""),671.6097476666667)</f>
        <v>671.6097477</v>
      </c>
      <c r="F509" s="57">
        <f>IFERROR(__xludf.DUMMYFUNCTION("""COMPUTED_VALUE"""),970.4760853783334)</f>
        <v>970.4760854</v>
      </c>
      <c r="G509" s="57">
        <f>sum(G495:G508)</f>
        <v>1492.274307</v>
      </c>
      <c r="H509" s="59"/>
      <c r="I509" s="57">
        <f>sum(I495:I508)</f>
        <v>521.7982218</v>
      </c>
      <c r="J509" s="4"/>
      <c r="L509" s="4"/>
      <c r="M509" s="4"/>
      <c r="N509" s="62">
        <f>G509-F509</f>
        <v>521.7982218</v>
      </c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</row>
    <row r="510">
      <c r="A510" s="4"/>
      <c r="B510" s="2"/>
      <c r="C510" s="4" t="str">
        <f>IFERROR(__xludf.DUMMYFUNCTION("""COMPUTED_VALUE"""),"FPGA team R&amp;D Service Delivery Cost")</f>
        <v>FPGA team R&amp;D Service Delivery Cost</v>
      </c>
      <c r="D510" s="51">
        <f>IFERROR(__xludf.DUMMYFUNCTION("""COMPUTED_VALUE"""),0.45005783750765554)</f>
        <v>0.4500578375</v>
      </c>
      <c r="E510" s="4"/>
      <c r="F510" s="4"/>
      <c r="G510" s="4"/>
      <c r="H510" s="4"/>
      <c r="I510" s="65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</row>
    <row r="511">
      <c r="A511" s="4"/>
      <c r="B511" s="2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</row>
    <row r="512">
      <c r="A512" s="4"/>
      <c r="B512" s="2"/>
      <c r="C512" s="52" t="str">
        <f>IFERROR(__xludf.DUMMYFUNCTION("""COMPUTED_VALUE"""),"HW Team")</f>
        <v>HW Team</v>
      </c>
      <c r="D512" s="53"/>
      <c r="E512" s="53"/>
      <c r="F512" s="53"/>
      <c r="G512" s="53"/>
      <c r="H512" s="53"/>
      <c r="I512" s="5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</row>
    <row r="513">
      <c r="A513" s="4"/>
      <c r="B513" s="2"/>
      <c r="C513" s="55" t="str">
        <f>IFERROR(__xludf.DUMMYFUNCTION("""COMPUTED_VALUE"""),"Project ")</f>
        <v>Project </v>
      </c>
      <c r="D513" s="55" t="str">
        <f>IFERROR(__xludf.DUMMYFUNCTION("""COMPUTED_VALUE"""),"customer")</f>
        <v>customer</v>
      </c>
      <c r="E513" s="55" t="str">
        <f>IFERROR(__xludf.DUMMYFUNCTION("""COMPUTED_VALUE"""),"Annual salary cost (in INR in L)")</f>
        <v>Annual salary cost (in INR in L)</v>
      </c>
      <c r="F513" s="55" t="str">
        <f>IFERROR(__xludf.DUMMYFUNCTION("""COMPUTED_VALUE"""),"annual salary cost with overhead (in L)")</f>
        <v>annual salary cost with overhead (in L)</v>
      </c>
      <c r="G513" s="55" t="s">
        <v>306</v>
      </c>
      <c r="H513" s="55"/>
      <c r="I513" s="55" t="s">
        <v>390</v>
      </c>
      <c r="J513" s="4"/>
      <c r="K513" s="4"/>
      <c r="L513" s="4"/>
      <c r="M513" s="4"/>
      <c r="N513" s="1" t="s">
        <v>391</v>
      </c>
      <c r="O513" s="61">
        <f>E528/(F465/100000)</f>
        <v>0.397733106</v>
      </c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</row>
    <row r="514">
      <c r="A514" s="4"/>
      <c r="B514" s="2"/>
      <c r="C514" s="56" t="str">
        <f>IFERROR(__xludf.DUMMYFUNCTION("""COMPUTED_VALUE"""),"Keysight_Corvette_Gen5_Analyzer_156")</f>
        <v>Keysight_Corvette_Gen5_Analyzer_156</v>
      </c>
      <c r="D514" s="56" t="str">
        <f>IFERROR(__xludf.DUMMYFUNCTION("""COMPUTED_VALUE"""),"keysight corvette")</f>
        <v>keysight corvette</v>
      </c>
      <c r="E514" s="57">
        <f>IFERROR(__xludf.DUMMYFUNCTION("""COMPUTED_VALUE"""),0.0)</f>
        <v>0</v>
      </c>
      <c r="F514" s="58">
        <f>IFERROR(__xludf.DUMMYFUNCTION("""COMPUTED_VALUE"""),0.0)</f>
        <v>0</v>
      </c>
      <c r="G514" s="58">
        <f t="shared" ref="G514:G527" si="17">iferror(vlookup(C495,$C$456:$F$466,4,false)/100000,0)</f>
        <v>23.1035078</v>
      </c>
      <c r="H514" s="59"/>
      <c r="I514" s="58">
        <f t="shared" ref="I514:I527" si="18">G514-F514</f>
        <v>23.1035078</v>
      </c>
      <c r="J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</row>
    <row r="515">
      <c r="A515" s="4"/>
      <c r="B515" s="2"/>
      <c r="C515" s="56" t="str">
        <f>IFERROR(__xludf.DUMMYFUNCTION("""COMPUTED_VALUE"""),"Keysight_Corvette_Gen5_Exerciser_157")</f>
        <v>Keysight_Corvette_Gen5_Exerciser_157</v>
      </c>
      <c r="D515" s="56" t="str">
        <f>IFERROR(__xludf.DUMMYFUNCTION("""COMPUTED_VALUE"""),"keysight corvette")</f>
        <v>keysight corvette</v>
      </c>
      <c r="E515" s="57">
        <f>IFERROR(__xludf.DUMMYFUNCTION("""COMPUTED_VALUE"""),0.0)</f>
        <v>0</v>
      </c>
      <c r="F515" s="58">
        <f>IFERROR(__xludf.DUMMYFUNCTION("""COMPUTED_VALUE"""),0.0)</f>
        <v>0</v>
      </c>
      <c r="G515" s="58">
        <f t="shared" si="17"/>
        <v>0</v>
      </c>
      <c r="H515" s="59"/>
      <c r="I515" s="58">
        <f t="shared" si="18"/>
        <v>0</v>
      </c>
      <c r="J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</row>
    <row r="516">
      <c r="A516" s="4"/>
      <c r="B516" s="2"/>
      <c r="C516" s="56" t="str">
        <f>IFERROR(__xludf.DUMMYFUNCTION("""COMPUTED_VALUE"""),"Keysight_Corvette_Gen5_Porting_On_Gen6_HW_160")</f>
        <v>Keysight_Corvette_Gen5_Porting_On_Gen6_HW_160</v>
      </c>
      <c r="D516" s="56" t="str">
        <f>IFERROR(__xludf.DUMMYFUNCTION("""COMPUTED_VALUE"""),"keysight corvette")</f>
        <v>keysight corvette</v>
      </c>
      <c r="E516" s="57">
        <f>IFERROR(__xludf.DUMMYFUNCTION("""COMPUTED_VALUE"""),3.1662067499999997)</f>
        <v>3.16620675</v>
      </c>
      <c r="F516" s="58">
        <f>IFERROR(__xludf.DUMMYFUNCTION("""COMPUTED_VALUE"""),4.57516875375)</f>
        <v>4.575168754</v>
      </c>
      <c r="G516" s="58">
        <f t="shared" si="17"/>
        <v>0</v>
      </c>
      <c r="H516" s="59"/>
      <c r="I516" s="58">
        <f t="shared" si="18"/>
        <v>-4.575168754</v>
      </c>
      <c r="J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</row>
    <row r="517">
      <c r="A517" s="4"/>
      <c r="B517" s="2"/>
      <c r="C517" s="56" t="str">
        <f>IFERROR(__xludf.DUMMYFUNCTION("""COMPUTED_VALUE"""),"Keysight_Corvette_Gen6_Analyzer_T&amp;M_159")</f>
        <v>Keysight_Corvette_Gen6_Analyzer_T&amp;M_159</v>
      </c>
      <c r="D517" s="56" t="str">
        <f>IFERROR(__xludf.DUMMYFUNCTION("""COMPUTED_VALUE"""),"keysight corvette")</f>
        <v>keysight corvette</v>
      </c>
      <c r="E517" s="57">
        <f>IFERROR(__xludf.DUMMYFUNCTION("""COMPUTED_VALUE"""),34.408921375)</f>
        <v>34.40892138</v>
      </c>
      <c r="F517" s="58">
        <f>IFERROR(__xludf.DUMMYFUNCTION("""COMPUTED_VALUE"""),49.720891386875)</f>
        <v>49.72089139</v>
      </c>
      <c r="G517" s="58">
        <f t="shared" si="17"/>
        <v>0</v>
      </c>
      <c r="H517" s="59"/>
      <c r="I517" s="58">
        <f t="shared" si="18"/>
        <v>-49.72089139</v>
      </c>
      <c r="J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</row>
    <row r="518">
      <c r="A518" s="4"/>
      <c r="B518" s="2"/>
      <c r="C518" s="56" t="str">
        <f>IFERROR(__xludf.DUMMYFUNCTION("""COMPUTED_VALUE"""),"Keysight_Corvette_Gen6_Exerciser_T&amp;M_158")</f>
        <v>Keysight_Corvette_Gen6_Exerciser_T&amp;M_158</v>
      </c>
      <c r="D518" s="56" t="str">
        <f>IFERROR(__xludf.DUMMYFUNCTION("""COMPUTED_VALUE"""),"keysight corvette")</f>
        <v>keysight corvette</v>
      </c>
      <c r="E518" s="57">
        <f>IFERROR(__xludf.DUMMYFUNCTION("""COMPUTED_VALUE"""),51.95699466666667)</f>
        <v>51.95699467</v>
      </c>
      <c r="F518" s="58">
        <f>IFERROR(__xludf.DUMMYFUNCTION("""COMPUTED_VALUE"""),75.07785729333334)</f>
        <v>75.07785729</v>
      </c>
      <c r="G518" s="58">
        <f t="shared" si="17"/>
        <v>202.002528</v>
      </c>
      <c r="H518" s="59"/>
      <c r="I518" s="58">
        <f t="shared" si="18"/>
        <v>126.9246707</v>
      </c>
      <c r="J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</row>
    <row r="519">
      <c r="A519" s="4"/>
      <c r="B519" s="2"/>
      <c r="C519" s="56" t="str">
        <f>IFERROR(__xludf.DUMMYFUNCTION("""COMPUTED_VALUE"""),"Keysight_CXL_2.0_Analyzer_145")</f>
        <v>Keysight_CXL_2.0_Analyzer_145</v>
      </c>
      <c r="D519" s="56" t="str">
        <f>IFERROR(__xludf.DUMMYFUNCTION("""COMPUTED_VALUE"""),"keysight CXL")</f>
        <v>keysight CXL</v>
      </c>
      <c r="E519" s="57">
        <f>IFERROR(__xludf.DUMMYFUNCTION("""COMPUTED_VALUE"""),0.0)</f>
        <v>0</v>
      </c>
      <c r="F519" s="58">
        <f>IFERROR(__xludf.DUMMYFUNCTION("""COMPUTED_VALUE"""),0.0)</f>
        <v>0</v>
      </c>
      <c r="G519" s="58">
        <f t="shared" si="17"/>
        <v>0</v>
      </c>
      <c r="H519" s="59"/>
      <c r="I519" s="58">
        <f t="shared" si="18"/>
        <v>0</v>
      </c>
      <c r="J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</row>
    <row r="520">
      <c r="A520" s="4"/>
      <c r="B520" s="2"/>
      <c r="C520" s="56" t="str">
        <f>IFERROR(__xludf.DUMMYFUNCTION("""COMPUTED_VALUE"""),"Keysight_CXL_2.0_Exercsier_144")</f>
        <v>Keysight_CXL_2.0_Exercsier_144</v>
      </c>
      <c r="D520" s="56" t="str">
        <f>IFERROR(__xludf.DUMMYFUNCTION("""COMPUTED_VALUE"""),"keysight CXL")</f>
        <v>keysight CXL</v>
      </c>
      <c r="E520" s="57">
        <f>IFERROR(__xludf.DUMMYFUNCTION("""COMPUTED_VALUE"""),0.0)</f>
        <v>0</v>
      </c>
      <c r="F520" s="58">
        <f>IFERROR(__xludf.DUMMYFUNCTION("""COMPUTED_VALUE"""),0.0)</f>
        <v>0</v>
      </c>
      <c r="G520" s="58">
        <f t="shared" si="17"/>
        <v>0</v>
      </c>
      <c r="H520" s="59"/>
      <c r="I520" s="58">
        <f t="shared" si="18"/>
        <v>0</v>
      </c>
      <c r="J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</row>
    <row r="521">
      <c r="A521" s="4"/>
      <c r="B521" s="2"/>
      <c r="C521" s="56" t="str">
        <f>IFERROR(__xludf.DUMMYFUNCTION("""COMPUTED_VALUE"""),"Keysight_CXL_3.0_Analyzer_147")</f>
        <v>Keysight_CXL_3.0_Analyzer_147</v>
      </c>
      <c r="D521" s="56" t="str">
        <f>IFERROR(__xludf.DUMMYFUNCTION("""COMPUTED_VALUE"""),"keysight CXL")</f>
        <v>keysight CXL</v>
      </c>
      <c r="E521" s="57">
        <f>IFERROR(__xludf.DUMMYFUNCTION("""COMPUTED_VALUE"""),0.0)</f>
        <v>0</v>
      </c>
      <c r="F521" s="58">
        <f>IFERROR(__xludf.DUMMYFUNCTION("""COMPUTED_VALUE"""),0.0)</f>
        <v>0</v>
      </c>
      <c r="G521" s="58">
        <f t="shared" si="17"/>
        <v>0</v>
      </c>
      <c r="H521" s="59"/>
      <c r="I521" s="58">
        <f t="shared" si="18"/>
        <v>0</v>
      </c>
      <c r="J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</row>
    <row r="522">
      <c r="A522" s="4"/>
      <c r="B522" s="2"/>
      <c r="C522" s="56" t="str">
        <f>IFERROR(__xludf.DUMMYFUNCTION("""COMPUTED_VALUE"""),"Keysight_CXL_3.0_Exercsier_146")</f>
        <v>Keysight_CXL_3.0_Exercsier_146</v>
      </c>
      <c r="D522" s="56" t="str">
        <f>IFERROR(__xludf.DUMMYFUNCTION("""COMPUTED_VALUE"""),"keysight CXL")</f>
        <v>keysight CXL</v>
      </c>
      <c r="E522" s="57">
        <f>IFERROR(__xludf.DUMMYFUNCTION("""COMPUTED_VALUE"""),0.0)</f>
        <v>0</v>
      </c>
      <c r="F522" s="58">
        <f>IFERROR(__xludf.DUMMYFUNCTION("""COMPUTED_VALUE"""),0.0)</f>
        <v>0</v>
      </c>
      <c r="G522" s="58">
        <f t="shared" si="17"/>
        <v>0</v>
      </c>
      <c r="H522" s="59"/>
      <c r="I522" s="58">
        <f t="shared" si="18"/>
        <v>0</v>
      </c>
      <c r="J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</row>
    <row r="523">
      <c r="A523" s="4"/>
      <c r="B523" s="2"/>
      <c r="C523" s="56" t="str">
        <f>IFERROR(__xludf.DUMMYFUNCTION("""COMPUTED_VALUE"""),"Keysight_Ketch_NVMe_114")</f>
        <v>Keysight_Ketch_NVMe_114</v>
      </c>
      <c r="D523" s="56" t="str">
        <f>IFERROR(__xludf.DUMMYFUNCTION("""COMPUTED_VALUE"""),"keysight corvette")</f>
        <v>keysight corvette</v>
      </c>
      <c r="E523" s="57">
        <f>IFERROR(__xludf.DUMMYFUNCTION("""COMPUTED_VALUE"""),0.0)</f>
        <v>0</v>
      </c>
      <c r="F523" s="58">
        <f>IFERROR(__xludf.DUMMYFUNCTION("""COMPUTED_VALUE"""),0.0)</f>
        <v>0</v>
      </c>
      <c r="G523" s="58">
        <f t="shared" si="17"/>
        <v>0</v>
      </c>
      <c r="H523" s="59"/>
      <c r="I523" s="58">
        <f t="shared" si="18"/>
        <v>0</v>
      </c>
      <c r="J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</row>
    <row r="524">
      <c r="A524" s="4"/>
      <c r="B524" s="2"/>
      <c r="C524" s="56" t="str">
        <f>IFERROR(__xludf.DUMMYFUNCTION("""COMPUTED_VALUE"""),"Keysight_PCIe_Gen5_Cutter_PTC_155")</f>
        <v>Keysight_PCIe_Gen5_Cutter_PTC_155</v>
      </c>
      <c r="D524" s="56" t="str">
        <f>IFERROR(__xludf.DUMMYFUNCTION("""COMPUTED_VALUE"""),"Keysight PTC")</f>
        <v>Keysight PTC</v>
      </c>
      <c r="E524" s="57">
        <f>IFERROR(__xludf.DUMMYFUNCTION("""COMPUTED_VALUE"""),0.0)</f>
        <v>0</v>
      </c>
      <c r="F524" s="58">
        <f>IFERROR(__xludf.DUMMYFUNCTION("""COMPUTED_VALUE"""),0.0)</f>
        <v>0</v>
      </c>
      <c r="G524" s="58">
        <f t="shared" si="17"/>
        <v>0</v>
      </c>
      <c r="H524" s="59"/>
      <c r="I524" s="58">
        <f t="shared" si="18"/>
        <v>0</v>
      </c>
      <c r="J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</row>
    <row r="525">
      <c r="A525" s="4"/>
      <c r="B525" s="2"/>
      <c r="C525" s="56" t="str">
        <f>IFERROR(__xludf.DUMMYFUNCTION("""COMPUTED_VALUE"""),"Keysight_Vision_PCIe_Gen6_LTSSM_112")</f>
        <v>Keysight_Vision_PCIe_Gen6_LTSSM_112</v>
      </c>
      <c r="D525" s="56" t="str">
        <f>IFERROR(__xludf.DUMMYFUNCTION("""COMPUTED_VALUE"""),"keysight BERT")</f>
        <v>keysight BERT</v>
      </c>
      <c r="E525" s="57">
        <f>IFERROR(__xludf.DUMMYFUNCTION("""COMPUTED_VALUE"""),0.0)</f>
        <v>0</v>
      </c>
      <c r="F525" s="58">
        <f>IFERROR(__xludf.DUMMYFUNCTION("""COMPUTED_VALUE"""),0.0)</f>
        <v>0</v>
      </c>
      <c r="G525" s="58">
        <f t="shared" si="17"/>
        <v>0</v>
      </c>
      <c r="H525" s="59"/>
      <c r="I525" s="58">
        <f t="shared" si="18"/>
        <v>0</v>
      </c>
      <c r="J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</row>
    <row r="526">
      <c r="A526" s="4"/>
      <c r="B526" s="2"/>
      <c r="C526" s="56" t="str">
        <f>IFERROR(__xludf.DUMMYFUNCTION("""COMPUTED_VALUE"""),"Keysight_Vision_PG_FPGA_Design_064")</f>
        <v>Keysight_Vision_PG_FPGA_Design_064</v>
      </c>
      <c r="D526" s="56" t="str">
        <f>IFERROR(__xludf.DUMMYFUNCTION("""COMPUTED_VALUE"""),"keysight BERT")</f>
        <v>keysight BERT</v>
      </c>
      <c r="E526" s="57">
        <f>IFERROR(__xludf.DUMMYFUNCTION("""COMPUTED_VALUE"""),0.0)</f>
        <v>0</v>
      </c>
      <c r="F526" s="58">
        <f>IFERROR(__xludf.DUMMYFUNCTION("""COMPUTED_VALUE"""),0.0)</f>
        <v>0</v>
      </c>
      <c r="G526" s="58">
        <f t="shared" si="17"/>
        <v>0</v>
      </c>
      <c r="H526" s="59"/>
      <c r="I526" s="58">
        <f t="shared" si="18"/>
        <v>0</v>
      </c>
      <c r="J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</row>
    <row r="527">
      <c r="A527" s="4"/>
      <c r="B527" s="2"/>
      <c r="C527" s="56" t="str">
        <f>IFERROR(__xludf.DUMMYFUNCTION("""COMPUTED_VALUE"""),"LOKI_PCIe_Gen6_LTSSM_085")</f>
        <v>LOKI_PCIe_Gen6_LTSSM_085</v>
      </c>
      <c r="D527" s="56" t="str">
        <f>IFERROR(__xludf.DUMMYFUNCTION("""COMPUTED_VALUE"""),"keysight BERT")</f>
        <v>keysight BERT</v>
      </c>
      <c r="E527" s="57">
        <f>IFERROR(__xludf.DUMMYFUNCTION("""COMPUTED_VALUE"""),0.0)</f>
        <v>0</v>
      </c>
      <c r="F527" s="58">
        <f>IFERROR(__xludf.DUMMYFUNCTION("""COMPUTED_VALUE"""),0.0)</f>
        <v>0</v>
      </c>
      <c r="G527" s="58">
        <f t="shared" si="17"/>
        <v>0</v>
      </c>
      <c r="H527" s="59"/>
      <c r="I527" s="58">
        <f t="shared" si="18"/>
        <v>0</v>
      </c>
      <c r="J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</row>
    <row r="528">
      <c r="A528" s="4"/>
      <c r="B528" s="2"/>
      <c r="C528" s="56" t="str">
        <f>IFERROR(__xludf.DUMMYFUNCTION("""COMPUTED_VALUE"""),"Total")</f>
        <v>Total</v>
      </c>
      <c r="D528" s="56"/>
      <c r="E528" s="57">
        <f>IFERROR(__xludf.DUMMYFUNCTION("""COMPUTED_VALUE"""),89.53212279166667)</f>
        <v>89.53212279</v>
      </c>
      <c r="F528" s="57">
        <f>IFERROR(__xludf.DUMMYFUNCTION("""COMPUTED_VALUE"""),129.37391743395835)</f>
        <v>129.3739174</v>
      </c>
      <c r="G528" s="57">
        <f>sum(G514:G527)</f>
        <v>225.1060358</v>
      </c>
      <c r="H528" s="59"/>
      <c r="I528" s="57">
        <f>sum(I514:I527)</f>
        <v>95.73211837</v>
      </c>
      <c r="J528" s="4"/>
      <c r="L528" s="4"/>
      <c r="M528" s="4"/>
      <c r="N528" s="62">
        <f>G528-F528</f>
        <v>95.73211837</v>
      </c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</row>
    <row r="529">
      <c r="A529" s="4"/>
      <c r="B529" s="2"/>
      <c r="C529" s="4" t="str">
        <f>IFERROR(__xludf.DUMMYFUNCTION("""COMPUTED_VALUE"""),"HW team R&amp;D Service Delivery Cost")</f>
        <v>HW team R&amp;D Service Delivery Cost</v>
      </c>
      <c r="D529" s="51">
        <f>IFERROR(__xludf.DUMMYFUNCTION("""COMPUTED_VALUE"""),0.39773310597150435)</f>
        <v>0.397733106</v>
      </c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</row>
    <row r="530">
      <c r="A530" s="4"/>
      <c r="B530" s="2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</row>
    <row r="531">
      <c r="A531" s="4"/>
      <c r="B531" s="2"/>
      <c r="C531" s="52" t="str">
        <f>IFERROR(__xludf.DUMMYFUNCTION("""COMPUTED_VALUE"""),"Procured SW Costing")</f>
        <v>Procured SW Costing</v>
      </c>
      <c r="D531" s="53"/>
      <c r="E531" s="53"/>
      <c r="F531" s="53"/>
      <c r="G531" s="53"/>
      <c r="H531" s="53"/>
      <c r="I531" s="5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</row>
    <row r="532">
      <c r="A532" s="4"/>
      <c r="B532" s="2"/>
      <c r="C532" s="55" t="str">
        <f>IFERROR(__xludf.DUMMYFUNCTION("""COMPUTED_VALUE"""),"Project ")</f>
        <v>Project </v>
      </c>
      <c r="D532" s="55" t="str">
        <f>IFERROR(__xludf.DUMMYFUNCTION("""COMPUTED_VALUE"""),"customer")</f>
        <v>customer</v>
      </c>
      <c r="E532" s="55" t="str">
        <f>IFERROR(__xludf.DUMMYFUNCTION("""COMPUTED_VALUE"""),"Annual salary cost (in INR in L)")</f>
        <v>Annual salary cost (in INR in L)</v>
      </c>
      <c r="F532" s="55" t="str">
        <f>IFERROR(__xludf.DUMMYFUNCTION("""COMPUTED_VALUE"""),"annual salary cost with overhead (in L)")</f>
        <v>annual salary cost with overhead (in L)</v>
      </c>
      <c r="G532" s="55" t="s">
        <v>306</v>
      </c>
      <c r="H532" s="55"/>
      <c r="I532" s="55" t="s">
        <v>390</v>
      </c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</row>
    <row r="533">
      <c r="A533" s="4"/>
      <c r="B533" s="2"/>
      <c r="C533" s="56" t="str">
        <f>IFERROR(__xludf.DUMMYFUNCTION("""COMPUTED_VALUE"""),"Keysight_Corvette_Gen5_Analyzer_156")</f>
        <v>Keysight_Corvette_Gen5_Analyzer_156</v>
      </c>
      <c r="D533" s="56" t="str">
        <f>IFERROR(__xludf.DUMMYFUNCTION("""COMPUTED_VALUE"""),"keysight corvette")</f>
        <v>keysight corvette</v>
      </c>
      <c r="E533" s="57">
        <f>IFERROR(__xludf.DUMMYFUNCTION("""COMPUTED_VALUE"""),1.49)</f>
        <v>1.49</v>
      </c>
      <c r="F533" s="58">
        <f>IFERROR(__xludf.DUMMYFUNCTION("""COMPUTED_VALUE"""),2.15305)</f>
        <v>2.15305</v>
      </c>
      <c r="G533" s="58">
        <f t="shared" ref="G533:G546" si="19">iferror(vlookup(C514,$C$456:$D$466,2,false)/100000,0)</f>
        <v>14.0131992</v>
      </c>
      <c r="H533" s="59"/>
      <c r="I533" s="58">
        <f t="shared" ref="I533:I546" si="20">G533-F533</f>
        <v>11.8601492</v>
      </c>
      <c r="J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</row>
    <row r="534">
      <c r="A534" s="4"/>
      <c r="B534" s="2"/>
      <c r="C534" s="56" t="str">
        <f>IFERROR(__xludf.DUMMYFUNCTION("""COMPUTED_VALUE"""),"Keysight_Corvette_Gen5_Exerciser_157")</f>
        <v>Keysight_Corvette_Gen5_Exerciser_157</v>
      </c>
      <c r="D534" s="56" t="str">
        <f>IFERROR(__xludf.DUMMYFUNCTION("""COMPUTED_VALUE"""),"keysight corvette")</f>
        <v>keysight corvette</v>
      </c>
      <c r="E534" s="57">
        <f>IFERROR(__xludf.DUMMYFUNCTION("""COMPUTED_VALUE"""),0.48)</f>
        <v>0.48</v>
      </c>
      <c r="F534" s="58">
        <f>IFERROR(__xludf.DUMMYFUNCTION("""COMPUTED_VALUE"""),0.6936)</f>
        <v>0.6936</v>
      </c>
      <c r="G534" s="58">
        <f t="shared" si="19"/>
        <v>0</v>
      </c>
      <c r="H534" s="59"/>
      <c r="I534" s="58">
        <f t="shared" si="20"/>
        <v>-0.6936</v>
      </c>
      <c r="J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</row>
    <row r="535">
      <c r="A535" s="4"/>
      <c r="B535" s="2"/>
      <c r="C535" s="56" t="str">
        <f>IFERROR(__xludf.DUMMYFUNCTION("""COMPUTED_VALUE"""),"Keysight_Corvette_Gen5_Porting_On_Gen6_HW_160")</f>
        <v>Keysight_Corvette_Gen5_Porting_On_Gen6_HW_160</v>
      </c>
      <c r="D535" s="56" t="str">
        <f>IFERROR(__xludf.DUMMYFUNCTION("""COMPUTED_VALUE"""),"keysight corvette")</f>
        <v>keysight corvette</v>
      </c>
      <c r="E535" s="57">
        <f>IFERROR(__xludf.DUMMYFUNCTION("""COMPUTED_VALUE"""),0.0)</f>
        <v>0</v>
      </c>
      <c r="F535" s="58">
        <f>IFERROR(__xludf.DUMMYFUNCTION("""COMPUTED_VALUE"""),0.0)</f>
        <v>0</v>
      </c>
      <c r="G535" s="58">
        <f t="shared" si="19"/>
        <v>59.6475</v>
      </c>
      <c r="H535" s="59"/>
      <c r="I535" s="58">
        <f t="shared" si="20"/>
        <v>59.6475</v>
      </c>
      <c r="J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</row>
    <row r="536">
      <c r="A536" s="4"/>
      <c r="B536" s="2"/>
      <c r="C536" s="56" t="str">
        <f>IFERROR(__xludf.DUMMYFUNCTION("""COMPUTED_VALUE"""),"Keysight_Corvette_Gen6_Analyzer_T&amp;M_159")</f>
        <v>Keysight_Corvette_Gen6_Analyzer_T&amp;M_159</v>
      </c>
      <c r="D536" s="56" t="str">
        <f>IFERROR(__xludf.DUMMYFUNCTION("""COMPUTED_VALUE"""),"keysight corvette")</f>
        <v>keysight corvette</v>
      </c>
      <c r="E536" s="57">
        <f>IFERROR(__xludf.DUMMYFUNCTION("""COMPUTED_VALUE"""),6.839999999999999)</f>
        <v>6.84</v>
      </c>
      <c r="F536" s="58">
        <f>IFERROR(__xludf.DUMMYFUNCTION("""COMPUTED_VALUE"""),9.883799999999999)</f>
        <v>9.8838</v>
      </c>
      <c r="G536" s="58">
        <f t="shared" si="19"/>
        <v>0</v>
      </c>
      <c r="H536" s="59"/>
      <c r="I536" s="58">
        <f t="shared" si="20"/>
        <v>-9.8838</v>
      </c>
      <c r="J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</row>
    <row r="537">
      <c r="A537" s="4"/>
      <c r="B537" s="2"/>
      <c r="C537" s="56" t="str">
        <f>IFERROR(__xludf.DUMMYFUNCTION("""COMPUTED_VALUE"""),"Keysight_Corvette_Gen6_Exerciser_T&amp;M_158")</f>
        <v>Keysight_Corvette_Gen6_Exerciser_T&amp;M_158</v>
      </c>
      <c r="D537" s="56" t="str">
        <f>IFERROR(__xludf.DUMMYFUNCTION("""COMPUTED_VALUE"""),"keysight corvette")</f>
        <v>keysight corvette</v>
      </c>
      <c r="E537" s="57">
        <f>IFERROR(__xludf.DUMMYFUNCTION("""COMPUTED_VALUE"""),0.0)</f>
        <v>0</v>
      </c>
      <c r="F537" s="58">
        <f>IFERROR(__xludf.DUMMYFUNCTION("""COMPUTED_VALUE"""),0.0)</f>
        <v>0</v>
      </c>
      <c r="G537" s="58">
        <f t="shared" si="19"/>
        <v>715.76113</v>
      </c>
      <c r="H537" s="59"/>
      <c r="I537" s="58">
        <f t="shared" si="20"/>
        <v>715.76113</v>
      </c>
      <c r="J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</row>
    <row r="538">
      <c r="A538" s="4"/>
      <c r="B538" s="2"/>
      <c r="C538" s="56" t="str">
        <f>IFERROR(__xludf.DUMMYFUNCTION("""COMPUTED_VALUE"""),"Keysight_CXL_2.0_Analyzer_145")</f>
        <v>Keysight_CXL_2.0_Analyzer_145</v>
      </c>
      <c r="D538" s="56" t="str">
        <f>IFERROR(__xludf.DUMMYFUNCTION("""COMPUTED_VALUE"""),"keysight CXL")</f>
        <v>keysight CXL</v>
      </c>
      <c r="E538" s="57">
        <f>IFERROR(__xludf.DUMMYFUNCTION("""COMPUTED_VALUE"""),0.0)</f>
        <v>0</v>
      </c>
      <c r="F538" s="58">
        <f>IFERROR(__xludf.DUMMYFUNCTION("""COMPUTED_VALUE"""),0.0)</f>
        <v>0</v>
      </c>
      <c r="G538" s="58">
        <f t="shared" si="19"/>
        <v>4.2075</v>
      </c>
      <c r="H538" s="59"/>
      <c r="I538" s="58">
        <f t="shared" si="20"/>
        <v>4.2075</v>
      </c>
      <c r="J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</row>
    <row r="539">
      <c r="A539" s="4"/>
      <c r="B539" s="2"/>
      <c r="C539" s="56" t="str">
        <f>IFERROR(__xludf.DUMMYFUNCTION("""COMPUTED_VALUE"""),"Keysight_CXL_2.0_Exercsier_144")</f>
        <v>Keysight_CXL_2.0_Exercsier_144</v>
      </c>
      <c r="D539" s="56" t="str">
        <f>IFERROR(__xludf.DUMMYFUNCTION("""COMPUTED_VALUE"""),"keysight CXL")</f>
        <v>keysight CXL</v>
      </c>
      <c r="E539" s="57">
        <f>IFERROR(__xludf.DUMMYFUNCTION("""COMPUTED_VALUE"""),0.0)</f>
        <v>0</v>
      </c>
      <c r="F539" s="58">
        <f>IFERROR(__xludf.DUMMYFUNCTION("""COMPUTED_VALUE"""),0.0)</f>
        <v>0</v>
      </c>
      <c r="G539" s="58">
        <f t="shared" si="19"/>
        <v>54.1922</v>
      </c>
      <c r="H539" s="59"/>
      <c r="I539" s="58">
        <f t="shared" si="20"/>
        <v>54.1922</v>
      </c>
      <c r="J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</row>
    <row r="540">
      <c r="A540" s="4"/>
      <c r="B540" s="2"/>
      <c r="C540" s="56" t="str">
        <f>IFERROR(__xludf.DUMMYFUNCTION("""COMPUTED_VALUE"""),"Keysight_CXL_3.0_Analyzer_147")</f>
        <v>Keysight_CXL_3.0_Analyzer_147</v>
      </c>
      <c r="D540" s="56" t="str">
        <f>IFERROR(__xludf.DUMMYFUNCTION("""COMPUTED_VALUE"""),"keysight CXL")</f>
        <v>keysight CXL</v>
      </c>
      <c r="E540" s="57">
        <f>IFERROR(__xludf.DUMMYFUNCTION("""COMPUTED_VALUE"""),0.0)</f>
        <v>0</v>
      </c>
      <c r="F540" s="58">
        <f>IFERROR(__xludf.DUMMYFUNCTION("""COMPUTED_VALUE"""),0.0)</f>
        <v>0</v>
      </c>
      <c r="G540" s="58">
        <f t="shared" si="19"/>
        <v>70.29</v>
      </c>
      <c r="H540" s="59"/>
      <c r="I540" s="58">
        <f t="shared" si="20"/>
        <v>70.29</v>
      </c>
      <c r="J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</row>
    <row r="541">
      <c r="A541" s="4"/>
      <c r="B541" s="2"/>
      <c r="C541" s="56" t="str">
        <f>IFERROR(__xludf.DUMMYFUNCTION("""COMPUTED_VALUE"""),"Keysight_CXL_3.0_Exercsier_146")</f>
        <v>Keysight_CXL_3.0_Exercsier_146</v>
      </c>
      <c r="D541" s="56" t="str">
        <f>IFERROR(__xludf.DUMMYFUNCTION("""COMPUTED_VALUE"""),"keysight CXL")</f>
        <v>keysight CXL</v>
      </c>
      <c r="E541" s="57">
        <f>IFERROR(__xludf.DUMMYFUNCTION("""COMPUTED_VALUE"""),0.0)</f>
        <v>0</v>
      </c>
      <c r="F541" s="58">
        <f>IFERROR(__xludf.DUMMYFUNCTION("""COMPUTED_VALUE"""),0.0)</f>
        <v>0</v>
      </c>
      <c r="G541" s="58">
        <f t="shared" si="19"/>
        <v>235.62</v>
      </c>
      <c r="H541" s="59"/>
      <c r="I541" s="58">
        <f t="shared" si="20"/>
        <v>235.62</v>
      </c>
      <c r="J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</row>
    <row r="542">
      <c r="A542" s="4"/>
      <c r="B542" s="2"/>
      <c r="C542" s="56" t="str">
        <f>IFERROR(__xludf.DUMMYFUNCTION("""COMPUTED_VALUE"""),"Keysight_Ketch_NVMe_114")</f>
        <v>Keysight_Ketch_NVMe_114</v>
      </c>
      <c r="D542" s="56" t="str">
        <f>IFERROR(__xludf.DUMMYFUNCTION("""COMPUTED_VALUE"""),"keysight corvette")</f>
        <v>keysight corvette</v>
      </c>
      <c r="E542" s="57">
        <f>IFERROR(__xludf.DUMMYFUNCTION("""COMPUTED_VALUE"""),0.0)</f>
        <v>0</v>
      </c>
      <c r="F542" s="58">
        <f>IFERROR(__xludf.DUMMYFUNCTION("""COMPUTED_VALUE"""),0.0)</f>
        <v>0</v>
      </c>
      <c r="G542" s="58">
        <f t="shared" si="19"/>
        <v>0</v>
      </c>
      <c r="H542" s="59"/>
      <c r="I542" s="58">
        <f t="shared" si="20"/>
        <v>0</v>
      </c>
      <c r="J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</row>
    <row r="543">
      <c r="A543" s="4"/>
      <c r="B543" s="2"/>
      <c r="C543" s="56" t="str">
        <f>IFERROR(__xludf.DUMMYFUNCTION("""COMPUTED_VALUE"""),"Keysight_PCIe_Gen5_Cutter_PTC_155")</f>
        <v>Keysight_PCIe_Gen5_Cutter_PTC_155</v>
      </c>
      <c r="D543" s="56" t="str">
        <f>IFERROR(__xludf.DUMMYFUNCTION("""COMPUTED_VALUE"""),"Keysight PTC")</f>
        <v>Keysight PTC</v>
      </c>
      <c r="E543" s="57">
        <f>IFERROR(__xludf.DUMMYFUNCTION("""COMPUTED_VALUE"""),0.0)</f>
        <v>0</v>
      </c>
      <c r="F543" s="58">
        <f>IFERROR(__xludf.DUMMYFUNCTION("""COMPUTED_VALUE"""),0.0)</f>
        <v>0</v>
      </c>
      <c r="G543" s="58">
        <f t="shared" si="19"/>
        <v>102.3</v>
      </c>
      <c r="H543" s="59"/>
      <c r="I543" s="58">
        <f t="shared" si="20"/>
        <v>102.3</v>
      </c>
      <c r="J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</row>
    <row r="544">
      <c r="A544" s="4"/>
      <c r="B544" s="2"/>
      <c r="C544" s="56" t="str">
        <f>IFERROR(__xludf.DUMMYFUNCTION("""COMPUTED_VALUE"""),"Keysight_Vision_PCIe_Gen6_LTSSM_112")</f>
        <v>Keysight_Vision_PCIe_Gen6_LTSSM_112</v>
      </c>
      <c r="D544" s="56" t="str">
        <f>IFERROR(__xludf.DUMMYFUNCTION("""COMPUTED_VALUE"""),"keysight BERT")</f>
        <v>keysight BERT</v>
      </c>
      <c r="E544" s="57">
        <f>IFERROR(__xludf.DUMMYFUNCTION("""COMPUTED_VALUE"""),0.0)</f>
        <v>0</v>
      </c>
      <c r="F544" s="58">
        <f>IFERROR(__xludf.DUMMYFUNCTION("""COMPUTED_VALUE"""),0.0)</f>
        <v>0</v>
      </c>
      <c r="G544" s="58">
        <f t="shared" si="19"/>
        <v>0</v>
      </c>
      <c r="H544" s="59"/>
      <c r="I544" s="58">
        <f t="shared" si="20"/>
        <v>0</v>
      </c>
      <c r="J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</row>
    <row r="545">
      <c r="A545" s="4"/>
      <c r="B545" s="2"/>
      <c r="C545" s="56" t="str">
        <f>IFERROR(__xludf.DUMMYFUNCTION("""COMPUTED_VALUE"""),"Keysight_Vision_PG_FPGA_Design_064")</f>
        <v>Keysight_Vision_PG_FPGA_Design_064</v>
      </c>
      <c r="D545" s="56" t="str">
        <f>IFERROR(__xludf.DUMMYFUNCTION("""COMPUTED_VALUE"""),"keysight BERT")</f>
        <v>keysight BERT</v>
      </c>
      <c r="E545" s="57">
        <f>IFERROR(__xludf.DUMMYFUNCTION("""COMPUTED_VALUE"""),0.0)</f>
        <v>0</v>
      </c>
      <c r="F545" s="58">
        <f>IFERROR(__xludf.DUMMYFUNCTION("""COMPUTED_VALUE"""),0.0)</f>
        <v>0</v>
      </c>
      <c r="G545" s="58">
        <f t="shared" si="19"/>
        <v>0</v>
      </c>
      <c r="H545" s="59"/>
      <c r="I545" s="58">
        <f t="shared" si="20"/>
        <v>0</v>
      </c>
      <c r="J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</row>
    <row r="546">
      <c r="A546" s="4"/>
      <c r="B546" s="2"/>
      <c r="C546" s="56" t="str">
        <f>IFERROR(__xludf.DUMMYFUNCTION("""COMPUTED_VALUE"""),"LOKI_PCIe_Gen6_LTSSM_085")</f>
        <v>LOKI_PCIe_Gen6_LTSSM_085</v>
      </c>
      <c r="D546" s="56" t="str">
        <f>IFERROR(__xludf.DUMMYFUNCTION("""COMPUTED_VALUE"""),"keysight BERT")</f>
        <v>keysight BERT</v>
      </c>
      <c r="E546" s="57">
        <f>IFERROR(__xludf.DUMMYFUNCTION("""COMPUTED_VALUE"""),0.0)</f>
        <v>0</v>
      </c>
      <c r="F546" s="58">
        <f>IFERROR(__xludf.DUMMYFUNCTION("""COMPUTED_VALUE"""),0.0)</f>
        <v>0</v>
      </c>
      <c r="G546" s="58">
        <f t="shared" si="19"/>
        <v>0</v>
      </c>
      <c r="H546" s="59"/>
      <c r="I546" s="58">
        <f t="shared" si="20"/>
        <v>0</v>
      </c>
      <c r="J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</row>
    <row r="547">
      <c r="A547" s="4"/>
      <c r="B547" s="2"/>
      <c r="C547" s="56" t="str">
        <f>IFERROR(__xludf.DUMMYFUNCTION("""COMPUTED_VALUE"""),"Total")</f>
        <v>Total</v>
      </c>
      <c r="D547" s="56"/>
      <c r="E547" s="57">
        <f>IFERROR(__xludf.DUMMYFUNCTION("""COMPUTED_VALUE"""),8.809999999999999)</f>
        <v>8.81</v>
      </c>
      <c r="F547" s="57">
        <f>IFERROR(__xludf.DUMMYFUNCTION("""COMPUTED_VALUE"""),12.73045)</f>
        <v>12.73045</v>
      </c>
      <c r="G547" s="57">
        <f>sum(G533:G546)</f>
        <v>1256.031529</v>
      </c>
      <c r="H547" s="59"/>
      <c r="I547" s="57">
        <f>sum(I533:I546)</f>
        <v>1243.301079</v>
      </c>
      <c r="J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</row>
    <row r="548">
      <c r="A548" s="4"/>
      <c r="B548" s="2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</row>
    <row r="549">
      <c r="A549" s="4"/>
      <c r="B549" s="2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</row>
    <row r="550">
      <c r="A550" s="4"/>
      <c r="B550" s="2"/>
      <c r="C550" s="52" t="str">
        <f>IFERROR(__xludf.DUMMYFUNCTION("""COMPUTED_VALUE"""),"Procured HW Costing")</f>
        <v>Procured HW Costing</v>
      </c>
      <c r="D550" s="53"/>
      <c r="E550" s="53"/>
      <c r="F550" s="53"/>
      <c r="G550" s="53"/>
      <c r="H550" s="53"/>
      <c r="I550" s="5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</row>
    <row r="551">
      <c r="A551" s="4"/>
      <c r="B551" s="2"/>
      <c r="C551" s="55" t="str">
        <f>IFERROR(__xludf.DUMMYFUNCTION("""COMPUTED_VALUE"""),"Project ")</f>
        <v>Project </v>
      </c>
      <c r="D551" s="55" t="str">
        <f>IFERROR(__xludf.DUMMYFUNCTION("""COMPUTED_VALUE"""),"customer")</f>
        <v>customer</v>
      </c>
      <c r="E551" s="55" t="str">
        <f>IFERROR(__xludf.DUMMYFUNCTION("""COMPUTED_VALUE"""),"Annual salary cost (in INR in L)")</f>
        <v>Annual salary cost (in INR in L)</v>
      </c>
      <c r="F551" s="55" t="str">
        <f>IFERROR(__xludf.DUMMYFUNCTION("""COMPUTED_VALUE"""),"annual salary cost with overhead (in L)")</f>
        <v>annual salary cost with overhead (in L)</v>
      </c>
      <c r="G551" s="55" t="s">
        <v>306</v>
      </c>
      <c r="H551" s="55"/>
      <c r="I551" s="55" t="s">
        <v>390</v>
      </c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</row>
    <row r="552">
      <c r="A552" s="4"/>
      <c r="B552" s="2"/>
      <c r="C552" s="56" t="str">
        <f>IFERROR(__xludf.DUMMYFUNCTION("""COMPUTED_VALUE"""),"Keysight_Corvette_Gen5_Analyzer_156")</f>
        <v>Keysight_Corvette_Gen5_Analyzer_156</v>
      </c>
      <c r="D552" s="56" t="str">
        <f>IFERROR(__xludf.DUMMYFUNCTION("""COMPUTED_VALUE"""),"keysight corvette")</f>
        <v>keysight corvette</v>
      </c>
      <c r="E552" s="57">
        <f>IFERROR(__xludf.DUMMYFUNCTION("""COMPUTED_VALUE"""),2.18106)</f>
        <v>2.18106</v>
      </c>
      <c r="F552" s="58">
        <f>IFERROR(__xludf.DUMMYFUNCTION("""COMPUTED_VALUE"""),3.1516317000000003)</f>
        <v>3.1516317</v>
      </c>
      <c r="G552" s="58">
        <f t="shared" ref="G552:G565" si="21">iferror(vlookup(C533,$C$456:$F$466,4,false)/100000,0)</f>
        <v>23.1035078</v>
      </c>
      <c r="H552" s="59"/>
      <c r="I552" s="58">
        <f t="shared" ref="I552:I565" si="22">G552-F552</f>
        <v>19.9518761</v>
      </c>
      <c r="J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</row>
    <row r="553">
      <c r="A553" s="4"/>
      <c r="B553" s="2"/>
      <c r="C553" s="56" t="str">
        <f>IFERROR(__xludf.DUMMYFUNCTION("""COMPUTED_VALUE"""),"Keysight_Corvette_Gen5_Exerciser_157")</f>
        <v>Keysight_Corvette_Gen5_Exerciser_157</v>
      </c>
      <c r="D553" s="56" t="str">
        <f>IFERROR(__xludf.DUMMYFUNCTION("""COMPUTED_VALUE"""),"keysight corvette")</f>
        <v>keysight corvette</v>
      </c>
      <c r="E553" s="57">
        <f>IFERROR(__xludf.DUMMYFUNCTION("""COMPUTED_VALUE"""),0.0)</f>
        <v>0</v>
      </c>
      <c r="F553" s="58">
        <f>IFERROR(__xludf.DUMMYFUNCTION("""COMPUTED_VALUE"""),0.0)</f>
        <v>0</v>
      </c>
      <c r="G553" s="58">
        <f t="shared" si="21"/>
        <v>0</v>
      </c>
      <c r="H553" s="59"/>
      <c r="I553" s="58">
        <f t="shared" si="22"/>
        <v>0</v>
      </c>
      <c r="J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</row>
    <row r="554">
      <c r="A554" s="4"/>
      <c r="B554" s="2"/>
      <c r="C554" s="56" t="str">
        <f>IFERROR(__xludf.DUMMYFUNCTION("""COMPUTED_VALUE"""),"Keysight_Corvette_Gen5_Porting_On_Gen6_HW_160")</f>
        <v>Keysight_Corvette_Gen5_Porting_On_Gen6_HW_160</v>
      </c>
      <c r="D554" s="56" t="str">
        <f>IFERROR(__xludf.DUMMYFUNCTION("""COMPUTED_VALUE"""),"keysight corvette")</f>
        <v>keysight corvette</v>
      </c>
      <c r="E554" s="57">
        <f>IFERROR(__xludf.DUMMYFUNCTION("""COMPUTED_VALUE"""),0.0)</f>
        <v>0</v>
      </c>
      <c r="F554" s="58">
        <f>IFERROR(__xludf.DUMMYFUNCTION("""COMPUTED_VALUE"""),0.0)</f>
        <v>0</v>
      </c>
      <c r="G554" s="58">
        <f t="shared" si="21"/>
        <v>0</v>
      </c>
      <c r="H554" s="59"/>
      <c r="I554" s="58">
        <f t="shared" si="22"/>
        <v>0</v>
      </c>
      <c r="J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</row>
    <row r="555">
      <c r="A555" s="4"/>
      <c r="B555" s="2"/>
      <c r="C555" s="56" t="str">
        <f>IFERROR(__xludf.DUMMYFUNCTION("""COMPUTED_VALUE"""),"Keysight_Corvette_Gen6_Analyzer_T&amp;M_159")</f>
        <v>Keysight_Corvette_Gen6_Analyzer_T&amp;M_159</v>
      </c>
      <c r="D555" s="56" t="str">
        <f>IFERROR(__xludf.DUMMYFUNCTION("""COMPUTED_VALUE"""),"keysight corvette")</f>
        <v>keysight corvette</v>
      </c>
      <c r="E555" s="57">
        <f>IFERROR(__xludf.DUMMYFUNCTION("""COMPUTED_VALUE"""),0.0)</f>
        <v>0</v>
      </c>
      <c r="F555" s="58">
        <f>IFERROR(__xludf.DUMMYFUNCTION("""COMPUTED_VALUE"""),0.0)</f>
        <v>0</v>
      </c>
      <c r="G555" s="58">
        <f t="shared" si="21"/>
        <v>0</v>
      </c>
      <c r="H555" s="59"/>
      <c r="I555" s="58">
        <f t="shared" si="22"/>
        <v>0</v>
      </c>
      <c r="J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</row>
    <row r="556">
      <c r="A556" s="4"/>
      <c r="B556" s="2"/>
      <c r="C556" s="56" t="str">
        <f>IFERROR(__xludf.DUMMYFUNCTION("""COMPUTED_VALUE"""),"Keysight_Corvette_Gen6_Exerciser_T&amp;M_158")</f>
        <v>Keysight_Corvette_Gen6_Exerciser_T&amp;M_158</v>
      </c>
      <c r="D556" s="56" t="str">
        <f>IFERROR(__xludf.DUMMYFUNCTION("""COMPUTED_VALUE"""),"keysight corvette")</f>
        <v>keysight corvette</v>
      </c>
      <c r="E556" s="57">
        <f>IFERROR(__xludf.DUMMYFUNCTION("""COMPUTED_VALUE"""),0.0)</f>
        <v>0</v>
      </c>
      <c r="F556" s="58">
        <f>IFERROR(__xludf.DUMMYFUNCTION("""COMPUTED_VALUE"""),0.0)</f>
        <v>0</v>
      </c>
      <c r="G556" s="58">
        <f t="shared" si="21"/>
        <v>202.002528</v>
      </c>
      <c r="H556" s="59"/>
      <c r="I556" s="58">
        <f t="shared" si="22"/>
        <v>202.002528</v>
      </c>
      <c r="J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</row>
    <row r="557">
      <c r="A557" s="4"/>
      <c r="B557" s="2"/>
      <c r="C557" s="56" t="str">
        <f>IFERROR(__xludf.DUMMYFUNCTION("""COMPUTED_VALUE"""),"Keysight_CXL_2.0_Analyzer_145")</f>
        <v>Keysight_CXL_2.0_Analyzer_145</v>
      </c>
      <c r="D557" s="56" t="str">
        <f>IFERROR(__xludf.DUMMYFUNCTION("""COMPUTED_VALUE"""),"keysight CXL")</f>
        <v>keysight CXL</v>
      </c>
      <c r="E557" s="57">
        <f>IFERROR(__xludf.DUMMYFUNCTION("""COMPUTED_VALUE"""),0.0)</f>
        <v>0</v>
      </c>
      <c r="F557" s="58">
        <f>IFERROR(__xludf.DUMMYFUNCTION("""COMPUTED_VALUE"""),0.0)</f>
        <v>0</v>
      </c>
      <c r="G557" s="58">
        <f t="shared" si="21"/>
        <v>0</v>
      </c>
      <c r="H557" s="59"/>
      <c r="I557" s="58">
        <f t="shared" si="22"/>
        <v>0</v>
      </c>
      <c r="J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</row>
    <row r="558">
      <c r="A558" s="4"/>
      <c r="B558" s="2"/>
      <c r="C558" s="56" t="str">
        <f>IFERROR(__xludf.DUMMYFUNCTION("""COMPUTED_VALUE"""),"Keysight_CXL_2.0_Exercsier_144")</f>
        <v>Keysight_CXL_2.0_Exercsier_144</v>
      </c>
      <c r="D558" s="56" t="str">
        <f>IFERROR(__xludf.DUMMYFUNCTION("""COMPUTED_VALUE"""),"keysight CXL")</f>
        <v>keysight CXL</v>
      </c>
      <c r="E558" s="57">
        <f>IFERROR(__xludf.DUMMYFUNCTION("""COMPUTED_VALUE"""),0.30251)</f>
        <v>0.30251</v>
      </c>
      <c r="F558" s="58">
        <f>IFERROR(__xludf.DUMMYFUNCTION("""COMPUTED_VALUE"""),0.43712695)</f>
        <v>0.43712695</v>
      </c>
      <c r="G558" s="58">
        <f t="shared" si="21"/>
        <v>0</v>
      </c>
      <c r="H558" s="59"/>
      <c r="I558" s="58">
        <f t="shared" si="22"/>
        <v>-0.43712695</v>
      </c>
      <c r="J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</row>
    <row r="559">
      <c r="A559" s="4"/>
      <c r="B559" s="2"/>
      <c r="C559" s="56" t="str">
        <f>IFERROR(__xludf.DUMMYFUNCTION("""COMPUTED_VALUE"""),"Keysight_CXL_3.0_Analyzer_147")</f>
        <v>Keysight_CXL_3.0_Analyzer_147</v>
      </c>
      <c r="D559" s="56" t="str">
        <f>IFERROR(__xludf.DUMMYFUNCTION("""COMPUTED_VALUE"""),"keysight CXL")</f>
        <v>keysight CXL</v>
      </c>
      <c r="E559" s="57">
        <f>IFERROR(__xludf.DUMMYFUNCTION("""COMPUTED_VALUE"""),0.0)</f>
        <v>0</v>
      </c>
      <c r="F559" s="58">
        <f>IFERROR(__xludf.DUMMYFUNCTION("""COMPUTED_VALUE"""),0.0)</f>
        <v>0</v>
      </c>
      <c r="G559" s="58">
        <f t="shared" si="21"/>
        <v>0</v>
      </c>
      <c r="H559" s="59"/>
      <c r="I559" s="58">
        <f t="shared" si="22"/>
        <v>0</v>
      </c>
      <c r="J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</row>
    <row r="560">
      <c r="A560" s="4"/>
      <c r="B560" s="2"/>
      <c r="C560" s="56" t="str">
        <f>IFERROR(__xludf.DUMMYFUNCTION("""COMPUTED_VALUE"""),"Keysight_CXL_3.0_Exercsier_146")</f>
        <v>Keysight_CXL_3.0_Exercsier_146</v>
      </c>
      <c r="D560" s="56" t="str">
        <f>IFERROR(__xludf.DUMMYFUNCTION("""COMPUTED_VALUE"""),"keysight CXL")</f>
        <v>keysight CXL</v>
      </c>
      <c r="E560" s="57">
        <f>IFERROR(__xludf.DUMMYFUNCTION("""COMPUTED_VALUE"""),0.0)</f>
        <v>0</v>
      </c>
      <c r="F560" s="58">
        <f>IFERROR(__xludf.DUMMYFUNCTION("""COMPUTED_VALUE"""),0.0)</f>
        <v>0</v>
      </c>
      <c r="G560" s="58">
        <f t="shared" si="21"/>
        <v>0</v>
      </c>
      <c r="H560" s="59"/>
      <c r="I560" s="58">
        <f t="shared" si="22"/>
        <v>0</v>
      </c>
      <c r="J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</row>
    <row r="561">
      <c r="A561" s="4"/>
      <c r="B561" s="2"/>
      <c r="C561" s="56" t="str">
        <f>IFERROR(__xludf.DUMMYFUNCTION("""COMPUTED_VALUE"""),"Keysight_Ketch_NVMe_114")</f>
        <v>Keysight_Ketch_NVMe_114</v>
      </c>
      <c r="D561" s="56" t="str">
        <f>IFERROR(__xludf.DUMMYFUNCTION("""COMPUTED_VALUE"""),"keysight corvette")</f>
        <v>keysight corvette</v>
      </c>
      <c r="E561" s="57">
        <f>IFERROR(__xludf.DUMMYFUNCTION("""COMPUTED_VALUE"""),0.0)</f>
        <v>0</v>
      </c>
      <c r="F561" s="58">
        <f>IFERROR(__xludf.DUMMYFUNCTION("""COMPUTED_VALUE"""),0.0)</f>
        <v>0</v>
      </c>
      <c r="G561" s="58">
        <f t="shared" si="21"/>
        <v>0</v>
      </c>
      <c r="H561" s="59"/>
      <c r="I561" s="58">
        <f t="shared" si="22"/>
        <v>0</v>
      </c>
      <c r="J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</row>
    <row r="562">
      <c r="A562" s="4"/>
      <c r="B562" s="2"/>
      <c r="C562" s="56" t="str">
        <f>IFERROR(__xludf.DUMMYFUNCTION("""COMPUTED_VALUE"""),"Keysight_PCIe_Gen5_Cutter_PTC_155")</f>
        <v>Keysight_PCIe_Gen5_Cutter_PTC_155</v>
      </c>
      <c r="D562" s="56" t="str">
        <f>IFERROR(__xludf.DUMMYFUNCTION("""COMPUTED_VALUE"""),"Keysight PTC")</f>
        <v>Keysight PTC</v>
      </c>
      <c r="E562" s="57">
        <f>IFERROR(__xludf.DUMMYFUNCTION("""COMPUTED_VALUE"""),0.0)</f>
        <v>0</v>
      </c>
      <c r="F562" s="58">
        <f>IFERROR(__xludf.DUMMYFUNCTION("""COMPUTED_VALUE"""),0.0)</f>
        <v>0</v>
      </c>
      <c r="G562" s="58">
        <f t="shared" si="21"/>
        <v>0</v>
      </c>
      <c r="H562" s="59"/>
      <c r="I562" s="58">
        <f t="shared" si="22"/>
        <v>0</v>
      </c>
      <c r="J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</row>
    <row r="563">
      <c r="A563" s="4"/>
      <c r="B563" s="2"/>
      <c r="C563" s="56" t="str">
        <f>IFERROR(__xludf.DUMMYFUNCTION("""COMPUTED_VALUE"""),"Keysight_Vision_PCIe_Gen6_LTSSM_112")</f>
        <v>Keysight_Vision_PCIe_Gen6_LTSSM_112</v>
      </c>
      <c r="D563" s="56" t="str">
        <f>IFERROR(__xludf.DUMMYFUNCTION("""COMPUTED_VALUE"""),"keysight BERT")</f>
        <v>keysight BERT</v>
      </c>
      <c r="E563" s="57">
        <f>IFERROR(__xludf.DUMMYFUNCTION("""COMPUTED_VALUE"""),0.0)</f>
        <v>0</v>
      </c>
      <c r="F563" s="58">
        <f>IFERROR(__xludf.DUMMYFUNCTION("""COMPUTED_VALUE"""),0.0)</f>
        <v>0</v>
      </c>
      <c r="G563" s="58">
        <f t="shared" si="21"/>
        <v>0</v>
      </c>
      <c r="H563" s="59"/>
      <c r="I563" s="58">
        <f t="shared" si="22"/>
        <v>0</v>
      </c>
      <c r="J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</row>
    <row r="564">
      <c r="A564" s="4"/>
      <c r="B564" s="2"/>
      <c r="C564" s="56" t="str">
        <f>IFERROR(__xludf.DUMMYFUNCTION("""COMPUTED_VALUE"""),"Keysight_Vision_PG_FPGA_Design_064")</f>
        <v>Keysight_Vision_PG_FPGA_Design_064</v>
      </c>
      <c r="D564" s="56" t="str">
        <f>IFERROR(__xludf.DUMMYFUNCTION("""COMPUTED_VALUE"""),"keysight BERT")</f>
        <v>keysight BERT</v>
      </c>
      <c r="E564" s="57">
        <f>IFERROR(__xludf.DUMMYFUNCTION("""COMPUTED_VALUE"""),0.0)</f>
        <v>0</v>
      </c>
      <c r="F564" s="58">
        <f>IFERROR(__xludf.DUMMYFUNCTION("""COMPUTED_VALUE"""),0.0)</f>
        <v>0</v>
      </c>
      <c r="G564" s="58">
        <f t="shared" si="21"/>
        <v>0</v>
      </c>
      <c r="H564" s="59"/>
      <c r="I564" s="58">
        <f t="shared" si="22"/>
        <v>0</v>
      </c>
      <c r="J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</row>
    <row r="565">
      <c r="A565" s="4"/>
      <c r="B565" s="2"/>
      <c r="C565" s="56" t="str">
        <f>IFERROR(__xludf.DUMMYFUNCTION("""COMPUTED_VALUE"""),"LOKI_PCIe_Gen6_LTSSM_085")</f>
        <v>LOKI_PCIe_Gen6_LTSSM_085</v>
      </c>
      <c r="D565" s="56" t="str">
        <f>IFERROR(__xludf.DUMMYFUNCTION("""COMPUTED_VALUE"""),"keysight BERT")</f>
        <v>keysight BERT</v>
      </c>
      <c r="E565" s="57">
        <f>IFERROR(__xludf.DUMMYFUNCTION("""COMPUTED_VALUE"""),0.0)</f>
        <v>0</v>
      </c>
      <c r="F565" s="58">
        <f>IFERROR(__xludf.DUMMYFUNCTION("""COMPUTED_VALUE"""),0.0)</f>
        <v>0</v>
      </c>
      <c r="G565" s="58">
        <f t="shared" si="21"/>
        <v>0</v>
      </c>
      <c r="H565" s="59"/>
      <c r="I565" s="58">
        <f t="shared" si="22"/>
        <v>0</v>
      </c>
      <c r="J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</row>
    <row r="566">
      <c r="A566" s="4"/>
      <c r="B566" s="2"/>
      <c r="C566" s="56" t="str">
        <f>IFERROR(__xludf.DUMMYFUNCTION("""COMPUTED_VALUE"""),"Total")</f>
        <v>Total</v>
      </c>
      <c r="D566" s="56"/>
      <c r="E566" s="57">
        <f>IFERROR(__xludf.DUMMYFUNCTION("""COMPUTED_VALUE"""),2.48357)</f>
        <v>2.48357</v>
      </c>
      <c r="F566" s="57">
        <f>IFERROR(__xludf.DUMMYFUNCTION("""COMPUTED_VALUE"""),3.5887586500000004)</f>
        <v>3.58875865</v>
      </c>
      <c r="G566" s="57">
        <f>sum(G552:G565)</f>
        <v>225.1060358</v>
      </c>
      <c r="H566" s="59"/>
      <c r="I566" s="57">
        <f>sum(I552:I565)</f>
        <v>221.5172772</v>
      </c>
      <c r="J566" s="4"/>
      <c r="L566" s="4"/>
      <c r="M566" s="4"/>
      <c r="N566" s="62">
        <f>G566-F566</f>
        <v>221.5172772</v>
      </c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</row>
    <row r="567">
      <c r="A567" s="4"/>
      <c r="B567" s="2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</row>
    <row r="568">
      <c r="A568" s="4"/>
      <c r="B568" s="2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</row>
    <row r="569">
      <c r="A569" s="4"/>
      <c r="B569" s="2"/>
      <c r="C569" s="52" t="str">
        <f>IFERROR(__xludf.DUMMYFUNCTION("""COMPUTED_VALUE"""),"Consultant Costing")</f>
        <v>Consultant Costing</v>
      </c>
      <c r="D569" s="53"/>
      <c r="E569" s="53"/>
      <c r="F569" s="53"/>
      <c r="G569" s="53"/>
      <c r="H569" s="53"/>
      <c r="I569" s="5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</row>
    <row r="570">
      <c r="A570" s="4"/>
      <c r="B570" s="2"/>
      <c r="C570" s="55" t="str">
        <f>IFERROR(__xludf.DUMMYFUNCTION("""COMPUTED_VALUE"""),"Project ")</f>
        <v>Project </v>
      </c>
      <c r="D570" s="55" t="str">
        <f>IFERROR(__xludf.DUMMYFUNCTION("""COMPUTED_VALUE"""),"customer")</f>
        <v>customer</v>
      </c>
      <c r="E570" s="55" t="str">
        <f>IFERROR(__xludf.DUMMYFUNCTION("""COMPUTED_VALUE"""),"Annual salary cost (in INR in L)")</f>
        <v>Annual salary cost (in INR in L)</v>
      </c>
      <c r="F570" s="55" t="str">
        <f>IFERROR(__xludf.DUMMYFUNCTION("""COMPUTED_VALUE"""),"annual salary cost with overhead (in L)")</f>
        <v>annual salary cost with overhead (in L)</v>
      </c>
      <c r="G570" s="55"/>
      <c r="H570" s="55"/>
      <c r="I570" s="55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</row>
    <row r="571">
      <c r="A571" s="4"/>
      <c r="B571" s="2"/>
      <c r="C571" s="56" t="str">
        <f>IFERROR(__xludf.DUMMYFUNCTION("""COMPUTED_VALUE"""),"Keysight_Corvette_Gen5_Analyzer_156")</f>
        <v>Keysight_Corvette_Gen5_Analyzer_156</v>
      </c>
      <c r="D571" s="56" t="str">
        <f>IFERROR(__xludf.DUMMYFUNCTION("""COMPUTED_VALUE"""),"keysight corvette")</f>
        <v>keysight corvette</v>
      </c>
      <c r="E571" s="57">
        <f>IFERROR(__xludf.DUMMYFUNCTION("""COMPUTED_VALUE"""),8.12918)</f>
        <v>8.12918</v>
      </c>
      <c r="F571" s="58">
        <f>IFERROR(__xludf.DUMMYFUNCTION("""COMPUTED_VALUE"""),11.7466651)</f>
        <v>11.7466651</v>
      </c>
      <c r="G571" s="58"/>
      <c r="H571" s="59"/>
      <c r="I571" s="58">
        <f t="shared" ref="I571:I584" si="23">G571-F571</f>
        <v>-11.7466651</v>
      </c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</row>
    <row r="572">
      <c r="A572" s="4"/>
      <c r="B572" s="2"/>
      <c r="C572" s="56" t="str">
        <f>IFERROR(__xludf.DUMMYFUNCTION("""COMPUTED_VALUE"""),"Keysight_Corvette_Gen5_Exerciser_157")</f>
        <v>Keysight_Corvette_Gen5_Exerciser_157</v>
      </c>
      <c r="D572" s="56" t="str">
        <f>IFERROR(__xludf.DUMMYFUNCTION("""COMPUTED_VALUE"""),"keysight corvette")</f>
        <v>keysight corvette</v>
      </c>
      <c r="E572" s="57">
        <f>IFERROR(__xludf.DUMMYFUNCTION("""COMPUTED_VALUE"""),0.0)</f>
        <v>0</v>
      </c>
      <c r="F572" s="58">
        <f>IFERROR(__xludf.DUMMYFUNCTION("""COMPUTED_VALUE"""),0.0)</f>
        <v>0</v>
      </c>
      <c r="G572" s="58"/>
      <c r="H572" s="59"/>
      <c r="I572" s="58">
        <f t="shared" si="23"/>
        <v>0</v>
      </c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</row>
    <row r="573">
      <c r="A573" s="4"/>
      <c r="B573" s="2"/>
      <c r="C573" s="56" t="str">
        <f>IFERROR(__xludf.DUMMYFUNCTION("""COMPUTED_VALUE"""),"Keysight_Corvette_Gen5_Porting_On_Gen6_HW_160")</f>
        <v>Keysight_Corvette_Gen5_Porting_On_Gen6_HW_160</v>
      </c>
      <c r="D573" s="56" t="str">
        <f>IFERROR(__xludf.DUMMYFUNCTION("""COMPUTED_VALUE"""),"keysight corvette")</f>
        <v>keysight corvette</v>
      </c>
      <c r="E573" s="57">
        <f>IFERROR(__xludf.DUMMYFUNCTION("""COMPUTED_VALUE"""),0.0)</f>
        <v>0</v>
      </c>
      <c r="F573" s="58">
        <f>IFERROR(__xludf.DUMMYFUNCTION("""COMPUTED_VALUE"""),0.0)</f>
        <v>0</v>
      </c>
      <c r="G573" s="58"/>
      <c r="H573" s="59"/>
      <c r="I573" s="58">
        <f t="shared" si="23"/>
        <v>0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</row>
    <row r="574">
      <c r="A574" s="4"/>
      <c r="B574" s="2"/>
      <c r="C574" s="56" t="str">
        <f>IFERROR(__xludf.DUMMYFUNCTION("""COMPUTED_VALUE"""),"Keysight_Corvette_Gen6_Analyzer_T&amp;M_159")</f>
        <v>Keysight_Corvette_Gen6_Analyzer_T&amp;M_159</v>
      </c>
      <c r="D574" s="56" t="str">
        <f>IFERROR(__xludf.DUMMYFUNCTION("""COMPUTED_VALUE"""),"keysight corvette")</f>
        <v>keysight corvette</v>
      </c>
      <c r="E574" s="57">
        <f>IFERROR(__xludf.DUMMYFUNCTION("""COMPUTED_VALUE"""),0.0)</f>
        <v>0</v>
      </c>
      <c r="F574" s="58">
        <f>IFERROR(__xludf.DUMMYFUNCTION("""COMPUTED_VALUE"""),0.0)</f>
        <v>0</v>
      </c>
      <c r="G574" s="58"/>
      <c r="H574" s="59"/>
      <c r="I574" s="58">
        <f t="shared" si="23"/>
        <v>0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</row>
    <row r="575">
      <c r="A575" s="4"/>
      <c r="B575" s="2"/>
      <c r="C575" s="56" t="str">
        <f>IFERROR(__xludf.DUMMYFUNCTION("""COMPUTED_VALUE"""),"Keysight_Corvette_Gen6_Exerciser_T&amp;M_158")</f>
        <v>Keysight_Corvette_Gen6_Exerciser_T&amp;M_158</v>
      </c>
      <c r="D575" s="56" t="str">
        <f>IFERROR(__xludf.DUMMYFUNCTION("""COMPUTED_VALUE"""),"keysight corvette")</f>
        <v>keysight corvette</v>
      </c>
      <c r="E575" s="57">
        <f>IFERROR(__xludf.DUMMYFUNCTION("""COMPUTED_VALUE"""),0.0)</f>
        <v>0</v>
      </c>
      <c r="F575" s="58">
        <f>IFERROR(__xludf.DUMMYFUNCTION("""COMPUTED_VALUE"""),0.0)</f>
        <v>0</v>
      </c>
      <c r="G575" s="58"/>
      <c r="H575" s="59"/>
      <c r="I575" s="58">
        <f t="shared" si="23"/>
        <v>0</v>
      </c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</row>
    <row r="576">
      <c r="A576" s="4"/>
      <c r="B576" s="2"/>
      <c r="C576" s="56" t="str">
        <f>IFERROR(__xludf.DUMMYFUNCTION("""COMPUTED_VALUE"""),"Keysight_CXL_2.0_Analyzer_145")</f>
        <v>Keysight_CXL_2.0_Analyzer_145</v>
      </c>
      <c r="D576" s="56" t="str">
        <f>IFERROR(__xludf.DUMMYFUNCTION("""COMPUTED_VALUE"""),"keysight CXL")</f>
        <v>keysight CXL</v>
      </c>
      <c r="E576" s="57">
        <f>IFERROR(__xludf.DUMMYFUNCTION("""COMPUTED_VALUE"""),0.0)</f>
        <v>0</v>
      </c>
      <c r="F576" s="58">
        <f>IFERROR(__xludf.DUMMYFUNCTION("""COMPUTED_VALUE"""),0.0)</f>
        <v>0</v>
      </c>
      <c r="G576" s="58"/>
      <c r="H576" s="59"/>
      <c r="I576" s="58">
        <f t="shared" si="23"/>
        <v>0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</row>
    <row r="577">
      <c r="A577" s="4"/>
      <c r="B577" s="2"/>
      <c r="C577" s="56" t="str">
        <f>IFERROR(__xludf.DUMMYFUNCTION("""COMPUTED_VALUE"""),"Keysight_CXL_2.0_Exercsier_144")</f>
        <v>Keysight_CXL_2.0_Exercsier_144</v>
      </c>
      <c r="D577" s="56" t="str">
        <f>IFERROR(__xludf.DUMMYFUNCTION("""COMPUTED_VALUE"""),"keysight CXL")</f>
        <v>keysight CXL</v>
      </c>
      <c r="E577" s="57">
        <f>IFERROR(__xludf.DUMMYFUNCTION("""COMPUTED_VALUE"""),9.9175)</f>
        <v>9.9175</v>
      </c>
      <c r="F577" s="58">
        <f>IFERROR(__xludf.DUMMYFUNCTION("""COMPUTED_VALUE"""),14.330787500000001)</f>
        <v>14.3307875</v>
      </c>
      <c r="G577" s="58"/>
      <c r="H577" s="59"/>
      <c r="I577" s="58">
        <f t="shared" si="23"/>
        <v>-14.3307875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</row>
    <row r="578">
      <c r="A578" s="4"/>
      <c r="B578" s="2"/>
      <c r="C578" s="56" t="str">
        <f>IFERROR(__xludf.DUMMYFUNCTION("""COMPUTED_VALUE"""),"Keysight_CXL_3.0_Analyzer_147")</f>
        <v>Keysight_CXL_3.0_Analyzer_147</v>
      </c>
      <c r="D578" s="56" t="str">
        <f>IFERROR(__xludf.DUMMYFUNCTION("""COMPUTED_VALUE"""),"keysight CXL")</f>
        <v>keysight CXL</v>
      </c>
      <c r="E578" s="57">
        <f>IFERROR(__xludf.DUMMYFUNCTION("""COMPUTED_VALUE"""),0.0)</f>
        <v>0</v>
      </c>
      <c r="F578" s="58">
        <f>IFERROR(__xludf.DUMMYFUNCTION("""COMPUTED_VALUE"""),0.0)</f>
        <v>0</v>
      </c>
      <c r="G578" s="58"/>
      <c r="H578" s="59"/>
      <c r="I578" s="58">
        <f t="shared" si="23"/>
        <v>0</v>
      </c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</row>
    <row r="579">
      <c r="A579" s="4"/>
      <c r="B579" s="2"/>
      <c r="C579" s="56" t="str">
        <f>IFERROR(__xludf.DUMMYFUNCTION("""COMPUTED_VALUE"""),"Keysight_CXL_3.0_Exercsier_146")</f>
        <v>Keysight_CXL_3.0_Exercsier_146</v>
      </c>
      <c r="D579" s="56" t="str">
        <f>IFERROR(__xludf.DUMMYFUNCTION("""COMPUTED_VALUE"""),"keysight CXL")</f>
        <v>keysight CXL</v>
      </c>
      <c r="E579" s="57">
        <f>IFERROR(__xludf.DUMMYFUNCTION("""COMPUTED_VALUE"""),0.0)</f>
        <v>0</v>
      </c>
      <c r="F579" s="58">
        <f>IFERROR(__xludf.DUMMYFUNCTION("""COMPUTED_VALUE"""),0.0)</f>
        <v>0</v>
      </c>
      <c r="G579" s="58"/>
      <c r="H579" s="59"/>
      <c r="I579" s="58">
        <f t="shared" si="23"/>
        <v>0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</row>
    <row r="580">
      <c r="A580" s="4"/>
      <c r="B580" s="2"/>
      <c r="C580" s="56" t="str">
        <f>IFERROR(__xludf.DUMMYFUNCTION("""COMPUTED_VALUE"""),"Keysight_Ketch_NVMe_114")</f>
        <v>Keysight_Ketch_NVMe_114</v>
      </c>
      <c r="D580" s="56" t="str">
        <f>IFERROR(__xludf.DUMMYFUNCTION("""COMPUTED_VALUE"""),"keysight corvette")</f>
        <v>keysight corvette</v>
      </c>
      <c r="E580" s="57">
        <f>IFERROR(__xludf.DUMMYFUNCTION("""COMPUTED_VALUE"""),0.0)</f>
        <v>0</v>
      </c>
      <c r="F580" s="58">
        <f>IFERROR(__xludf.DUMMYFUNCTION("""COMPUTED_VALUE"""),0.0)</f>
        <v>0</v>
      </c>
      <c r="G580" s="58"/>
      <c r="H580" s="59"/>
      <c r="I580" s="58">
        <f t="shared" si="23"/>
        <v>0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</row>
    <row r="581">
      <c r="A581" s="4"/>
      <c r="B581" s="2"/>
      <c r="C581" s="56" t="str">
        <f>IFERROR(__xludf.DUMMYFUNCTION("""COMPUTED_VALUE"""),"Keysight_PCIe_Gen5_Cutter_PTC_155")</f>
        <v>Keysight_PCIe_Gen5_Cutter_PTC_155</v>
      </c>
      <c r="D581" s="56" t="str">
        <f>IFERROR(__xludf.DUMMYFUNCTION("""COMPUTED_VALUE"""),"Keysight PTC")</f>
        <v>Keysight PTC</v>
      </c>
      <c r="E581" s="57">
        <f>IFERROR(__xludf.DUMMYFUNCTION("""COMPUTED_VALUE"""),0.0)</f>
        <v>0</v>
      </c>
      <c r="F581" s="58">
        <f>IFERROR(__xludf.DUMMYFUNCTION("""COMPUTED_VALUE"""),0.0)</f>
        <v>0</v>
      </c>
      <c r="G581" s="58"/>
      <c r="H581" s="59"/>
      <c r="I581" s="58">
        <f t="shared" si="23"/>
        <v>0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</row>
    <row r="582">
      <c r="A582" s="4"/>
      <c r="B582" s="2"/>
      <c r="C582" s="56" t="str">
        <f>IFERROR(__xludf.DUMMYFUNCTION("""COMPUTED_VALUE"""),"Keysight_Vision_PCIe_Gen6_LTSSM_112")</f>
        <v>Keysight_Vision_PCIe_Gen6_LTSSM_112</v>
      </c>
      <c r="D582" s="56" t="str">
        <f>IFERROR(__xludf.DUMMYFUNCTION("""COMPUTED_VALUE"""),"keysight BERT")</f>
        <v>keysight BERT</v>
      </c>
      <c r="E582" s="57">
        <f>IFERROR(__xludf.DUMMYFUNCTION("""COMPUTED_VALUE"""),0.0)</f>
        <v>0</v>
      </c>
      <c r="F582" s="58">
        <f>IFERROR(__xludf.DUMMYFUNCTION("""COMPUTED_VALUE"""),0.0)</f>
        <v>0</v>
      </c>
      <c r="G582" s="58"/>
      <c r="H582" s="59"/>
      <c r="I582" s="58">
        <f t="shared" si="23"/>
        <v>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</row>
    <row r="583">
      <c r="A583" s="4"/>
      <c r="B583" s="2"/>
      <c r="C583" s="56" t="str">
        <f>IFERROR(__xludf.DUMMYFUNCTION("""COMPUTED_VALUE"""),"Keysight_Vision_PG_FPGA_Design_064")</f>
        <v>Keysight_Vision_PG_FPGA_Design_064</v>
      </c>
      <c r="D583" s="56" t="str">
        <f>IFERROR(__xludf.DUMMYFUNCTION("""COMPUTED_VALUE"""),"keysight BERT")</f>
        <v>keysight BERT</v>
      </c>
      <c r="E583" s="57">
        <f>IFERROR(__xludf.DUMMYFUNCTION("""COMPUTED_VALUE"""),0.0)</f>
        <v>0</v>
      </c>
      <c r="F583" s="58">
        <f>IFERROR(__xludf.DUMMYFUNCTION("""COMPUTED_VALUE"""),0.0)</f>
        <v>0</v>
      </c>
      <c r="G583" s="58"/>
      <c r="H583" s="59"/>
      <c r="I583" s="58">
        <f t="shared" si="23"/>
        <v>0</v>
      </c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</row>
    <row r="584">
      <c r="A584" s="4"/>
      <c r="B584" s="2"/>
      <c r="C584" s="56" t="str">
        <f>IFERROR(__xludf.DUMMYFUNCTION("""COMPUTED_VALUE"""),"LOKI_PCIe_Gen6_LTSSM_085")</f>
        <v>LOKI_PCIe_Gen6_LTSSM_085</v>
      </c>
      <c r="D584" s="56" t="str">
        <f>IFERROR(__xludf.DUMMYFUNCTION("""COMPUTED_VALUE"""),"keysight BERT")</f>
        <v>keysight BERT</v>
      </c>
      <c r="E584" s="57">
        <f>IFERROR(__xludf.DUMMYFUNCTION("""COMPUTED_VALUE"""),0.0)</f>
        <v>0</v>
      </c>
      <c r="F584" s="58">
        <f>IFERROR(__xludf.DUMMYFUNCTION("""COMPUTED_VALUE"""),0.0)</f>
        <v>0</v>
      </c>
      <c r="G584" s="58"/>
      <c r="H584" s="59"/>
      <c r="I584" s="58">
        <f t="shared" si="23"/>
        <v>0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</row>
    <row r="585">
      <c r="A585" s="4"/>
      <c r="B585" s="2"/>
      <c r="C585" s="56" t="str">
        <f>IFERROR(__xludf.DUMMYFUNCTION("""COMPUTED_VALUE"""),"Total")</f>
        <v>Total</v>
      </c>
      <c r="D585" s="56"/>
      <c r="E585" s="57">
        <f>IFERROR(__xludf.DUMMYFUNCTION("""COMPUTED_VALUE"""),18.046680000000002)</f>
        <v>18.04668</v>
      </c>
      <c r="F585" s="57">
        <f>IFERROR(__xludf.DUMMYFUNCTION("""COMPUTED_VALUE"""),26.0774526)</f>
        <v>26.0774526</v>
      </c>
      <c r="G585" s="57"/>
      <c r="H585" s="59"/>
      <c r="I585" s="66">
        <f>sum(I571:I584)</f>
        <v>-26.0774526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</row>
    <row r="586">
      <c r="A586" s="4"/>
      <c r="B586" s="2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</row>
    <row r="587">
      <c r="A587" s="4"/>
      <c r="B587" s="2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</row>
    <row r="588">
      <c r="A588" s="4"/>
      <c r="B588" s="2"/>
      <c r="C588" s="67" t="str">
        <f>IFERROR(__xludf.DUMMYFUNCTION("""COMPUTED_VALUE"""),"R&amp;D Project Management Team")</f>
        <v>R&amp;D Project Management Team</v>
      </c>
      <c r="D588" s="68"/>
      <c r="E588" s="68"/>
      <c r="F588" s="68"/>
      <c r="G588" s="68"/>
      <c r="H588" s="69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</row>
    <row r="589">
      <c r="A589" s="4"/>
      <c r="B589" s="2"/>
      <c r="C589" s="70" t="str">
        <f>IFERROR(__xludf.DUMMYFUNCTION("""COMPUTED_VALUE"""),"Project ")</f>
        <v>Project </v>
      </c>
      <c r="D589" s="71" t="str">
        <f>IFERROR(__xludf.DUMMYFUNCTION("""COMPUTED_VALUE"""),"customer")</f>
        <v>customer</v>
      </c>
      <c r="E589" s="71" t="str">
        <f>IFERROR(__xludf.DUMMYFUNCTION("""COMPUTED_VALUE"""),"Annual salary cost (in INR in L)")</f>
        <v>Annual salary cost (in INR in L)</v>
      </c>
      <c r="F589" s="71" t="str">
        <f>IFERROR(__xludf.DUMMYFUNCTION("""COMPUTED_VALUE"""),"annual salary cost with overhead (in L)")</f>
        <v>annual salary cost with overhead (in L)</v>
      </c>
      <c r="G589" s="72"/>
      <c r="H589" s="71"/>
      <c r="I589" s="72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</row>
    <row r="590">
      <c r="A590" s="4"/>
      <c r="B590" s="2"/>
      <c r="C590" s="63" t="str">
        <f>IFERROR(__xludf.DUMMYFUNCTION("""COMPUTED_VALUE"""),"Keysight_Corvette_Gen5_Analyzer_156")</f>
        <v>Keysight_Corvette_Gen5_Analyzer_156</v>
      </c>
      <c r="D590" s="73" t="str">
        <f>IFERROR(__xludf.DUMMYFUNCTION("""COMPUTED_VALUE"""),"keysight corvette")</f>
        <v>keysight corvette</v>
      </c>
      <c r="E590" s="66">
        <f>IFERROR(__xludf.DUMMYFUNCTION("""COMPUTED_VALUE"""),0.0)</f>
        <v>0</v>
      </c>
      <c r="F590" s="74">
        <f>IFERROR(__xludf.DUMMYFUNCTION("""COMPUTED_VALUE"""),0.0)</f>
        <v>0</v>
      </c>
      <c r="G590" s="74"/>
      <c r="H590" s="75"/>
      <c r="I590" s="58">
        <f t="shared" ref="I590:I603" si="24">G590-F590</f>
        <v>0</v>
      </c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</row>
    <row r="591">
      <c r="A591" s="4"/>
      <c r="B591" s="2"/>
      <c r="C591" s="63" t="str">
        <f>IFERROR(__xludf.DUMMYFUNCTION("""COMPUTED_VALUE"""),"Keysight_Corvette_Gen5_Exerciser_157")</f>
        <v>Keysight_Corvette_Gen5_Exerciser_157</v>
      </c>
      <c r="D591" s="73" t="str">
        <f>IFERROR(__xludf.DUMMYFUNCTION("""COMPUTED_VALUE"""),"keysight corvette")</f>
        <v>keysight corvette</v>
      </c>
      <c r="E591" s="66">
        <f>IFERROR(__xludf.DUMMYFUNCTION("""COMPUTED_VALUE"""),0.0)</f>
        <v>0</v>
      </c>
      <c r="F591" s="74">
        <f>IFERROR(__xludf.DUMMYFUNCTION("""COMPUTED_VALUE"""),0.0)</f>
        <v>0</v>
      </c>
      <c r="G591" s="74"/>
      <c r="H591" s="75"/>
      <c r="I591" s="58">
        <f t="shared" si="24"/>
        <v>0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</row>
    <row r="592">
      <c r="A592" s="4"/>
      <c r="B592" s="2"/>
      <c r="C592" s="63" t="str">
        <f>IFERROR(__xludf.DUMMYFUNCTION("""COMPUTED_VALUE"""),"Keysight_Corvette_Gen5_Porting_On_Gen6_HW_160")</f>
        <v>Keysight_Corvette_Gen5_Porting_On_Gen6_HW_160</v>
      </c>
      <c r="D592" s="73" t="str">
        <f>IFERROR(__xludf.DUMMYFUNCTION("""COMPUTED_VALUE"""),"keysight corvette")</f>
        <v>keysight corvette</v>
      </c>
      <c r="E592" s="66">
        <f>IFERROR(__xludf.DUMMYFUNCTION("""COMPUTED_VALUE"""),0.018637816666666664)</f>
        <v>0.01863781667</v>
      </c>
      <c r="F592" s="74">
        <f>IFERROR(__xludf.DUMMYFUNCTION("""COMPUTED_VALUE"""),0.02693164508333333)</f>
        <v>0.02693164508</v>
      </c>
      <c r="G592" s="74"/>
      <c r="H592" s="75"/>
      <c r="I592" s="58">
        <f t="shared" si="24"/>
        <v>-0.02693164508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</row>
    <row r="593">
      <c r="A593" s="4"/>
      <c r="B593" s="2"/>
      <c r="C593" s="63" t="str">
        <f>IFERROR(__xludf.DUMMYFUNCTION("""COMPUTED_VALUE"""),"Keysight_Corvette_Gen6_Analyzer_T&amp;M_159")</f>
        <v>Keysight_Corvette_Gen6_Analyzer_T&amp;M_159</v>
      </c>
      <c r="D593" s="73" t="str">
        <f>IFERROR(__xludf.DUMMYFUNCTION("""COMPUTED_VALUE"""),"keysight corvette")</f>
        <v>keysight corvette</v>
      </c>
      <c r="E593" s="66">
        <f>IFERROR(__xludf.DUMMYFUNCTION("""COMPUTED_VALUE"""),1.06235555)</f>
        <v>1.06235555</v>
      </c>
      <c r="F593" s="74">
        <f>IFERROR(__xludf.DUMMYFUNCTION("""COMPUTED_VALUE"""),1.53510376975)</f>
        <v>1.53510377</v>
      </c>
      <c r="G593" s="74"/>
      <c r="H593" s="75"/>
      <c r="I593" s="58">
        <f t="shared" si="24"/>
        <v>-1.53510377</v>
      </c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</row>
    <row r="594">
      <c r="A594" s="4"/>
      <c r="B594" s="2"/>
      <c r="C594" s="63" t="str">
        <f>IFERROR(__xludf.DUMMYFUNCTION("""COMPUTED_VALUE"""),"Keysight_Corvette_Gen6_Exerciser_T&amp;M_158")</f>
        <v>Keysight_Corvette_Gen6_Exerciser_T&amp;M_158</v>
      </c>
      <c r="D594" s="73" t="str">
        <f>IFERROR(__xludf.DUMMYFUNCTION("""COMPUTED_VALUE"""),"keysight corvette")</f>
        <v>keysight corvette</v>
      </c>
      <c r="E594" s="66">
        <f>IFERROR(__xludf.DUMMYFUNCTION("""COMPUTED_VALUE"""),6.751506133333333)</f>
        <v>6.751506133</v>
      </c>
      <c r="F594" s="74">
        <f>IFERROR(__xludf.DUMMYFUNCTION("""COMPUTED_VALUE"""),9.755926362666667)</f>
        <v>9.755926363</v>
      </c>
      <c r="G594" s="74"/>
      <c r="H594" s="75"/>
      <c r="I594" s="58">
        <f t="shared" si="24"/>
        <v>-9.755926363</v>
      </c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</row>
    <row r="595">
      <c r="A595" s="4"/>
      <c r="B595" s="2"/>
      <c r="C595" s="63" t="str">
        <f>IFERROR(__xludf.DUMMYFUNCTION("""COMPUTED_VALUE"""),"Keysight_CXL_2.0_Analyzer_145")</f>
        <v>Keysight_CXL_2.0_Analyzer_145</v>
      </c>
      <c r="D595" s="73" t="str">
        <f>IFERROR(__xludf.DUMMYFUNCTION("""COMPUTED_VALUE"""),"keysight CXL")</f>
        <v>keysight CXL</v>
      </c>
      <c r="E595" s="66">
        <f>IFERROR(__xludf.DUMMYFUNCTION("""COMPUTED_VALUE"""),3.2616179166666663)</f>
        <v>3.261617917</v>
      </c>
      <c r="F595" s="74">
        <f>IFERROR(__xludf.DUMMYFUNCTION("""COMPUTED_VALUE"""),4.713037889583333)</f>
        <v>4.71303789</v>
      </c>
      <c r="G595" s="74"/>
      <c r="H595" s="75"/>
      <c r="I595" s="58">
        <f t="shared" si="24"/>
        <v>-4.71303789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</row>
    <row r="596">
      <c r="A596" s="4"/>
      <c r="B596" s="2"/>
      <c r="C596" s="63" t="str">
        <f>IFERROR(__xludf.DUMMYFUNCTION("""COMPUTED_VALUE"""),"Keysight_CXL_2.0_Exercsier_144")</f>
        <v>Keysight_CXL_2.0_Exercsier_144</v>
      </c>
      <c r="D596" s="73" t="str">
        <f>IFERROR(__xludf.DUMMYFUNCTION("""COMPUTED_VALUE"""),"keysight CXL")</f>
        <v>keysight CXL</v>
      </c>
      <c r="E596" s="66">
        <f>IFERROR(__xludf.DUMMYFUNCTION("""COMPUTED_VALUE"""),3.2616179166666663)</f>
        <v>3.261617917</v>
      </c>
      <c r="F596" s="74">
        <f>IFERROR(__xludf.DUMMYFUNCTION("""COMPUTED_VALUE"""),4.713037889583333)</f>
        <v>4.71303789</v>
      </c>
      <c r="G596" s="74"/>
      <c r="H596" s="75"/>
      <c r="I596" s="58">
        <f t="shared" si="24"/>
        <v>-4.71303789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</row>
    <row r="597">
      <c r="A597" s="4"/>
      <c r="B597" s="2"/>
      <c r="C597" s="63" t="str">
        <f>IFERROR(__xludf.DUMMYFUNCTION("""COMPUTED_VALUE"""),"Keysight_CXL_3.0_Analyzer_147")</f>
        <v>Keysight_CXL_3.0_Analyzer_147</v>
      </c>
      <c r="D597" s="73" t="str">
        <f>IFERROR(__xludf.DUMMYFUNCTION("""COMPUTED_VALUE"""),"keysight CXL")</f>
        <v>keysight CXL</v>
      </c>
      <c r="E597" s="66">
        <f>IFERROR(__xludf.DUMMYFUNCTION("""COMPUTED_VALUE"""),18.555399416666667)</f>
        <v>18.55539942</v>
      </c>
      <c r="F597" s="74">
        <f>IFERROR(__xludf.DUMMYFUNCTION("""COMPUTED_VALUE"""),26.812552157083335)</f>
        <v>26.81255216</v>
      </c>
      <c r="G597" s="74"/>
      <c r="H597" s="75"/>
      <c r="I597" s="58">
        <f t="shared" si="24"/>
        <v>-26.81255216</v>
      </c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</row>
    <row r="598">
      <c r="A598" s="4"/>
      <c r="B598" s="2"/>
      <c r="C598" s="63" t="str">
        <f>IFERROR(__xludf.DUMMYFUNCTION("""COMPUTED_VALUE"""),"Keysight_CXL_3.0_Exercsier_146")</f>
        <v>Keysight_CXL_3.0_Exercsier_146</v>
      </c>
      <c r="D598" s="73" t="str">
        <f>IFERROR(__xludf.DUMMYFUNCTION("""COMPUTED_VALUE"""),"keysight CXL")</f>
        <v>keysight CXL</v>
      </c>
      <c r="E598" s="66">
        <f>IFERROR(__xludf.DUMMYFUNCTION("""COMPUTED_VALUE"""),1.3046471666666666)</f>
        <v>1.304647167</v>
      </c>
      <c r="F598" s="74">
        <f>IFERROR(__xludf.DUMMYFUNCTION("""COMPUTED_VALUE"""),1.8852151558333332)</f>
        <v>1.885215156</v>
      </c>
      <c r="G598" s="74"/>
      <c r="H598" s="75"/>
      <c r="I598" s="58">
        <f t="shared" si="24"/>
        <v>-1.885215156</v>
      </c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</row>
    <row r="599">
      <c r="A599" s="4"/>
      <c r="B599" s="2"/>
      <c r="C599" s="63" t="str">
        <f>IFERROR(__xludf.DUMMYFUNCTION("""COMPUTED_VALUE"""),"Keysight_Ketch_NVMe_114")</f>
        <v>Keysight_Ketch_NVMe_114</v>
      </c>
      <c r="D599" s="73" t="str">
        <f>IFERROR(__xludf.DUMMYFUNCTION("""COMPUTED_VALUE"""),"keysight corvette")</f>
        <v>keysight corvette</v>
      </c>
      <c r="E599" s="66">
        <f>IFERROR(__xludf.DUMMYFUNCTION("""COMPUTED_VALUE"""),0.0)</f>
        <v>0</v>
      </c>
      <c r="F599" s="74">
        <f>IFERROR(__xludf.DUMMYFUNCTION("""COMPUTED_VALUE"""),0.0)</f>
        <v>0</v>
      </c>
      <c r="G599" s="74"/>
      <c r="H599" s="75"/>
      <c r="I599" s="58">
        <f t="shared" si="24"/>
        <v>0</v>
      </c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</row>
    <row r="600">
      <c r="A600" s="4"/>
      <c r="B600" s="2"/>
      <c r="C600" s="63" t="str">
        <f>IFERROR(__xludf.DUMMYFUNCTION("""COMPUTED_VALUE"""),"Keysight_PCIe_Gen5_Cutter_PTC_155")</f>
        <v>Keysight_PCIe_Gen5_Cutter_PTC_155</v>
      </c>
      <c r="D600" s="73" t="str">
        <f>IFERROR(__xludf.DUMMYFUNCTION("""COMPUTED_VALUE"""),"Keysight PTC")</f>
        <v>Keysight PTC</v>
      </c>
      <c r="E600" s="66">
        <f>IFERROR(__xludf.DUMMYFUNCTION("""COMPUTED_VALUE"""),3.0752397499999997)</f>
        <v>3.07523975</v>
      </c>
      <c r="F600" s="74">
        <f>IFERROR(__xludf.DUMMYFUNCTION("""COMPUTED_VALUE"""),4.44372143875)</f>
        <v>4.443721439</v>
      </c>
      <c r="G600" s="74"/>
      <c r="H600" s="75"/>
      <c r="I600" s="58">
        <f t="shared" si="24"/>
        <v>-4.443721439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</row>
    <row r="601">
      <c r="A601" s="4"/>
      <c r="B601" s="2"/>
      <c r="C601" s="63" t="str">
        <f>IFERROR(__xludf.DUMMYFUNCTION("""COMPUTED_VALUE"""),"Keysight_Vision_PCIe_Gen6_LTSSM_112")</f>
        <v>Keysight_Vision_PCIe_Gen6_LTSSM_112</v>
      </c>
      <c r="D601" s="73" t="str">
        <f>IFERROR(__xludf.DUMMYFUNCTION("""COMPUTED_VALUE"""),"keysight BERT")</f>
        <v>keysight BERT</v>
      </c>
      <c r="E601" s="66">
        <f>IFERROR(__xludf.DUMMYFUNCTION("""COMPUTED_VALUE"""),0.0)</f>
        <v>0</v>
      </c>
      <c r="F601" s="74">
        <f>IFERROR(__xludf.DUMMYFUNCTION("""COMPUTED_VALUE"""),0.0)</f>
        <v>0</v>
      </c>
      <c r="G601" s="74"/>
      <c r="H601" s="75"/>
      <c r="I601" s="58">
        <f t="shared" si="24"/>
        <v>0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</row>
    <row r="602">
      <c r="A602" s="4"/>
      <c r="B602" s="2"/>
      <c r="C602" s="63" t="str">
        <f>IFERROR(__xludf.DUMMYFUNCTION("""COMPUTED_VALUE"""),"Keysight_Vision_PG_FPGA_Design_064")</f>
        <v>Keysight_Vision_PG_FPGA_Design_064</v>
      </c>
      <c r="D602" s="73" t="str">
        <f>IFERROR(__xludf.DUMMYFUNCTION("""COMPUTED_VALUE"""),"keysight BERT")</f>
        <v>keysight BERT</v>
      </c>
      <c r="E602" s="66">
        <f>IFERROR(__xludf.DUMMYFUNCTION("""COMPUTED_VALUE"""),0.0)</f>
        <v>0</v>
      </c>
      <c r="F602" s="74">
        <f>IFERROR(__xludf.DUMMYFUNCTION("""COMPUTED_VALUE"""),0.0)</f>
        <v>0</v>
      </c>
      <c r="G602" s="74"/>
      <c r="H602" s="75"/>
      <c r="I602" s="58">
        <f t="shared" si="24"/>
        <v>0</v>
      </c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</row>
    <row r="603">
      <c r="A603" s="4"/>
      <c r="B603" s="2"/>
      <c r="C603" s="63" t="str">
        <f>IFERROR(__xludf.DUMMYFUNCTION("""COMPUTED_VALUE"""),"LOKI_PCIe_Gen6_LTSSM_085")</f>
        <v>LOKI_PCIe_Gen6_LTSSM_085</v>
      </c>
      <c r="D603" s="73" t="str">
        <f>IFERROR(__xludf.DUMMYFUNCTION("""COMPUTED_VALUE"""),"keysight BERT")</f>
        <v>keysight BERT</v>
      </c>
      <c r="E603" s="66">
        <f>IFERROR(__xludf.DUMMYFUNCTION("""COMPUTED_VALUE"""),0.0)</f>
        <v>0</v>
      </c>
      <c r="F603" s="74">
        <f>IFERROR(__xludf.DUMMYFUNCTION("""COMPUTED_VALUE"""),0.0)</f>
        <v>0</v>
      </c>
      <c r="G603" s="74"/>
      <c r="H603" s="75"/>
      <c r="I603" s="58">
        <f t="shared" si="24"/>
        <v>0</v>
      </c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</row>
    <row r="604">
      <c r="A604" s="4"/>
      <c r="B604" s="2"/>
      <c r="C604" s="63" t="str">
        <f>IFERROR(__xludf.DUMMYFUNCTION("""COMPUTED_VALUE"""),"Total")</f>
        <v>Total</v>
      </c>
      <c r="D604" s="73"/>
      <c r="E604" s="66">
        <f>IFERROR(__xludf.DUMMYFUNCTION("""COMPUTED_VALUE"""),37.29102166666667)</f>
        <v>37.29102167</v>
      </c>
      <c r="F604" s="66">
        <f>IFERROR(__xludf.DUMMYFUNCTION("""COMPUTED_VALUE"""),53.88552630833334)</f>
        <v>53.88552631</v>
      </c>
      <c r="G604" s="66"/>
      <c r="H604" s="75"/>
      <c r="I604" s="66">
        <f>sum(I590:I603)</f>
        <v>-53.88552631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</row>
    <row r="605">
      <c r="A605" s="4"/>
      <c r="B605" s="2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</row>
    <row r="606">
      <c r="A606" s="4"/>
      <c r="B606" s="2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</row>
    <row r="607">
      <c r="A607" s="4"/>
      <c r="B607" s="2"/>
      <c r="C607" s="67" t="str">
        <f>IFERROR(__xludf.DUMMYFUNCTION("""COMPUTED_VALUE"""),"Overall R&amp;D Team")</f>
        <v>Overall R&amp;D Team</v>
      </c>
      <c r="D607" s="68"/>
      <c r="E607" s="68"/>
      <c r="F607" s="68"/>
      <c r="G607" s="68"/>
      <c r="H607" s="69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</row>
    <row r="608">
      <c r="A608" s="4"/>
      <c r="B608" s="2"/>
      <c r="C608" s="70" t="str">
        <f>IFERROR(__xludf.DUMMYFUNCTION("""COMPUTED_VALUE"""),"Project ")</f>
        <v>Project </v>
      </c>
      <c r="D608" s="71" t="str">
        <f>IFERROR(__xludf.DUMMYFUNCTION("""COMPUTED_VALUE"""),"customer")</f>
        <v>customer</v>
      </c>
      <c r="E608" s="71" t="str">
        <f>IFERROR(__xludf.DUMMYFUNCTION("""COMPUTED_VALUE"""),"Annual salary cost (in INR in L)")</f>
        <v>Annual salary cost (in INR in L)</v>
      </c>
      <c r="F608" s="71" t="str">
        <f>IFERROR(__xludf.DUMMYFUNCTION("""COMPUTED_VALUE"""),"annual salary cost with overhead (in L)")</f>
        <v>annual salary cost with overhead (in L)</v>
      </c>
      <c r="G608" s="72" t="s">
        <v>306</v>
      </c>
      <c r="H608" s="71"/>
      <c r="I608" s="72" t="s">
        <v>390</v>
      </c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</row>
    <row r="609">
      <c r="A609" s="4"/>
      <c r="B609" s="2"/>
      <c r="C609" s="63" t="str">
        <f>IFERROR(__xludf.DUMMYFUNCTION("""COMPUTED_VALUE"""),"Keysight_Corvette_Gen5_Analyzer_156")</f>
        <v>Keysight_Corvette_Gen5_Analyzer_156</v>
      </c>
      <c r="D609" s="73" t="str">
        <f>IFERROR(__xludf.DUMMYFUNCTION("""COMPUTED_VALUE"""),"keysight corvette")</f>
        <v>keysight corvette</v>
      </c>
      <c r="E609" s="66">
        <f>IFERROR(__xludf.DUMMYFUNCTION("""COMPUTED_VALUE"""),68.37164595833333)</f>
        <v>68.37164596</v>
      </c>
      <c r="F609" s="74">
        <f>IFERROR(__xludf.DUMMYFUNCTION("""COMPUTED_VALUE"""),98.79702840979166)</f>
        <v>98.79702841</v>
      </c>
      <c r="G609" s="74">
        <f t="shared" ref="G609:G622" si="25">G476+G495+G514</f>
        <v>137.392555</v>
      </c>
      <c r="H609" s="75"/>
      <c r="I609" s="74">
        <f t="shared" ref="I609:I622" si="26">G609-F609</f>
        <v>38.59552659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</row>
    <row r="610">
      <c r="A610" s="4"/>
      <c r="B610" s="2"/>
      <c r="C610" s="63" t="str">
        <f>IFERROR(__xludf.DUMMYFUNCTION("""COMPUTED_VALUE"""),"Keysight_Corvette_Gen5_Exerciser_157")</f>
        <v>Keysight_Corvette_Gen5_Exerciser_157</v>
      </c>
      <c r="D610" s="73" t="str">
        <f>IFERROR(__xludf.DUMMYFUNCTION("""COMPUTED_VALUE"""),"keysight corvette")</f>
        <v>keysight corvette</v>
      </c>
      <c r="E610" s="66">
        <f>IFERROR(__xludf.DUMMYFUNCTION("""COMPUTED_VALUE"""),20.689229750000003)</f>
        <v>20.68922975</v>
      </c>
      <c r="F610" s="74">
        <f>IFERROR(__xludf.DUMMYFUNCTION("""COMPUTED_VALUE"""),29.895936988750005)</f>
        <v>29.89593699</v>
      </c>
      <c r="G610" s="74">
        <f t="shared" si="25"/>
        <v>0</v>
      </c>
      <c r="H610" s="75"/>
      <c r="I610" s="74">
        <f t="shared" si="26"/>
        <v>-29.89593699</v>
      </c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</row>
    <row r="611">
      <c r="A611" s="4"/>
      <c r="B611" s="2"/>
      <c r="C611" s="63" t="str">
        <f>IFERROR(__xludf.DUMMYFUNCTION("""COMPUTED_VALUE"""),"Keysight_Corvette_Gen5_Porting_On_Gen6_HW_160")</f>
        <v>Keysight_Corvette_Gen5_Porting_On_Gen6_HW_160</v>
      </c>
      <c r="D611" s="73" t="str">
        <f>IFERROR(__xludf.DUMMYFUNCTION("""COMPUTED_VALUE"""),"keysight corvette")</f>
        <v>keysight corvette</v>
      </c>
      <c r="E611" s="66">
        <f>IFERROR(__xludf.DUMMYFUNCTION("""COMPUTED_VALUE"""),18.41388548333333)</f>
        <v>18.41388548</v>
      </c>
      <c r="F611" s="74">
        <f>IFERROR(__xludf.DUMMYFUNCTION("""COMPUTED_VALUE"""),26.60806452341667)</f>
        <v>26.60806452</v>
      </c>
      <c r="G611" s="74">
        <f t="shared" si="25"/>
        <v>198.825</v>
      </c>
      <c r="H611" s="75"/>
      <c r="I611" s="74">
        <f t="shared" si="26"/>
        <v>172.2169355</v>
      </c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</row>
    <row r="612">
      <c r="A612" s="4"/>
      <c r="B612" s="2"/>
      <c r="C612" s="63" t="str">
        <f>IFERROR(__xludf.DUMMYFUNCTION("""COMPUTED_VALUE"""),"Keysight_Corvette_Gen6_Analyzer_T&amp;M_159")</f>
        <v>Keysight_Corvette_Gen6_Analyzer_T&amp;M_159</v>
      </c>
      <c r="D612" s="73" t="str">
        <f>IFERROR(__xludf.DUMMYFUNCTION("""COMPUTED_VALUE"""),"keysight corvette")</f>
        <v>keysight corvette</v>
      </c>
      <c r="E612" s="66">
        <f>IFERROR(__xludf.DUMMYFUNCTION("""COMPUTED_VALUE"""),228.83006109166666)</f>
        <v>228.8300611</v>
      </c>
      <c r="F612" s="74">
        <f>IFERROR(__xludf.DUMMYFUNCTION("""COMPUTED_VALUE"""),330.6594382774583)</f>
        <v>330.6594383</v>
      </c>
      <c r="G612" s="74">
        <f t="shared" si="25"/>
        <v>0</v>
      </c>
      <c r="H612" s="75"/>
      <c r="I612" s="74">
        <f t="shared" si="26"/>
        <v>-330.6594383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</row>
    <row r="613">
      <c r="A613" s="4"/>
      <c r="B613" s="2"/>
      <c r="C613" s="63" t="str">
        <f>IFERROR(__xludf.DUMMYFUNCTION("""COMPUTED_VALUE"""),"Keysight_Corvette_Gen6_Exerciser_T&amp;M_158")</f>
        <v>Keysight_Corvette_Gen6_Exerciser_T&amp;M_158</v>
      </c>
      <c r="D613" s="73" t="str">
        <f>IFERROR(__xludf.DUMMYFUNCTION("""COMPUTED_VALUE"""),"keysight corvette")</f>
        <v>keysight corvette</v>
      </c>
      <c r="E613" s="66">
        <f>IFERROR(__xludf.DUMMYFUNCTION("""COMPUTED_VALUE"""),569.1907676000001)</f>
        <v>569.1907676</v>
      </c>
      <c r="F613" s="74">
        <f>IFERROR(__xludf.DUMMYFUNCTION("""COMPUTED_VALUE"""),822.4806591820001)</f>
        <v>822.4806592</v>
      </c>
      <c r="G613" s="74">
        <f t="shared" si="25"/>
        <v>1565.17075</v>
      </c>
      <c r="H613" s="75"/>
      <c r="I613" s="74">
        <f t="shared" si="26"/>
        <v>742.6900908</v>
      </c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</row>
    <row r="614">
      <c r="A614" s="4"/>
      <c r="B614" s="2"/>
      <c r="C614" s="63" t="str">
        <f>IFERROR(__xludf.DUMMYFUNCTION("""COMPUTED_VALUE"""),"Keysight_CXL_2.0_Analyzer_145")</f>
        <v>Keysight_CXL_2.0_Analyzer_145</v>
      </c>
      <c r="D614" s="73" t="str">
        <f>IFERROR(__xludf.DUMMYFUNCTION("""COMPUTED_VALUE"""),"keysight CXL")</f>
        <v>keysight CXL</v>
      </c>
      <c r="E614" s="66">
        <f>IFERROR(__xludf.DUMMYFUNCTION("""COMPUTED_VALUE"""),76.35343608333332)</f>
        <v>76.35343608</v>
      </c>
      <c r="F614" s="74">
        <f>IFERROR(__xludf.DUMMYFUNCTION("""COMPUTED_VALUE"""),110.33071514041667)</f>
        <v>110.3307151</v>
      </c>
      <c r="G614" s="74">
        <f t="shared" si="25"/>
        <v>14.025</v>
      </c>
      <c r="H614" s="75"/>
      <c r="I614" s="74">
        <f t="shared" si="26"/>
        <v>-96.30571514</v>
      </c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</row>
    <row r="615">
      <c r="A615" s="4"/>
      <c r="B615" s="2"/>
      <c r="C615" s="63" t="str">
        <f>IFERROR(__xludf.DUMMYFUNCTION("""COMPUTED_VALUE"""),"Keysight_CXL_2.0_Exercsier_144")</f>
        <v>Keysight_CXL_2.0_Exercsier_144</v>
      </c>
      <c r="D615" s="73" t="str">
        <f>IFERROR(__xludf.DUMMYFUNCTION("""COMPUTED_VALUE"""),"keysight CXL")</f>
        <v>keysight CXL</v>
      </c>
      <c r="E615" s="66">
        <f>IFERROR(__xludf.DUMMYFUNCTION("""COMPUTED_VALUE"""),158.1981253333333)</f>
        <v>158.1981253</v>
      </c>
      <c r="F615" s="74">
        <f>IFERROR(__xludf.DUMMYFUNCTION("""COMPUTED_VALUE"""),228.59629110666663)</f>
        <v>228.5962911</v>
      </c>
      <c r="G615" s="74">
        <f t="shared" si="25"/>
        <v>118.5132</v>
      </c>
      <c r="H615" s="75"/>
      <c r="I615" s="74">
        <f t="shared" si="26"/>
        <v>-110.0830911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</row>
    <row r="616">
      <c r="A616" s="4"/>
      <c r="B616" s="2"/>
      <c r="C616" s="63" t="str">
        <f>IFERROR(__xludf.DUMMYFUNCTION("""COMPUTED_VALUE"""),"Keysight_CXL_3.0_Analyzer_147")</f>
        <v>Keysight_CXL_3.0_Analyzer_147</v>
      </c>
      <c r="D616" s="73" t="str">
        <f>IFERROR(__xludf.DUMMYFUNCTION("""COMPUTED_VALUE"""),"keysight CXL")</f>
        <v>keysight CXL</v>
      </c>
      <c r="E616" s="66">
        <f>IFERROR(__xludf.DUMMYFUNCTION("""COMPUTED_VALUE"""),276.75635116666666)</f>
        <v>276.7563512</v>
      </c>
      <c r="F616" s="74">
        <f>IFERROR(__xludf.DUMMYFUNCTION("""COMPUTED_VALUE"""),399.91292743583335)</f>
        <v>399.9129274</v>
      </c>
      <c r="G616" s="74">
        <f t="shared" si="25"/>
        <v>204.93</v>
      </c>
      <c r="H616" s="75"/>
      <c r="I616" s="74">
        <f t="shared" si="26"/>
        <v>-194.9829274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</row>
    <row r="617">
      <c r="A617" s="4"/>
      <c r="B617" s="2"/>
      <c r="C617" s="63" t="str">
        <f>IFERROR(__xludf.DUMMYFUNCTION("""COMPUTED_VALUE"""),"Keysight_CXL_3.0_Exercsier_146")</f>
        <v>Keysight_CXL_3.0_Exercsier_146</v>
      </c>
      <c r="D617" s="73" t="str">
        <f>IFERROR(__xludf.DUMMYFUNCTION("""COMPUTED_VALUE"""),"keysight CXL")</f>
        <v>keysight CXL</v>
      </c>
      <c r="E617" s="66">
        <f>IFERROR(__xludf.DUMMYFUNCTION("""COMPUTED_VALUE"""),53.63081025000001)</f>
        <v>53.63081025</v>
      </c>
      <c r="F617" s="74">
        <f>IFERROR(__xludf.DUMMYFUNCTION("""COMPUTED_VALUE"""),77.49652081125001)</f>
        <v>77.49652081</v>
      </c>
      <c r="G617" s="74">
        <f t="shared" si="25"/>
        <v>496.65</v>
      </c>
      <c r="H617" s="75"/>
      <c r="I617" s="74">
        <f t="shared" si="26"/>
        <v>419.1534792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</row>
    <row r="618">
      <c r="A618" s="4"/>
      <c r="B618" s="2"/>
      <c r="C618" s="63" t="str">
        <f>IFERROR(__xludf.DUMMYFUNCTION("""COMPUTED_VALUE"""),"Keysight_Ketch_NVMe_114")</f>
        <v>Keysight_Ketch_NVMe_114</v>
      </c>
      <c r="D618" s="73" t="str">
        <f>IFERROR(__xludf.DUMMYFUNCTION("""COMPUTED_VALUE"""),"keysight corvette")</f>
        <v>keysight corvette</v>
      </c>
      <c r="E618" s="66">
        <f>IFERROR(__xludf.DUMMYFUNCTION("""COMPUTED_VALUE"""),0.0)</f>
        <v>0</v>
      </c>
      <c r="F618" s="74">
        <f>IFERROR(__xludf.DUMMYFUNCTION("""COMPUTED_VALUE"""),0.0)</f>
        <v>0</v>
      </c>
      <c r="G618" s="74">
        <f t="shared" si="25"/>
        <v>0</v>
      </c>
      <c r="H618" s="75"/>
      <c r="I618" s="74">
        <f t="shared" si="26"/>
        <v>0</v>
      </c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</row>
    <row r="619">
      <c r="A619" s="4"/>
      <c r="B619" s="2"/>
      <c r="C619" s="63" t="str">
        <f>IFERROR(__xludf.DUMMYFUNCTION("""COMPUTED_VALUE"""),"Keysight_PCIe_Gen5_Cutter_PTC_155")</f>
        <v>Keysight_PCIe_Gen5_Cutter_PTC_155</v>
      </c>
      <c r="D619" s="73" t="str">
        <f>IFERROR(__xludf.DUMMYFUNCTION("""COMPUTED_VALUE"""),"Keysight PTC")</f>
        <v>Keysight PTC</v>
      </c>
      <c r="E619" s="66">
        <f>IFERROR(__xludf.DUMMYFUNCTION("""COMPUTED_VALUE"""),52.761482666666666)</f>
        <v>52.76148267</v>
      </c>
      <c r="F619" s="74">
        <f>IFERROR(__xludf.DUMMYFUNCTION("""COMPUTED_VALUE"""),76.24034245333334)</f>
        <v>76.24034245</v>
      </c>
      <c r="G619" s="74">
        <f t="shared" si="25"/>
        <v>207.9</v>
      </c>
      <c r="H619" s="75"/>
      <c r="I619" s="74">
        <f t="shared" si="26"/>
        <v>131.6596575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</row>
    <row r="620">
      <c r="A620" s="4"/>
      <c r="B620" s="2"/>
      <c r="C620" s="63" t="str">
        <f>IFERROR(__xludf.DUMMYFUNCTION("""COMPUTED_VALUE"""),"Keysight_Vision_PCIe_Gen6_LTSSM_112")</f>
        <v>Keysight_Vision_PCIe_Gen6_LTSSM_112</v>
      </c>
      <c r="D620" s="73" t="str">
        <f>IFERROR(__xludf.DUMMYFUNCTION("""COMPUTED_VALUE"""),"keysight BERT")</f>
        <v>keysight BERT</v>
      </c>
      <c r="E620" s="66">
        <f>IFERROR(__xludf.DUMMYFUNCTION("""COMPUTED_VALUE"""),69.49605158333333)</f>
        <v>69.49605158</v>
      </c>
      <c r="F620" s="74">
        <f>IFERROR(__xludf.DUMMYFUNCTION("""COMPUTED_VALUE"""),100.42179453791667)</f>
        <v>100.4217945</v>
      </c>
      <c r="G620" s="74">
        <f t="shared" si="25"/>
        <v>0</v>
      </c>
      <c r="H620" s="75"/>
      <c r="I620" s="74">
        <f t="shared" si="26"/>
        <v>-100.4217945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</row>
    <row r="621">
      <c r="A621" s="4"/>
      <c r="B621" s="2"/>
      <c r="C621" s="63" t="str">
        <f>IFERROR(__xludf.DUMMYFUNCTION("""COMPUTED_VALUE"""),"Keysight_Vision_PG_FPGA_Design_064")</f>
        <v>Keysight_Vision_PG_FPGA_Design_064</v>
      </c>
      <c r="D621" s="73" t="str">
        <f>IFERROR(__xludf.DUMMYFUNCTION("""COMPUTED_VALUE"""),"keysight BERT")</f>
        <v>keysight BERT</v>
      </c>
      <c r="E621" s="66">
        <f>IFERROR(__xludf.DUMMYFUNCTION("""COMPUTED_VALUE"""),0.0)</f>
        <v>0</v>
      </c>
      <c r="F621" s="74">
        <f>IFERROR(__xludf.DUMMYFUNCTION("""COMPUTED_VALUE"""),0.0)</f>
        <v>0</v>
      </c>
      <c r="G621" s="74">
        <f t="shared" si="25"/>
        <v>0</v>
      </c>
      <c r="H621" s="75"/>
      <c r="I621" s="74">
        <f t="shared" si="26"/>
        <v>0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</row>
    <row r="622">
      <c r="A622" s="4"/>
      <c r="B622" s="2"/>
      <c r="C622" s="63" t="str">
        <f>IFERROR(__xludf.DUMMYFUNCTION("""COMPUTED_VALUE"""),"LOKI_PCIe_Gen6_LTSSM_085")</f>
        <v>LOKI_PCIe_Gen6_LTSSM_085</v>
      </c>
      <c r="D622" s="73" t="str">
        <f>IFERROR(__xludf.DUMMYFUNCTION("""COMPUTED_VALUE"""),"keysight BERT")</f>
        <v>keysight BERT</v>
      </c>
      <c r="E622" s="66">
        <f>IFERROR(__xludf.DUMMYFUNCTION("""COMPUTED_VALUE"""),50.04723608333334)</f>
        <v>50.04723608</v>
      </c>
      <c r="F622" s="74">
        <f>IFERROR(__xludf.DUMMYFUNCTION("""COMPUTED_VALUE"""),72.31825614041668)</f>
        <v>72.31825614</v>
      </c>
      <c r="G622" s="74">
        <f t="shared" si="25"/>
        <v>284.369125</v>
      </c>
      <c r="H622" s="75"/>
      <c r="I622" s="74">
        <f t="shared" si="26"/>
        <v>212.0508689</v>
      </c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</row>
    <row r="623">
      <c r="A623" s="4"/>
      <c r="B623" s="2"/>
      <c r="C623" s="63" t="str">
        <f>IFERROR(__xludf.DUMMYFUNCTION("""COMPUTED_VALUE"""),"Total")</f>
        <v>Total</v>
      </c>
      <c r="D623" s="73"/>
      <c r="E623" s="66">
        <f>IFERROR(__xludf.DUMMYFUNCTION("""COMPUTED_VALUE"""),1642.73908305)</f>
        <v>1642.739083</v>
      </c>
      <c r="F623" s="66">
        <f>IFERROR(__xludf.DUMMYFUNCTION("""COMPUTED_VALUE"""),2373.75797500725)</f>
        <v>2373.757975</v>
      </c>
      <c r="G623" s="66">
        <f>sum(G609:G622)</f>
        <v>3227.77563</v>
      </c>
      <c r="H623" s="75"/>
      <c r="I623" s="66">
        <f>sum(I609:I622)</f>
        <v>854.017655</v>
      </c>
      <c r="J623" s="4"/>
      <c r="K623" s="4"/>
      <c r="L623" s="4"/>
      <c r="M623" s="4"/>
      <c r="N623" s="1" t="s">
        <v>391</v>
      </c>
      <c r="O623" s="61">
        <f>E623/G623</f>
        <v>0.5089384367</v>
      </c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</row>
    <row r="624">
      <c r="A624" s="4"/>
      <c r="B624" s="2"/>
      <c r="C624" s="4" t="str">
        <f>IFERROR(__xludf.DUMMYFUNCTION("""COMPUTED_VALUE"""),"Overall R&amp;D Service Delivery Cost =")</f>
        <v>Overall R&amp;D Service Delivery Cost =</v>
      </c>
      <c r="D624" s="51">
        <f>IFERROR(__xludf.DUMMYFUNCTION("""COMPUTED_VALUE"""),0.5089384366688461)</f>
        <v>0.5089384367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51">
        <f>E623/(sum(D465:G465)/100000)</f>
        <v>0.5089384367</v>
      </c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</row>
    <row r="625">
      <c r="A625" s="4"/>
      <c r="B625" s="2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</row>
    <row r="626">
      <c r="A626" s="4"/>
      <c r="B626" s="2"/>
      <c r="C626" s="4"/>
      <c r="D626" s="4"/>
      <c r="E626" s="76">
        <f>IFERROR(__xludf.DUMMYFUNCTION("""COMPUTED_VALUE"""),0.0)</f>
        <v>0</v>
      </c>
      <c r="F626" s="76">
        <f>IFERROR(__xludf.DUMMYFUNCTION("""COMPUTED_VALUE"""),-2.2737367544323206E-13)</f>
        <v>0</v>
      </c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</row>
    <row r="627">
      <c r="A627" s="4"/>
      <c r="B627" s="2"/>
      <c r="C627" s="2"/>
      <c r="D627" s="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</row>
    <row r="628">
      <c r="A628" s="4"/>
      <c r="B628" s="2"/>
      <c r="C628" s="2"/>
      <c r="D628" s="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</row>
    <row r="629">
      <c r="A629" s="4"/>
      <c r="B629" s="2"/>
      <c r="C629" s="2"/>
      <c r="D629" s="3"/>
      <c r="E629" s="62">
        <f t="shared" ref="E629:F629" si="27">E604+E585+E566+E547+E528+E509+E490</f>
        <v>1642.739083</v>
      </c>
      <c r="F629" s="62">
        <f t="shared" si="27"/>
        <v>2373.757975</v>
      </c>
      <c r="G629" s="62">
        <f>G490+G509+G528</f>
        <v>3227.77563</v>
      </c>
      <c r="H629" s="4"/>
      <c r="I629" s="62">
        <f>I604+I585+I566+I547+I528+I509+I490</f>
        <v>2335.15522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</row>
    <row r="630">
      <c r="A630" s="4"/>
      <c r="B630" s="2"/>
      <c r="C630" s="2"/>
      <c r="D630" s="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</row>
    <row r="631">
      <c r="A631" s="4"/>
      <c r="B631" s="2"/>
      <c r="C631" s="2"/>
      <c r="D631" s="3"/>
      <c r="E631" s="62">
        <f t="shared" ref="E631:G631" si="28">E623-E629</f>
        <v>0</v>
      </c>
      <c r="F631" s="62">
        <f t="shared" si="28"/>
        <v>0</v>
      </c>
      <c r="G631" s="62">
        <f t="shared" si="28"/>
        <v>0</v>
      </c>
      <c r="H631" s="4"/>
      <c r="I631" s="62">
        <f>I623-I629</f>
        <v>-1481.137565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</row>
    <row r="632">
      <c r="A632" s="4"/>
      <c r="B632" s="2"/>
      <c r="C632" s="2"/>
      <c r="D632" s="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</row>
    <row r="633">
      <c r="A633" s="4"/>
      <c r="B633" s="2"/>
      <c r="C633" s="2"/>
      <c r="D633" s="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</row>
    <row r="634">
      <c r="A634" s="4"/>
      <c r="B634" s="2"/>
      <c r="C634" s="2"/>
      <c r="D634" s="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</row>
    <row r="635">
      <c r="A635" s="4"/>
      <c r="B635" s="2"/>
      <c r="C635" s="2"/>
      <c r="D635" s="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</row>
    <row r="636">
      <c r="A636" s="4"/>
      <c r="B636" s="2"/>
      <c r="C636" s="2"/>
      <c r="D636" s="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</row>
    <row r="637">
      <c r="A637" s="4"/>
      <c r="B637" s="2"/>
      <c r="C637" s="2"/>
      <c r="D637" s="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</row>
    <row r="638">
      <c r="A638" s="4"/>
      <c r="B638" s="2"/>
      <c r="C638" s="2"/>
      <c r="D638" s="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</row>
    <row r="639">
      <c r="A639" s="4"/>
      <c r="B639" s="2"/>
      <c r="C639" s="2"/>
      <c r="D639" s="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</row>
    <row r="640">
      <c r="A640" s="4"/>
      <c r="B640" s="2"/>
      <c r="C640" s="2"/>
      <c r="D640" s="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</row>
    <row r="641">
      <c r="A641" s="4"/>
      <c r="B641" s="2"/>
      <c r="C641" s="2"/>
      <c r="D641" s="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</row>
    <row r="642">
      <c r="A642" s="4"/>
      <c r="B642" s="2"/>
      <c r="C642" s="2"/>
      <c r="D642" s="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</row>
    <row r="643">
      <c r="A643" s="4"/>
      <c r="B643" s="2"/>
      <c r="C643" s="2"/>
      <c r="D643" s="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</row>
    <row r="644">
      <c r="A644" s="4"/>
      <c r="B644" s="2"/>
      <c r="C644" s="2"/>
      <c r="D644" s="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</row>
    <row r="645">
      <c r="A645" s="4"/>
      <c r="B645" s="2"/>
      <c r="C645" s="2"/>
      <c r="D645" s="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</row>
    <row r="646">
      <c r="A646" s="4"/>
      <c r="B646" s="2"/>
      <c r="C646" s="2"/>
      <c r="D646" s="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</row>
    <row r="647">
      <c r="A647" s="4"/>
      <c r="B647" s="2"/>
      <c r="C647" s="2"/>
      <c r="D647" s="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</row>
    <row r="648">
      <c r="A648" s="4"/>
      <c r="B648" s="2"/>
      <c r="C648" s="2"/>
      <c r="D648" s="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</row>
    <row r="649">
      <c r="A649" s="4"/>
      <c r="B649" s="2"/>
      <c r="C649" s="2"/>
      <c r="D649" s="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</row>
    <row r="650">
      <c r="A650" s="4"/>
      <c r="B650" s="2"/>
      <c r="C650" s="2"/>
      <c r="D650" s="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</row>
    <row r="651">
      <c r="A651" s="4"/>
      <c r="B651" s="2"/>
      <c r="C651" s="2"/>
      <c r="D651" s="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</row>
    <row r="652">
      <c r="A652" s="4"/>
      <c r="B652" s="2"/>
      <c r="C652" s="2"/>
      <c r="D652" s="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</row>
    <row r="653">
      <c r="A653" s="4"/>
      <c r="B653" s="2"/>
      <c r="C653" s="2"/>
      <c r="D653" s="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</row>
    <row r="654">
      <c r="A654" s="4"/>
      <c r="B654" s="2"/>
      <c r="C654" s="2"/>
      <c r="D654" s="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</row>
    <row r="655">
      <c r="A655" s="4"/>
      <c r="B655" s="2"/>
      <c r="C655" s="2"/>
      <c r="D655" s="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</row>
    <row r="656">
      <c r="A656" s="4"/>
      <c r="B656" s="2"/>
      <c r="C656" s="2"/>
      <c r="D656" s="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</row>
    <row r="657">
      <c r="A657" s="4"/>
      <c r="B657" s="2"/>
      <c r="C657" s="2"/>
      <c r="D657" s="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</row>
    <row r="658">
      <c r="A658" s="4"/>
      <c r="B658" s="2"/>
      <c r="C658" s="2"/>
      <c r="D658" s="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</row>
    <row r="659">
      <c r="A659" s="4"/>
      <c r="B659" s="2"/>
      <c r="C659" s="2"/>
      <c r="D659" s="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</row>
    <row r="660">
      <c r="A660" s="4"/>
      <c r="B660" s="2"/>
      <c r="C660" s="2"/>
      <c r="D660" s="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</row>
    <row r="661">
      <c r="A661" s="4"/>
      <c r="B661" s="2"/>
      <c r="C661" s="2"/>
      <c r="D661" s="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</row>
    <row r="662">
      <c r="A662" s="4"/>
      <c r="B662" s="2"/>
      <c r="C662" s="2"/>
      <c r="D662" s="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</row>
    <row r="663">
      <c r="A663" s="4"/>
      <c r="B663" s="2"/>
      <c r="C663" s="2"/>
      <c r="D663" s="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</row>
    <row r="664">
      <c r="A664" s="4"/>
      <c r="B664" s="2"/>
      <c r="C664" s="2"/>
      <c r="D664" s="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</row>
    <row r="665">
      <c r="A665" s="4"/>
      <c r="B665" s="2"/>
      <c r="C665" s="2"/>
      <c r="D665" s="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</row>
    <row r="666">
      <c r="A666" s="4"/>
      <c r="B666" s="2"/>
      <c r="C666" s="2"/>
      <c r="D666" s="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</row>
    <row r="667">
      <c r="A667" s="4"/>
      <c r="B667" s="2"/>
      <c r="C667" s="2"/>
      <c r="D667" s="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</row>
    <row r="668">
      <c r="A668" s="4"/>
      <c r="B668" s="2"/>
      <c r="C668" s="2"/>
      <c r="D668" s="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</row>
    <row r="669">
      <c r="A669" s="4"/>
      <c r="B669" s="2"/>
      <c r="C669" s="2"/>
      <c r="D669" s="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</row>
    <row r="670">
      <c r="A670" s="4"/>
      <c r="B670" s="2"/>
      <c r="C670" s="2"/>
      <c r="D670" s="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</row>
    <row r="671">
      <c r="A671" s="4"/>
      <c r="B671" s="2"/>
      <c r="C671" s="2"/>
      <c r="D671" s="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</row>
    <row r="672">
      <c r="A672" s="4"/>
      <c r="B672" s="2"/>
      <c r="C672" s="2"/>
      <c r="D672" s="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</row>
    <row r="673">
      <c r="A673" s="4"/>
      <c r="B673" s="2"/>
      <c r="C673" s="2"/>
      <c r="D673" s="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</row>
    <row r="674">
      <c r="A674" s="4"/>
      <c r="B674" s="2"/>
      <c r="C674" s="2"/>
      <c r="D674" s="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</row>
    <row r="675">
      <c r="A675" s="4"/>
      <c r="B675" s="2"/>
      <c r="C675" s="2"/>
      <c r="D675" s="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</row>
    <row r="676">
      <c r="A676" s="4"/>
      <c r="B676" s="2"/>
      <c r="C676" s="2"/>
      <c r="D676" s="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</row>
    <row r="677">
      <c r="A677" s="4"/>
      <c r="B677" s="2"/>
      <c r="C677" s="2"/>
      <c r="D677" s="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</row>
    <row r="678">
      <c r="A678" s="4"/>
      <c r="B678" s="2"/>
      <c r="C678" s="2"/>
      <c r="D678" s="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</row>
    <row r="679">
      <c r="A679" s="4"/>
      <c r="B679" s="2"/>
      <c r="C679" s="2"/>
      <c r="D679" s="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</row>
    <row r="680">
      <c r="A680" s="4"/>
      <c r="B680" s="2"/>
      <c r="C680" s="2"/>
      <c r="D680" s="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</row>
    <row r="681">
      <c r="A681" s="4"/>
      <c r="B681" s="2"/>
      <c r="C681" s="2"/>
      <c r="D681" s="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</row>
    <row r="682">
      <c r="A682" s="4"/>
      <c r="B682" s="2"/>
      <c r="C682" s="2"/>
      <c r="D682" s="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</row>
    <row r="683">
      <c r="A683" s="4"/>
      <c r="B683" s="2"/>
      <c r="C683" s="2"/>
      <c r="D683" s="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</row>
    <row r="684">
      <c r="A684" s="4"/>
      <c r="B684" s="2"/>
      <c r="C684" s="2"/>
      <c r="D684" s="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</row>
    <row r="685">
      <c r="A685" s="4"/>
      <c r="B685" s="2"/>
      <c r="C685" s="2"/>
      <c r="D685" s="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</row>
    <row r="686">
      <c r="A686" s="4"/>
      <c r="B686" s="2"/>
      <c r="C686" s="2"/>
      <c r="D686" s="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</row>
    <row r="687">
      <c r="A687" s="4"/>
      <c r="B687" s="2"/>
      <c r="C687" s="2"/>
      <c r="D687" s="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</row>
    <row r="688">
      <c r="A688" s="4"/>
      <c r="B688" s="2"/>
      <c r="C688" s="2"/>
      <c r="D688" s="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</row>
    <row r="689">
      <c r="A689" s="4"/>
      <c r="B689" s="2"/>
      <c r="C689" s="2"/>
      <c r="D689" s="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</row>
    <row r="690">
      <c r="A690" s="4"/>
      <c r="B690" s="2"/>
      <c r="C690" s="2"/>
      <c r="D690" s="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</row>
    <row r="691">
      <c r="A691" s="4"/>
      <c r="B691" s="2"/>
      <c r="C691" s="2"/>
      <c r="D691" s="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</row>
    <row r="692">
      <c r="A692" s="4"/>
      <c r="B692" s="2"/>
      <c r="C692" s="2"/>
      <c r="D692" s="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</row>
    <row r="693">
      <c r="A693" s="4"/>
      <c r="B693" s="2"/>
      <c r="C693" s="2"/>
      <c r="D693" s="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</row>
    <row r="694">
      <c r="A694" s="4"/>
      <c r="B694" s="2"/>
      <c r="C694" s="2"/>
      <c r="D694" s="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</row>
    <row r="695">
      <c r="A695" s="4"/>
      <c r="B695" s="2"/>
      <c r="C695" s="2"/>
      <c r="D695" s="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</row>
    <row r="696">
      <c r="A696" s="4"/>
      <c r="B696" s="2"/>
      <c r="C696" s="2"/>
      <c r="D696" s="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</row>
    <row r="697">
      <c r="A697" s="4"/>
      <c r="B697" s="2"/>
      <c r="C697" s="2"/>
      <c r="D697" s="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</row>
    <row r="698">
      <c r="A698" s="4"/>
      <c r="B698" s="2"/>
      <c r="C698" s="2"/>
      <c r="D698" s="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</row>
    <row r="699">
      <c r="A699" s="4"/>
      <c r="B699" s="2"/>
      <c r="C699" s="2"/>
      <c r="D699" s="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</row>
    <row r="700">
      <c r="A700" s="4"/>
      <c r="B700" s="2"/>
      <c r="C700" s="2"/>
      <c r="D700" s="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</row>
    <row r="701">
      <c r="A701" s="4"/>
      <c r="B701" s="2"/>
      <c r="C701" s="2"/>
      <c r="D701" s="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</row>
    <row r="702">
      <c r="A702" s="4"/>
      <c r="B702" s="2"/>
      <c r="C702" s="2"/>
      <c r="D702" s="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</row>
    <row r="703">
      <c r="A703" s="4"/>
      <c r="B703" s="2"/>
      <c r="C703" s="2"/>
      <c r="D703" s="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</row>
    <row r="704">
      <c r="A704" s="4"/>
      <c r="B704" s="2"/>
      <c r="C704" s="2"/>
      <c r="D704" s="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</row>
    <row r="705">
      <c r="A705" s="4"/>
      <c r="B705" s="2"/>
      <c r="C705" s="2"/>
      <c r="D705" s="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</row>
    <row r="706">
      <c r="A706" s="4"/>
      <c r="B706" s="2"/>
      <c r="C706" s="2"/>
      <c r="D706" s="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</row>
    <row r="707">
      <c r="A707" s="4"/>
      <c r="B707" s="2"/>
      <c r="C707" s="2"/>
      <c r="D707" s="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</row>
    <row r="708">
      <c r="A708" s="4"/>
      <c r="B708" s="2"/>
      <c r="C708" s="2"/>
      <c r="D708" s="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</row>
    <row r="709">
      <c r="A709" s="4"/>
      <c r="B709" s="2"/>
      <c r="C709" s="2"/>
      <c r="D709" s="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</row>
    <row r="710">
      <c r="A710" s="4"/>
      <c r="B710" s="2"/>
      <c r="C710" s="2"/>
      <c r="D710" s="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</row>
    <row r="711">
      <c r="A711" s="4"/>
      <c r="B711" s="2"/>
      <c r="C711" s="2"/>
      <c r="D711" s="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</row>
    <row r="712">
      <c r="A712" s="4"/>
      <c r="B712" s="2"/>
      <c r="C712" s="2"/>
      <c r="D712" s="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</row>
    <row r="713">
      <c r="A713" s="4"/>
      <c r="B713" s="2"/>
      <c r="C713" s="2"/>
      <c r="D713" s="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</row>
    <row r="714">
      <c r="A714" s="4"/>
      <c r="B714" s="2"/>
      <c r="C714" s="2"/>
      <c r="D714" s="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</row>
    <row r="715">
      <c r="A715" s="4"/>
      <c r="B715" s="2"/>
      <c r="C715" s="2"/>
      <c r="D715" s="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</row>
    <row r="716">
      <c r="A716" s="4"/>
      <c r="B716" s="2"/>
      <c r="C716" s="2"/>
      <c r="D716" s="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</row>
    <row r="717">
      <c r="A717" s="4"/>
      <c r="B717" s="2"/>
      <c r="C717" s="2"/>
      <c r="D717" s="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</row>
    <row r="718">
      <c r="A718" s="4"/>
      <c r="B718" s="2"/>
      <c r="C718" s="2"/>
      <c r="D718" s="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</row>
    <row r="719">
      <c r="A719" s="4"/>
      <c r="B719" s="2"/>
      <c r="C719" s="2"/>
      <c r="D719" s="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</row>
    <row r="720">
      <c r="A720" s="4"/>
      <c r="B720" s="2"/>
      <c r="C720" s="2"/>
      <c r="D720" s="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</row>
    <row r="721">
      <c r="A721" s="4"/>
      <c r="B721" s="2"/>
      <c r="C721" s="2"/>
      <c r="D721" s="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</row>
    <row r="722">
      <c r="A722" s="4"/>
      <c r="B722" s="2"/>
      <c r="C722" s="2"/>
      <c r="D722" s="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</row>
    <row r="723">
      <c r="A723" s="4"/>
      <c r="B723" s="2"/>
      <c r="C723" s="2"/>
      <c r="D723" s="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</row>
    <row r="724">
      <c r="A724" s="4"/>
      <c r="B724" s="2"/>
      <c r="C724" s="2"/>
      <c r="D724" s="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</row>
    <row r="725">
      <c r="A725" s="4"/>
      <c r="B725" s="2"/>
      <c r="C725" s="2"/>
      <c r="D725" s="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</row>
    <row r="726">
      <c r="A726" s="4"/>
      <c r="B726" s="2"/>
      <c r="C726" s="2"/>
      <c r="D726" s="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</row>
    <row r="727">
      <c r="A727" s="4"/>
      <c r="B727" s="2"/>
      <c r="C727" s="2"/>
      <c r="D727" s="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</row>
    <row r="728">
      <c r="A728" s="4"/>
      <c r="B728" s="2"/>
      <c r="C728" s="2"/>
      <c r="D728" s="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</row>
    <row r="729">
      <c r="A729" s="4"/>
      <c r="B729" s="2"/>
      <c r="C729" s="2"/>
      <c r="D729" s="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</row>
    <row r="730">
      <c r="A730" s="4"/>
      <c r="B730" s="2"/>
      <c r="C730" s="2"/>
      <c r="D730" s="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</row>
    <row r="731">
      <c r="A731" s="4"/>
      <c r="B731" s="2"/>
      <c r="C731" s="2"/>
      <c r="D731" s="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</row>
    <row r="732">
      <c r="A732" s="4"/>
      <c r="B732" s="2"/>
      <c r="C732" s="2"/>
      <c r="D732" s="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</row>
    <row r="733">
      <c r="A733" s="4"/>
      <c r="B733" s="2"/>
      <c r="C733" s="2"/>
      <c r="D733" s="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</row>
    <row r="734">
      <c r="A734" s="4"/>
      <c r="B734" s="2"/>
      <c r="C734" s="2"/>
      <c r="D734" s="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</row>
    <row r="735">
      <c r="A735" s="4"/>
      <c r="B735" s="2"/>
      <c r="C735" s="2"/>
      <c r="D735" s="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</row>
    <row r="736">
      <c r="A736" s="4"/>
      <c r="B736" s="2"/>
      <c r="C736" s="2"/>
      <c r="D736" s="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</row>
    <row r="737">
      <c r="A737" s="4"/>
      <c r="B737" s="2"/>
      <c r="C737" s="2"/>
      <c r="D737" s="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</row>
    <row r="738">
      <c r="A738" s="4"/>
      <c r="B738" s="2"/>
      <c r="C738" s="2"/>
      <c r="D738" s="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</row>
    <row r="739">
      <c r="A739" s="4"/>
      <c r="B739" s="2"/>
      <c r="C739" s="2"/>
      <c r="D739" s="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</row>
    <row r="740">
      <c r="A740" s="4"/>
      <c r="B740" s="2"/>
      <c r="C740" s="2"/>
      <c r="D740" s="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</row>
    <row r="741">
      <c r="A741" s="4"/>
      <c r="B741" s="2"/>
      <c r="C741" s="2"/>
      <c r="D741" s="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</row>
    <row r="742">
      <c r="A742" s="4"/>
      <c r="B742" s="2"/>
      <c r="C742" s="2"/>
      <c r="D742" s="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</row>
    <row r="743">
      <c r="A743" s="4"/>
      <c r="B743" s="2"/>
      <c r="C743" s="2"/>
      <c r="D743" s="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</row>
    <row r="744">
      <c r="A744" s="4"/>
      <c r="B744" s="2"/>
      <c r="C744" s="2"/>
      <c r="D744" s="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</row>
    <row r="745">
      <c r="A745" s="4"/>
      <c r="B745" s="2"/>
      <c r="C745" s="2"/>
      <c r="D745" s="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</row>
    <row r="746">
      <c r="A746" s="4"/>
      <c r="B746" s="2"/>
      <c r="C746" s="2"/>
      <c r="D746" s="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</row>
    <row r="747">
      <c r="A747" s="4"/>
      <c r="B747" s="2"/>
      <c r="C747" s="2"/>
      <c r="D747" s="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</row>
    <row r="748">
      <c r="A748" s="4"/>
      <c r="B748" s="2"/>
      <c r="C748" s="2"/>
      <c r="D748" s="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</row>
    <row r="749">
      <c r="A749" s="4"/>
      <c r="B749" s="2"/>
      <c r="C749" s="2"/>
      <c r="D749" s="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</row>
    <row r="750">
      <c r="A750" s="4"/>
      <c r="B750" s="2"/>
      <c r="C750" s="2"/>
      <c r="D750" s="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</row>
    <row r="751">
      <c r="A751" s="4"/>
      <c r="B751" s="2"/>
      <c r="C751" s="2"/>
      <c r="D751" s="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</row>
    <row r="752">
      <c r="A752" s="4"/>
      <c r="B752" s="2"/>
      <c r="C752" s="2"/>
      <c r="D752" s="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</row>
    <row r="753">
      <c r="A753" s="4"/>
      <c r="B753" s="2"/>
      <c r="C753" s="2"/>
      <c r="D753" s="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</row>
    <row r="754">
      <c r="A754" s="4"/>
      <c r="B754" s="2"/>
      <c r="C754" s="2"/>
      <c r="D754" s="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</row>
    <row r="755">
      <c r="A755" s="4"/>
      <c r="B755" s="2"/>
      <c r="C755" s="2"/>
      <c r="D755" s="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</row>
    <row r="756">
      <c r="A756" s="4"/>
      <c r="B756" s="2"/>
      <c r="C756" s="2"/>
      <c r="D756" s="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</row>
    <row r="757">
      <c r="A757" s="4"/>
      <c r="B757" s="2"/>
      <c r="C757" s="2"/>
      <c r="D757" s="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</row>
    <row r="758">
      <c r="A758" s="4"/>
      <c r="B758" s="2"/>
      <c r="C758" s="2"/>
      <c r="D758" s="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</row>
    <row r="759">
      <c r="A759" s="4"/>
      <c r="B759" s="2"/>
      <c r="C759" s="2"/>
      <c r="D759" s="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</row>
    <row r="760">
      <c r="A760" s="4"/>
      <c r="B760" s="2"/>
      <c r="C760" s="2"/>
      <c r="D760" s="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</row>
    <row r="761">
      <c r="A761" s="4"/>
      <c r="B761" s="2"/>
      <c r="C761" s="2"/>
      <c r="D761" s="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</row>
    <row r="762">
      <c r="A762" s="4"/>
      <c r="B762" s="2"/>
      <c r="C762" s="2"/>
      <c r="D762" s="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</row>
    <row r="763">
      <c r="A763" s="4"/>
      <c r="B763" s="2"/>
      <c r="C763" s="2"/>
      <c r="D763" s="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</row>
    <row r="764">
      <c r="A764" s="4"/>
      <c r="B764" s="2"/>
      <c r="C764" s="2"/>
      <c r="D764" s="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</row>
    <row r="765">
      <c r="A765" s="4"/>
      <c r="B765" s="2"/>
      <c r="C765" s="2"/>
      <c r="D765" s="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</row>
    <row r="766">
      <c r="A766" s="4"/>
      <c r="B766" s="2"/>
      <c r="C766" s="2"/>
      <c r="D766" s="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</row>
    <row r="767">
      <c r="A767" s="4"/>
      <c r="B767" s="2"/>
      <c r="C767" s="2"/>
      <c r="D767" s="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</row>
    <row r="768">
      <c r="A768" s="4"/>
      <c r="B768" s="2"/>
      <c r="C768" s="2"/>
      <c r="D768" s="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</row>
    <row r="769">
      <c r="A769" s="4"/>
      <c r="B769" s="2"/>
      <c r="C769" s="2"/>
      <c r="D769" s="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</row>
    <row r="770">
      <c r="A770" s="4"/>
      <c r="B770" s="2"/>
      <c r="C770" s="2"/>
      <c r="D770" s="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</row>
    <row r="771">
      <c r="A771" s="4"/>
      <c r="B771" s="2"/>
      <c r="C771" s="2"/>
      <c r="D771" s="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</row>
    <row r="772">
      <c r="A772" s="4"/>
      <c r="B772" s="2"/>
      <c r="C772" s="2"/>
      <c r="D772" s="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</row>
    <row r="773">
      <c r="A773" s="4"/>
      <c r="B773" s="2"/>
      <c r="C773" s="2"/>
      <c r="D773" s="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</row>
    <row r="774">
      <c r="A774" s="4"/>
      <c r="B774" s="2"/>
      <c r="C774" s="2"/>
      <c r="D774" s="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</row>
    <row r="775">
      <c r="A775" s="4"/>
      <c r="B775" s="2"/>
      <c r="C775" s="2"/>
      <c r="D775" s="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</row>
    <row r="776">
      <c r="A776" s="4"/>
      <c r="B776" s="2"/>
      <c r="C776" s="2"/>
      <c r="D776" s="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</row>
    <row r="777">
      <c r="A777" s="4"/>
      <c r="B777" s="2"/>
      <c r="C777" s="2"/>
      <c r="D777" s="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</row>
    <row r="778">
      <c r="A778" s="4"/>
      <c r="B778" s="2"/>
      <c r="C778" s="2"/>
      <c r="D778" s="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</row>
    <row r="779">
      <c r="A779" s="4"/>
      <c r="B779" s="2"/>
      <c r="C779" s="2"/>
      <c r="D779" s="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</row>
    <row r="780">
      <c r="A780" s="4"/>
      <c r="B780" s="2"/>
      <c r="C780" s="2"/>
      <c r="D780" s="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</row>
    <row r="781">
      <c r="A781" s="4"/>
      <c r="B781" s="2"/>
      <c r="C781" s="2"/>
      <c r="D781" s="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</row>
    <row r="782">
      <c r="A782" s="4"/>
      <c r="B782" s="2"/>
      <c r="C782" s="2"/>
      <c r="D782" s="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</row>
    <row r="783">
      <c r="A783" s="4"/>
      <c r="B783" s="2"/>
      <c r="C783" s="2"/>
      <c r="D783" s="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</row>
    <row r="784">
      <c r="A784" s="4"/>
      <c r="B784" s="2"/>
      <c r="C784" s="2"/>
      <c r="D784" s="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</row>
    <row r="785">
      <c r="A785" s="4"/>
      <c r="B785" s="2"/>
      <c r="C785" s="2"/>
      <c r="D785" s="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</row>
    <row r="786">
      <c r="A786" s="4"/>
      <c r="B786" s="2"/>
      <c r="C786" s="2"/>
      <c r="D786" s="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</row>
    <row r="787">
      <c r="A787" s="4"/>
      <c r="B787" s="2"/>
      <c r="C787" s="2"/>
      <c r="D787" s="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</row>
    <row r="788">
      <c r="A788" s="4"/>
      <c r="B788" s="2"/>
      <c r="C788" s="2"/>
      <c r="D788" s="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</row>
    <row r="789">
      <c r="A789" s="4"/>
      <c r="B789" s="2"/>
      <c r="C789" s="2"/>
      <c r="D789" s="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</row>
    <row r="790">
      <c r="A790" s="4"/>
      <c r="B790" s="2"/>
      <c r="C790" s="2"/>
      <c r="D790" s="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</row>
    <row r="791">
      <c r="A791" s="4"/>
      <c r="B791" s="2"/>
      <c r="C791" s="2"/>
      <c r="D791" s="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</row>
    <row r="792">
      <c r="A792" s="4"/>
      <c r="B792" s="2"/>
      <c r="C792" s="2"/>
      <c r="D792" s="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</row>
    <row r="793">
      <c r="A793" s="4"/>
      <c r="B793" s="2"/>
      <c r="C793" s="2"/>
      <c r="D793" s="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</row>
    <row r="794">
      <c r="A794" s="4"/>
      <c r="B794" s="2"/>
      <c r="C794" s="2"/>
      <c r="D794" s="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</row>
    <row r="795">
      <c r="A795" s="4"/>
      <c r="B795" s="2"/>
      <c r="C795" s="2"/>
      <c r="D795" s="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</row>
    <row r="796">
      <c r="A796" s="4"/>
      <c r="B796" s="2"/>
      <c r="C796" s="2"/>
      <c r="D796" s="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</row>
    <row r="797">
      <c r="A797" s="4"/>
      <c r="B797" s="2"/>
      <c r="C797" s="2"/>
      <c r="D797" s="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</row>
    <row r="798">
      <c r="A798" s="4"/>
      <c r="B798" s="2"/>
      <c r="C798" s="2"/>
      <c r="D798" s="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</row>
    <row r="799">
      <c r="A799" s="4"/>
      <c r="B799" s="2"/>
      <c r="C799" s="2"/>
      <c r="D799" s="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</row>
    <row r="800">
      <c r="A800" s="4"/>
      <c r="B800" s="2"/>
      <c r="C800" s="2"/>
      <c r="D800" s="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</row>
    <row r="801">
      <c r="A801" s="4"/>
      <c r="B801" s="2"/>
      <c r="C801" s="2"/>
      <c r="D801" s="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</row>
    <row r="802">
      <c r="A802" s="4"/>
      <c r="B802" s="2"/>
      <c r="C802" s="2"/>
      <c r="D802" s="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</row>
    <row r="803">
      <c r="A803" s="4"/>
      <c r="B803" s="2"/>
      <c r="C803" s="2"/>
      <c r="D803" s="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</row>
    <row r="804">
      <c r="A804" s="4"/>
      <c r="B804" s="2"/>
      <c r="C804" s="2"/>
      <c r="D804" s="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</row>
    <row r="805">
      <c r="A805" s="4"/>
      <c r="B805" s="2"/>
      <c r="C805" s="2"/>
      <c r="D805" s="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</row>
    <row r="806">
      <c r="A806" s="4"/>
      <c r="B806" s="2"/>
      <c r="C806" s="2"/>
      <c r="D806" s="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</row>
    <row r="807">
      <c r="A807" s="4"/>
      <c r="B807" s="2"/>
      <c r="C807" s="2"/>
      <c r="D807" s="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</row>
    <row r="808">
      <c r="A808" s="4"/>
      <c r="B808" s="2"/>
      <c r="C808" s="2"/>
      <c r="D808" s="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</row>
    <row r="809">
      <c r="A809" s="4"/>
      <c r="B809" s="2"/>
      <c r="C809" s="2"/>
      <c r="D809" s="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</row>
    <row r="810">
      <c r="A810" s="4"/>
      <c r="B810" s="2"/>
      <c r="C810" s="2"/>
      <c r="D810" s="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</row>
    <row r="811">
      <c r="A811" s="4"/>
      <c r="B811" s="2"/>
      <c r="C811" s="2"/>
      <c r="D811" s="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</row>
    <row r="812">
      <c r="A812" s="4"/>
      <c r="B812" s="2"/>
      <c r="C812" s="2"/>
      <c r="D812" s="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</row>
    <row r="813">
      <c r="A813" s="4"/>
      <c r="B813" s="2"/>
      <c r="C813" s="2"/>
      <c r="D813" s="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</row>
    <row r="814">
      <c r="A814" s="4"/>
      <c r="B814" s="2"/>
      <c r="C814" s="2"/>
      <c r="D814" s="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</row>
    <row r="815">
      <c r="A815" s="4"/>
      <c r="B815" s="2"/>
      <c r="C815" s="2"/>
      <c r="D815" s="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</row>
    <row r="816">
      <c r="A816" s="4"/>
      <c r="B816" s="2"/>
      <c r="C816" s="2"/>
      <c r="D816" s="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</row>
    <row r="817">
      <c r="A817" s="4"/>
      <c r="B817" s="2"/>
      <c r="C817" s="2"/>
      <c r="D817" s="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</row>
    <row r="818">
      <c r="A818" s="4"/>
      <c r="B818" s="2"/>
      <c r="C818" s="2"/>
      <c r="D818" s="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</row>
    <row r="819">
      <c r="A819" s="4"/>
      <c r="B819" s="2"/>
      <c r="C819" s="2"/>
      <c r="D819" s="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</row>
    <row r="820">
      <c r="A820" s="4"/>
      <c r="B820" s="2"/>
      <c r="C820" s="2"/>
      <c r="D820" s="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</row>
    <row r="821">
      <c r="A821" s="4"/>
      <c r="B821" s="2"/>
      <c r="C821" s="2"/>
      <c r="D821" s="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</row>
    <row r="822">
      <c r="A822" s="4"/>
      <c r="B822" s="2"/>
      <c r="C822" s="2"/>
      <c r="D822" s="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</row>
    <row r="823">
      <c r="A823" s="4"/>
      <c r="B823" s="2"/>
      <c r="C823" s="2"/>
      <c r="D823" s="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</row>
    <row r="824">
      <c r="A824" s="4"/>
      <c r="B824" s="2"/>
      <c r="C824" s="2"/>
      <c r="D824" s="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</row>
    <row r="825">
      <c r="A825" s="4"/>
      <c r="B825" s="2"/>
      <c r="C825" s="2"/>
      <c r="D825" s="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</row>
    <row r="826">
      <c r="A826" s="4"/>
      <c r="B826" s="2"/>
      <c r="C826" s="2"/>
      <c r="D826" s="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</row>
    <row r="827">
      <c r="A827" s="4"/>
      <c r="B827" s="2"/>
      <c r="C827" s="2"/>
      <c r="D827" s="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</row>
    <row r="828">
      <c r="A828" s="4"/>
      <c r="B828" s="2"/>
      <c r="C828" s="2"/>
      <c r="D828" s="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</row>
    <row r="829">
      <c r="A829" s="4"/>
      <c r="B829" s="2"/>
      <c r="C829" s="2"/>
      <c r="D829" s="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</row>
    <row r="830">
      <c r="A830" s="4"/>
      <c r="B830" s="2"/>
      <c r="C830" s="2"/>
      <c r="D830" s="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</row>
    <row r="831">
      <c r="A831" s="4"/>
      <c r="B831" s="2"/>
      <c r="C831" s="2"/>
      <c r="D831" s="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</row>
    <row r="832">
      <c r="A832" s="4"/>
      <c r="B832" s="2"/>
      <c r="C832" s="2"/>
      <c r="D832" s="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</row>
    <row r="833">
      <c r="A833" s="4"/>
      <c r="B833" s="2"/>
      <c r="C833" s="2"/>
      <c r="D833" s="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</row>
    <row r="834">
      <c r="A834" s="4"/>
      <c r="B834" s="2"/>
      <c r="C834" s="2"/>
      <c r="D834" s="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</row>
    <row r="835">
      <c r="A835" s="4"/>
      <c r="B835" s="2"/>
      <c r="C835" s="2"/>
      <c r="D835" s="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</row>
    <row r="836">
      <c r="A836" s="4"/>
      <c r="B836" s="2"/>
      <c r="C836" s="2"/>
      <c r="D836" s="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</row>
    <row r="837">
      <c r="A837" s="4"/>
      <c r="B837" s="2"/>
      <c r="C837" s="2"/>
      <c r="D837" s="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</row>
    <row r="838">
      <c r="A838" s="4"/>
      <c r="B838" s="2"/>
      <c r="C838" s="2"/>
      <c r="D838" s="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</row>
    <row r="839">
      <c r="A839" s="4"/>
      <c r="B839" s="2"/>
      <c r="C839" s="2"/>
      <c r="D839" s="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</row>
    <row r="840">
      <c r="A840" s="4"/>
      <c r="B840" s="2"/>
      <c r="C840" s="2"/>
      <c r="D840" s="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</row>
    <row r="841">
      <c r="A841" s="4"/>
      <c r="B841" s="2"/>
      <c r="C841" s="2"/>
      <c r="D841" s="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</row>
    <row r="842">
      <c r="A842" s="4"/>
      <c r="B842" s="2"/>
      <c r="C842" s="2"/>
      <c r="D842" s="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</row>
    <row r="843">
      <c r="A843" s="4"/>
      <c r="B843" s="2"/>
      <c r="C843" s="2"/>
      <c r="D843" s="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</row>
    <row r="844">
      <c r="A844" s="4"/>
      <c r="B844" s="2"/>
      <c r="C844" s="2"/>
      <c r="D844" s="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</row>
    <row r="845">
      <c r="A845" s="4"/>
      <c r="B845" s="2"/>
      <c r="C845" s="2"/>
      <c r="D845" s="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</row>
    <row r="846">
      <c r="A846" s="4"/>
      <c r="B846" s="2"/>
      <c r="C846" s="2"/>
      <c r="D846" s="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</row>
    <row r="847">
      <c r="A847" s="4"/>
      <c r="B847" s="2"/>
      <c r="C847" s="2"/>
      <c r="D847" s="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</row>
    <row r="848">
      <c r="A848" s="4"/>
      <c r="B848" s="2"/>
      <c r="C848" s="2"/>
      <c r="D848" s="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</row>
    <row r="849">
      <c r="A849" s="4"/>
      <c r="B849" s="2"/>
      <c r="C849" s="2"/>
      <c r="D849" s="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</row>
    <row r="850">
      <c r="A850" s="4"/>
      <c r="B850" s="2"/>
      <c r="C850" s="2"/>
      <c r="D850" s="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</row>
    <row r="851">
      <c r="A851" s="4"/>
      <c r="B851" s="2"/>
      <c r="C851" s="2"/>
      <c r="D851" s="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</row>
    <row r="852">
      <c r="A852" s="4"/>
      <c r="B852" s="2"/>
      <c r="C852" s="2"/>
      <c r="D852" s="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</row>
    <row r="853">
      <c r="A853" s="4"/>
      <c r="B853" s="2"/>
      <c r="C853" s="2"/>
      <c r="D853" s="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</row>
    <row r="854">
      <c r="A854" s="4"/>
      <c r="B854" s="2"/>
      <c r="C854" s="2"/>
      <c r="D854" s="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</row>
    <row r="855">
      <c r="A855" s="4"/>
      <c r="B855" s="2"/>
      <c r="C855" s="2"/>
      <c r="D855" s="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</row>
    <row r="856">
      <c r="A856" s="4"/>
      <c r="B856" s="2"/>
      <c r="C856" s="2"/>
      <c r="D856" s="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</row>
    <row r="857">
      <c r="A857" s="4"/>
      <c r="B857" s="2"/>
      <c r="C857" s="2"/>
      <c r="D857" s="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</row>
    <row r="858">
      <c r="A858" s="4"/>
      <c r="B858" s="2"/>
      <c r="C858" s="2"/>
      <c r="D858" s="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</row>
    <row r="859">
      <c r="A859" s="4"/>
      <c r="B859" s="2"/>
      <c r="C859" s="2"/>
      <c r="D859" s="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</row>
    <row r="860">
      <c r="A860" s="4"/>
      <c r="B860" s="2"/>
      <c r="C860" s="2"/>
      <c r="D860" s="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</row>
    <row r="861">
      <c r="A861" s="4"/>
      <c r="B861" s="2"/>
      <c r="C861" s="2"/>
      <c r="D861" s="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</row>
    <row r="862">
      <c r="A862" s="4"/>
      <c r="B862" s="2"/>
      <c r="C862" s="2"/>
      <c r="D862" s="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</row>
    <row r="863">
      <c r="A863" s="4"/>
      <c r="B863" s="2"/>
      <c r="C863" s="2"/>
      <c r="D863" s="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</row>
    <row r="864">
      <c r="A864" s="4"/>
      <c r="B864" s="2"/>
      <c r="C864" s="2"/>
      <c r="D864" s="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</row>
    <row r="865">
      <c r="A865" s="4"/>
      <c r="B865" s="2"/>
      <c r="C865" s="2"/>
      <c r="D865" s="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</row>
    <row r="866">
      <c r="A866" s="4"/>
      <c r="B866" s="2"/>
      <c r="C866" s="2"/>
      <c r="D866" s="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</row>
    <row r="867">
      <c r="A867" s="4"/>
      <c r="B867" s="2"/>
      <c r="C867" s="2"/>
      <c r="D867" s="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</row>
    <row r="868">
      <c r="A868" s="4"/>
      <c r="B868" s="2"/>
      <c r="C868" s="2"/>
      <c r="D868" s="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</row>
    <row r="869">
      <c r="A869" s="4"/>
      <c r="B869" s="2"/>
      <c r="C869" s="2"/>
      <c r="D869" s="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</row>
    <row r="870">
      <c r="A870" s="4"/>
      <c r="B870" s="2"/>
      <c r="C870" s="2"/>
      <c r="D870" s="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</row>
    <row r="871">
      <c r="A871" s="4"/>
      <c r="B871" s="2"/>
      <c r="C871" s="2"/>
      <c r="D871" s="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</row>
    <row r="872">
      <c r="A872" s="4"/>
      <c r="B872" s="2"/>
      <c r="C872" s="2"/>
      <c r="D872" s="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</row>
    <row r="873">
      <c r="A873" s="4"/>
      <c r="B873" s="2"/>
      <c r="C873" s="2"/>
      <c r="D873" s="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</row>
    <row r="874">
      <c r="A874" s="4"/>
      <c r="B874" s="2"/>
      <c r="C874" s="2"/>
      <c r="D874" s="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</row>
  </sheetData>
  <autoFilter ref="$B$7:$Q$447">
    <filterColumn colId="0">
      <filters>
        <filter val="9062047194"/>
      </filters>
    </filterColumn>
  </autoFilter>
  <mergeCells count="8">
    <mergeCell ref="C474:I474"/>
    <mergeCell ref="C493:I493"/>
    <mergeCell ref="C512:I512"/>
    <mergeCell ref="C531:I531"/>
    <mergeCell ref="C550:I550"/>
    <mergeCell ref="C569:I569"/>
    <mergeCell ref="C588:H588"/>
    <mergeCell ref="C607:H607"/>
  </mergeCells>
  <dataValidations>
    <dataValidation type="list" allowBlank="1" showErrorMessage="1" sqref="I8:L89 J90:L90 I91:L95 J96:L96 I97:L123 J124:L124 I125:L159 J160:L160 I161:L215 J216:L216 I217:L225 J226">
      <formula1>"10,20,30,40,50,60,70,80,90,100"</formula1>
    </dataValidation>
    <dataValidation type="list" allowBlank="1" showErrorMessage="1" sqref="H8:H306">
      <formula1>Keysight!$C$3:$C$6</formula1>
    </dataValidation>
    <dataValidation type="list" allowBlank="1" showErrorMessage="1" sqref="I90 I96 I124 I160 I216 I226 K226:L226 I227:L447">
      <formula1>"0,10,20,30,40,50,60,70,80,90,100"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7.14"/>
    <col customWidth="1" min="3" max="3" width="11.29"/>
    <col customWidth="1" min="4" max="4" width="11.71"/>
    <col customWidth="1" min="5" max="5" width="21.86"/>
    <col customWidth="1" min="6" max="6" width="24.0"/>
    <col customWidth="1" min="7" max="7" width="81.0"/>
    <col customWidth="1" hidden="1" min="8" max="8" width="64.43"/>
    <col customWidth="1" min="9" max="9" width="59.57"/>
    <col customWidth="1" min="10" max="10" width="11.14"/>
    <col customWidth="1" min="11" max="11" width="13.0"/>
    <col customWidth="1" min="12" max="12" width="16.86"/>
    <col customWidth="1" min="13" max="13" width="11.0"/>
    <col customWidth="1" min="14" max="14" width="12.0"/>
    <col customWidth="1" min="15" max="15" width="13.86"/>
  </cols>
  <sheetData>
    <row r="1">
      <c r="A1" s="77"/>
      <c r="B1" s="77" t="s">
        <v>392</v>
      </c>
    </row>
    <row r="3">
      <c r="A3" s="78"/>
      <c r="B3" s="79" t="s">
        <v>393</v>
      </c>
      <c r="C3" s="80" t="s">
        <v>6</v>
      </c>
      <c r="D3" s="80" t="s">
        <v>394</v>
      </c>
      <c r="E3" s="80" t="s">
        <v>395</v>
      </c>
      <c r="F3" s="80" t="s">
        <v>396</v>
      </c>
      <c r="G3" s="80" t="s">
        <v>397</v>
      </c>
      <c r="H3" s="80" t="s">
        <v>398</v>
      </c>
      <c r="I3" s="80" t="s">
        <v>399</v>
      </c>
      <c r="J3" s="80" t="s">
        <v>12</v>
      </c>
      <c r="K3" s="80" t="s">
        <v>13</v>
      </c>
      <c r="L3" s="80" t="s">
        <v>400</v>
      </c>
      <c r="M3" s="80" t="s">
        <v>15</v>
      </c>
      <c r="N3" s="10" t="s">
        <v>16</v>
      </c>
      <c r="O3" s="10" t="s">
        <v>17</v>
      </c>
    </row>
    <row r="4">
      <c r="A4" s="81"/>
      <c r="B4" s="82">
        <v>1.0</v>
      </c>
      <c r="C4" s="83">
        <v>45207.0</v>
      </c>
      <c r="D4" s="84">
        <v>1.000000033E9</v>
      </c>
      <c r="E4" s="82">
        <v>227000.0</v>
      </c>
      <c r="F4" s="85">
        <v>2.214E7</v>
      </c>
      <c r="G4" s="86" t="s">
        <v>401</v>
      </c>
      <c r="H4" s="86" t="s">
        <v>402</v>
      </c>
      <c r="I4" s="87" t="s">
        <v>403</v>
      </c>
      <c r="J4" s="88">
        <v>50.0</v>
      </c>
      <c r="K4" s="88">
        <v>50.0</v>
      </c>
      <c r="L4" s="88">
        <v>0.0</v>
      </c>
      <c r="M4" s="88">
        <v>0.0</v>
      </c>
      <c r="N4" s="89">
        <f t="shared" ref="N4:N19" si="1">F4*J4%</f>
        <v>11070000</v>
      </c>
      <c r="O4" s="89">
        <f t="shared" ref="O4:O19" si="2">F4*K4%</f>
        <v>11070000</v>
      </c>
    </row>
    <row r="5">
      <c r="A5" s="81"/>
      <c r="B5" s="82">
        <v>2.0</v>
      </c>
      <c r="C5" s="82" t="s">
        <v>404</v>
      </c>
      <c r="D5" s="84">
        <v>205394.0</v>
      </c>
      <c r="E5" s="82">
        <v>144000.0</v>
      </c>
      <c r="F5" s="85">
        <v>1.0332E7</v>
      </c>
      <c r="G5" s="86" t="s">
        <v>405</v>
      </c>
      <c r="H5" s="86" t="s">
        <v>406</v>
      </c>
      <c r="I5" s="87" t="s">
        <v>407</v>
      </c>
      <c r="J5" s="88">
        <v>50.0</v>
      </c>
      <c r="K5" s="88">
        <v>50.0</v>
      </c>
      <c r="L5" s="88">
        <v>0.0</v>
      </c>
      <c r="M5" s="88">
        <v>0.0</v>
      </c>
      <c r="N5" s="89">
        <f t="shared" si="1"/>
        <v>5166000</v>
      </c>
      <c r="O5" s="89">
        <f t="shared" si="2"/>
        <v>5166000</v>
      </c>
    </row>
    <row r="6">
      <c r="A6" s="81"/>
      <c r="B6" s="82">
        <v>3.0</v>
      </c>
      <c r="C6" s="83">
        <v>45109.0</v>
      </c>
      <c r="D6" s="84">
        <v>205178.0</v>
      </c>
      <c r="E6" s="82">
        <v>360000.0</v>
      </c>
      <c r="F6" s="85">
        <v>1.3284E7</v>
      </c>
      <c r="G6" s="86" t="s">
        <v>408</v>
      </c>
      <c r="H6" s="86" t="s">
        <v>406</v>
      </c>
      <c r="I6" s="87" t="s">
        <v>407</v>
      </c>
      <c r="J6" s="88">
        <v>30.0</v>
      </c>
      <c r="K6" s="88">
        <v>70.0</v>
      </c>
      <c r="L6" s="88">
        <v>0.0</v>
      </c>
      <c r="M6" s="88">
        <v>0.0</v>
      </c>
      <c r="N6" s="89">
        <f t="shared" si="1"/>
        <v>3985200</v>
      </c>
      <c r="O6" s="89">
        <f t="shared" si="2"/>
        <v>9298800</v>
      </c>
    </row>
    <row r="7">
      <c r="A7" s="81"/>
      <c r="B7" s="82">
        <v>4.0</v>
      </c>
      <c r="C7" s="82" t="s">
        <v>409</v>
      </c>
      <c r="D7" s="84">
        <v>205485.0</v>
      </c>
      <c r="E7" s="82">
        <v>384000.0</v>
      </c>
      <c r="F7" s="85">
        <v>4.0344E7</v>
      </c>
      <c r="G7" s="86" t="s">
        <v>410</v>
      </c>
      <c r="H7" s="86" t="s">
        <v>411</v>
      </c>
      <c r="I7" s="87" t="s">
        <v>412</v>
      </c>
      <c r="J7" s="88">
        <v>10.0</v>
      </c>
      <c r="K7" s="88">
        <v>90.0</v>
      </c>
      <c r="L7" s="88">
        <v>0.0</v>
      </c>
      <c r="M7" s="88">
        <v>0.0</v>
      </c>
      <c r="N7" s="89">
        <f t="shared" si="1"/>
        <v>4034400</v>
      </c>
      <c r="O7" s="89">
        <f t="shared" si="2"/>
        <v>36309600</v>
      </c>
    </row>
    <row r="8">
      <c r="A8" s="81"/>
      <c r="B8" s="82">
        <v>5.0</v>
      </c>
      <c r="C8" s="83">
        <v>45047.0</v>
      </c>
      <c r="D8" s="84">
        <v>205066.0</v>
      </c>
      <c r="E8" s="82">
        <v>72000.0</v>
      </c>
      <c r="F8" s="85">
        <v>1804000.0</v>
      </c>
      <c r="G8" s="86" t="s">
        <v>413</v>
      </c>
      <c r="H8" s="86" t="s">
        <v>414</v>
      </c>
      <c r="I8" s="87" t="s">
        <v>415</v>
      </c>
      <c r="J8" s="88">
        <v>50.0</v>
      </c>
      <c r="K8" s="88">
        <v>50.0</v>
      </c>
      <c r="L8" s="88">
        <v>0.0</v>
      </c>
      <c r="M8" s="88">
        <v>0.0</v>
      </c>
      <c r="N8" s="89">
        <f t="shared" si="1"/>
        <v>902000</v>
      </c>
      <c r="O8" s="89">
        <f t="shared" si="2"/>
        <v>902000</v>
      </c>
    </row>
    <row r="9">
      <c r="A9" s="81"/>
      <c r="B9" s="82">
        <v>6.0</v>
      </c>
      <c r="C9" s="83">
        <v>45170.0</v>
      </c>
      <c r="D9" s="84">
        <v>205087.0</v>
      </c>
      <c r="E9" s="82">
        <v>338000.0</v>
      </c>
      <c r="F9" s="85">
        <v>1.0168E7</v>
      </c>
      <c r="G9" s="86" t="s">
        <v>416</v>
      </c>
      <c r="H9" s="86" t="s">
        <v>417</v>
      </c>
      <c r="I9" s="87" t="s">
        <v>418</v>
      </c>
      <c r="J9" s="88">
        <v>0.0</v>
      </c>
      <c r="K9" s="88">
        <v>100.0</v>
      </c>
      <c r="L9" s="88">
        <v>0.0</v>
      </c>
      <c r="M9" s="88">
        <v>0.0</v>
      </c>
      <c r="N9" s="89">
        <f t="shared" si="1"/>
        <v>0</v>
      </c>
      <c r="O9" s="89">
        <f t="shared" si="2"/>
        <v>10168000</v>
      </c>
    </row>
    <row r="10">
      <c r="A10" s="81"/>
      <c r="B10" s="82">
        <v>7.0</v>
      </c>
      <c r="C10" s="82" t="s">
        <v>419</v>
      </c>
      <c r="D10" s="84">
        <v>2270055.0</v>
      </c>
      <c r="E10" s="82">
        <v>30000.0</v>
      </c>
      <c r="F10" s="85">
        <v>2460000.0</v>
      </c>
      <c r="G10" s="86" t="s">
        <v>420</v>
      </c>
      <c r="H10" s="86" t="s">
        <v>421</v>
      </c>
      <c r="I10" s="87" t="s">
        <v>422</v>
      </c>
      <c r="J10" s="88">
        <v>0.0</v>
      </c>
      <c r="K10" s="88">
        <v>100.0</v>
      </c>
      <c r="L10" s="88">
        <v>0.0</v>
      </c>
      <c r="M10" s="88">
        <v>0.0</v>
      </c>
      <c r="N10" s="89">
        <f t="shared" si="1"/>
        <v>0</v>
      </c>
      <c r="O10" s="89">
        <f t="shared" si="2"/>
        <v>2460000</v>
      </c>
    </row>
    <row r="11">
      <c r="A11" s="81"/>
      <c r="B11" s="82">
        <v>8.0</v>
      </c>
      <c r="C11" s="83">
        <v>45053.0</v>
      </c>
      <c r="D11" s="84">
        <v>205654.0</v>
      </c>
      <c r="E11" s="82">
        <v>60000.0</v>
      </c>
      <c r="F11" s="85">
        <v>4920000.0</v>
      </c>
      <c r="G11" s="86" t="s">
        <v>423</v>
      </c>
      <c r="H11" s="86" t="s">
        <v>421</v>
      </c>
      <c r="I11" s="87" t="s">
        <v>422</v>
      </c>
      <c r="J11" s="88">
        <v>20.0</v>
      </c>
      <c r="K11" s="88">
        <v>80.0</v>
      </c>
      <c r="L11" s="88">
        <v>0.0</v>
      </c>
      <c r="M11" s="88">
        <v>0.0</v>
      </c>
      <c r="N11" s="89">
        <f t="shared" si="1"/>
        <v>984000</v>
      </c>
      <c r="O11" s="89">
        <f t="shared" si="2"/>
        <v>3936000</v>
      </c>
    </row>
    <row r="12">
      <c r="A12" s="81"/>
      <c r="B12" s="82">
        <v>9.0</v>
      </c>
      <c r="C12" s="83">
        <v>44938.0</v>
      </c>
      <c r="D12" s="84">
        <v>204959.0</v>
      </c>
      <c r="E12" s="82">
        <v>360000.0</v>
      </c>
      <c r="F12" s="85">
        <v>738000.0</v>
      </c>
      <c r="G12" s="86" t="s">
        <v>424</v>
      </c>
      <c r="H12" s="86" t="s">
        <v>425</v>
      </c>
      <c r="I12" s="87" t="s">
        <v>426</v>
      </c>
      <c r="J12" s="88">
        <v>0.0</v>
      </c>
      <c r="K12" s="88">
        <v>100.0</v>
      </c>
      <c r="L12" s="88">
        <v>0.0</v>
      </c>
      <c r="M12" s="88">
        <v>0.0</v>
      </c>
      <c r="N12" s="89">
        <f t="shared" si="1"/>
        <v>0</v>
      </c>
      <c r="O12" s="89">
        <f t="shared" si="2"/>
        <v>738000</v>
      </c>
    </row>
    <row r="13">
      <c r="A13" s="81"/>
      <c r="B13" s="82">
        <v>10.0</v>
      </c>
      <c r="C13" s="82" t="s">
        <v>427</v>
      </c>
      <c r="D13" s="84">
        <v>205148.0</v>
      </c>
      <c r="E13" s="82">
        <v>432000.0</v>
      </c>
      <c r="F13" s="85">
        <v>1.066E7</v>
      </c>
      <c r="G13" s="86" t="s">
        <v>428</v>
      </c>
      <c r="H13" s="86" t="s">
        <v>421</v>
      </c>
      <c r="I13" s="87" t="s">
        <v>422</v>
      </c>
      <c r="J13" s="88">
        <v>10.0</v>
      </c>
      <c r="K13" s="88">
        <v>90.0</v>
      </c>
      <c r="L13" s="88">
        <v>0.0</v>
      </c>
      <c r="M13" s="88">
        <v>0.0</v>
      </c>
      <c r="N13" s="89">
        <f t="shared" si="1"/>
        <v>1066000</v>
      </c>
      <c r="O13" s="89">
        <f t="shared" si="2"/>
        <v>9594000</v>
      </c>
    </row>
    <row r="14">
      <c r="A14" s="81"/>
      <c r="B14" s="82">
        <v>11.0</v>
      </c>
      <c r="C14" s="82" t="s">
        <v>429</v>
      </c>
      <c r="D14" s="84">
        <v>205253.0</v>
      </c>
      <c r="E14" s="82">
        <v>252000.0</v>
      </c>
      <c r="F14" s="85">
        <v>1.1644E7</v>
      </c>
      <c r="G14" s="86" t="s">
        <v>430</v>
      </c>
      <c r="H14" s="86" t="s">
        <v>431</v>
      </c>
      <c r="I14" s="87" t="s">
        <v>432</v>
      </c>
      <c r="J14" s="88">
        <v>50.0</v>
      </c>
      <c r="K14" s="88">
        <v>50.0</v>
      </c>
      <c r="L14" s="88">
        <v>0.0</v>
      </c>
      <c r="M14" s="88">
        <v>0.0</v>
      </c>
      <c r="N14" s="89">
        <f t="shared" si="1"/>
        <v>5822000</v>
      </c>
      <c r="O14" s="89">
        <f t="shared" si="2"/>
        <v>5822000</v>
      </c>
    </row>
    <row r="15">
      <c r="A15" s="81"/>
      <c r="B15" s="82">
        <v>12.0</v>
      </c>
      <c r="C15" s="82" t="s">
        <v>433</v>
      </c>
      <c r="D15" s="84">
        <v>1.000000222E9</v>
      </c>
      <c r="E15" s="82">
        <v>30000.0</v>
      </c>
      <c r="F15" s="85">
        <v>2460000.0</v>
      </c>
      <c r="G15" s="86" t="s">
        <v>434</v>
      </c>
      <c r="H15" s="86" t="s">
        <v>435</v>
      </c>
      <c r="I15" s="87" t="s">
        <v>436</v>
      </c>
      <c r="J15" s="88">
        <v>100.0</v>
      </c>
      <c r="K15" s="88">
        <v>0.0</v>
      </c>
      <c r="L15" s="88">
        <v>0.0</v>
      </c>
      <c r="M15" s="88">
        <v>0.0</v>
      </c>
      <c r="N15" s="89">
        <f t="shared" si="1"/>
        <v>2460000</v>
      </c>
      <c r="O15" s="89">
        <f t="shared" si="2"/>
        <v>0</v>
      </c>
    </row>
    <row r="16">
      <c r="A16" s="81"/>
      <c r="B16" s="82">
        <v>13.0</v>
      </c>
      <c r="C16" s="83">
        <v>45179.0</v>
      </c>
      <c r="D16" s="84">
        <v>1.000000221E9</v>
      </c>
      <c r="E16" s="82">
        <v>96000.0</v>
      </c>
      <c r="F16" s="85">
        <v>7872000.0</v>
      </c>
      <c r="G16" s="86" t="s">
        <v>437</v>
      </c>
      <c r="H16" s="86" t="s">
        <v>438</v>
      </c>
      <c r="I16" s="87" t="s">
        <v>439</v>
      </c>
      <c r="J16" s="88">
        <v>80.0</v>
      </c>
      <c r="K16" s="88">
        <v>20.0</v>
      </c>
      <c r="L16" s="88">
        <v>0.0</v>
      </c>
      <c r="M16" s="88">
        <v>0.0</v>
      </c>
      <c r="N16" s="89">
        <f t="shared" si="1"/>
        <v>6297600</v>
      </c>
      <c r="O16" s="89">
        <f t="shared" si="2"/>
        <v>1574400</v>
      </c>
    </row>
    <row r="17">
      <c r="A17" s="81"/>
      <c r="B17" s="82">
        <v>14.0</v>
      </c>
      <c r="C17" s="82" t="s">
        <v>440</v>
      </c>
      <c r="D17" s="84">
        <v>1.000000178E9</v>
      </c>
      <c r="E17" s="82">
        <v>60000.0</v>
      </c>
      <c r="F17" s="85">
        <v>4920000.0</v>
      </c>
      <c r="G17" s="86" t="s">
        <v>441</v>
      </c>
      <c r="H17" s="86" t="s">
        <v>442</v>
      </c>
      <c r="I17" s="87" t="s">
        <v>443</v>
      </c>
      <c r="J17" s="88">
        <v>0.0</v>
      </c>
      <c r="K17" s="88">
        <v>100.0</v>
      </c>
      <c r="L17" s="88">
        <v>0.0</v>
      </c>
      <c r="M17" s="88">
        <v>0.0</v>
      </c>
      <c r="N17" s="89">
        <f t="shared" si="1"/>
        <v>0</v>
      </c>
      <c r="O17" s="89">
        <f t="shared" si="2"/>
        <v>4920000</v>
      </c>
    </row>
    <row r="18">
      <c r="A18" s="81"/>
      <c r="B18" s="82">
        <v>15.0</v>
      </c>
      <c r="C18" s="82" t="s">
        <v>444</v>
      </c>
      <c r="D18" s="84">
        <v>1.000000248E9</v>
      </c>
      <c r="E18" s="82">
        <v>100000.0</v>
      </c>
      <c r="F18" s="85">
        <v>7380000.0</v>
      </c>
      <c r="G18" s="86" t="s">
        <v>445</v>
      </c>
      <c r="H18" s="86" t="s">
        <v>446</v>
      </c>
      <c r="I18" s="87" t="s">
        <v>447</v>
      </c>
      <c r="J18" s="88">
        <v>0.0</v>
      </c>
      <c r="K18" s="88">
        <v>100.0</v>
      </c>
      <c r="L18" s="88">
        <v>0.0</v>
      </c>
      <c r="M18" s="88">
        <v>0.0</v>
      </c>
      <c r="N18" s="89">
        <f t="shared" si="1"/>
        <v>0</v>
      </c>
      <c r="O18" s="89">
        <f t="shared" si="2"/>
        <v>7380000</v>
      </c>
    </row>
    <row r="19">
      <c r="A19" s="81"/>
      <c r="B19" s="82">
        <v>16.0</v>
      </c>
      <c r="C19" s="82" t="s">
        <v>448</v>
      </c>
      <c r="D19" s="84">
        <v>1.000000317E9</v>
      </c>
      <c r="E19" s="82">
        <v>36000.0</v>
      </c>
      <c r="F19" s="85">
        <v>2952000.0</v>
      </c>
      <c r="G19" s="86" t="s">
        <v>449</v>
      </c>
      <c r="H19" s="86" t="s">
        <v>450</v>
      </c>
      <c r="I19" s="87" t="s">
        <v>451</v>
      </c>
      <c r="J19" s="88">
        <v>10.0</v>
      </c>
      <c r="K19" s="88">
        <v>90.0</v>
      </c>
      <c r="L19" s="88">
        <v>0.0</v>
      </c>
      <c r="M19" s="88">
        <v>0.0</v>
      </c>
      <c r="N19" s="89">
        <f t="shared" si="1"/>
        <v>295200</v>
      </c>
      <c r="O19" s="89">
        <f t="shared" si="2"/>
        <v>2656800</v>
      </c>
    </row>
    <row r="20">
      <c r="A20" s="90"/>
      <c r="B20" s="90"/>
      <c r="C20" s="90"/>
      <c r="D20" s="90"/>
      <c r="E20" s="90"/>
      <c r="F20" s="91">
        <v>1.54078E8</v>
      </c>
      <c r="G20" s="90"/>
      <c r="N20" s="92">
        <f t="shared" ref="N20:O20" si="3">SUM(N4:N19)</f>
        <v>42082400</v>
      </c>
      <c r="O20" s="92">
        <f t="shared" si="3"/>
        <v>111995600</v>
      </c>
    </row>
  </sheetData>
  <dataValidations>
    <dataValidation type="list" allowBlank="1" showErrorMessage="1" sqref="J4:M19">
      <formula1>"0,10,20,30,40,50,60,70,80,90,100"</formula1>
    </dataValidation>
  </dataValidations>
  <hyperlinks>
    <hyperlink r:id="rId1" ref="B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.71"/>
    <col customWidth="1" min="3" max="3" width="11.29"/>
    <col customWidth="1" min="4" max="4" width="13.14"/>
    <col customWidth="1" min="5" max="5" width="21.86"/>
    <col customWidth="1" min="6" max="6" width="24.0"/>
    <col customWidth="1" min="7" max="7" width="40.86"/>
    <col customWidth="1" min="8" max="8" width="38.14"/>
    <col customWidth="1" min="9" max="9" width="11.14"/>
    <col customWidth="1" min="10" max="10" width="13.0"/>
    <col customWidth="1" min="11" max="11" width="16.86"/>
    <col customWidth="1" min="12" max="12" width="11.0"/>
    <col customWidth="1" min="13" max="13" width="38.14"/>
    <col customWidth="1" min="14" max="14" width="18.57"/>
  </cols>
  <sheetData>
    <row r="3">
      <c r="B3" s="79" t="s">
        <v>393</v>
      </c>
      <c r="C3" s="80" t="s">
        <v>6</v>
      </c>
      <c r="D3" s="80" t="s">
        <v>394</v>
      </c>
      <c r="E3" s="80" t="s">
        <v>395</v>
      </c>
      <c r="F3" s="80" t="s">
        <v>396</v>
      </c>
      <c r="G3" s="80" t="s">
        <v>397</v>
      </c>
      <c r="H3" s="80" t="s">
        <v>399</v>
      </c>
      <c r="I3" s="80" t="s">
        <v>12</v>
      </c>
      <c r="J3" s="80" t="s">
        <v>13</v>
      </c>
      <c r="K3" s="80" t="s">
        <v>400</v>
      </c>
      <c r="L3" s="80" t="s">
        <v>15</v>
      </c>
      <c r="M3" s="10" t="s">
        <v>452</v>
      </c>
      <c r="N3" s="10" t="s">
        <v>16</v>
      </c>
      <c r="O3" s="10" t="s">
        <v>453</v>
      </c>
      <c r="P3" s="10" t="s">
        <v>454</v>
      </c>
    </row>
    <row r="4">
      <c r="B4" s="93">
        <v>1.0</v>
      </c>
      <c r="C4" s="93" t="s">
        <v>455</v>
      </c>
      <c r="D4" s="93">
        <v>247948.0</v>
      </c>
      <c r="E4" s="93">
        <v>21000.0</v>
      </c>
      <c r="F4" s="94">
        <f t="shared" ref="F4:F5" si="2">E4*82.5</f>
        <v>1732500</v>
      </c>
      <c r="G4" s="93" t="s">
        <v>456</v>
      </c>
      <c r="H4" s="95" t="s">
        <v>457</v>
      </c>
      <c r="I4" s="88">
        <v>0.0</v>
      </c>
      <c r="J4" s="88">
        <v>100.0</v>
      </c>
      <c r="K4" s="88">
        <v>0.0</v>
      </c>
      <c r="L4" s="88">
        <v>0.0</v>
      </c>
      <c r="N4" s="94">
        <f t="shared" ref="N4:P4" si="1">$F$4*I4%</f>
        <v>0</v>
      </c>
      <c r="O4" s="94">
        <f t="shared" si="1"/>
        <v>1732500</v>
      </c>
      <c r="P4" s="94">
        <f t="shared" si="1"/>
        <v>0</v>
      </c>
    </row>
    <row r="5">
      <c r="B5" s="93">
        <v>2.0</v>
      </c>
      <c r="C5" s="94"/>
      <c r="D5" s="94"/>
      <c r="E5" s="93">
        <v>21000.0</v>
      </c>
      <c r="F5" s="94">
        <f t="shared" si="2"/>
        <v>1732500</v>
      </c>
      <c r="G5" s="93" t="s">
        <v>458</v>
      </c>
      <c r="H5" s="95" t="s">
        <v>459</v>
      </c>
      <c r="I5" s="88">
        <v>40.0</v>
      </c>
      <c r="J5" s="88">
        <v>30.0</v>
      </c>
      <c r="K5" s="88">
        <v>30.0</v>
      </c>
      <c r="L5" s="88">
        <v>0.0</v>
      </c>
      <c r="M5" s="77" t="s">
        <v>460</v>
      </c>
      <c r="N5" s="94">
        <f t="shared" ref="N5:P5" si="3">$F$5*I5%</f>
        <v>693000</v>
      </c>
      <c r="O5" s="94">
        <f t="shared" si="3"/>
        <v>519750</v>
      </c>
      <c r="P5" s="94">
        <f t="shared" si="3"/>
        <v>519750</v>
      </c>
    </row>
    <row r="6">
      <c r="B6" s="93">
        <v>3.0</v>
      </c>
      <c r="C6" s="93" t="s">
        <v>461</v>
      </c>
      <c r="D6" s="93" t="s">
        <v>462</v>
      </c>
      <c r="E6" s="93">
        <v>0.0</v>
      </c>
      <c r="F6" s="93">
        <v>1300000.0</v>
      </c>
      <c r="G6" s="93" t="s">
        <v>463</v>
      </c>
      <c r="H6" s="95" t="s">
        <v>464</v>
      </c>
      <c r="I6" s="88">
        <v>0.0</v>
      </c>
      <c r="J6" s="88">
        <v>100.0</v>
      </c>
      <c r="K6" s="88">
        <v>0.0</v>
      </c>
      <c r="L6" s="88">
        <v>0.0</v>
      </c>
      <c r="N6" s="94">
        <f t="shared" ref="N6:P6" si="4">$F$6*I6%</f>
        <v>0</v>
      </c>
      <c r="O6" s="94">
        <f t="shared" si="4"/>
        <v>1300000</v>
      </c>
      <c r="P6" s="94">
        <f t="shared" si="4"/>
        <v>0</v>
      </c>
    </row>
    <row r="7">
      <c r="B7" s="93">
        <v>3.0</v>
      </c>
      <c r="C7" s="96">
        <v>45052.0</v>
      </c>
      <c r="D7" s="93" t="s">
        <v>465</v>
      </c>
      <c r="E7" s="93">
        <v>0.0</v>
      </c>
      <c r="F7" s="93">
        <v>1500000.0</v>
      </c>
      <c r="G7" s="93" t="s">
        <v>466</v>
      </c>
      <c r="H7" s="95" t="s">
        <v>464</v>
      </c>
      <c r="I7" s="88">
        <v>100.0</v>
      </c>
      <c r="J7" s="88">
        <v>0.0</v>
      </c>
      <c r="K7" s="88">
        <v>0.0</v>
      </c>
      <c r="L7" s="88">
        <v>0.0</v>
      </c>
      <c r="N7" s="94">
        <f t="shared" ref="N7:P7" si="5">$F$7*I7%</f>
        <v>1500000</v>
      </c>
      <c r="O7" s="94">
        <f t="shared" si="5"/>
        <v>0</v>
      </c>
      <c r="P7" s="94">
        <f t="shared" si="5"/>
        <v>0</v>
      </c>
    </row>
    <row r="8">
      <c r="F8" s="60">
        <f>SUM(F4:F7)</f>
        <v>6265000</v>
      </c>
      <c r="N8" s="97">
        <f t="shared" ref="N8:P8" si="6">SUM(N4:N7)</f>
        <v>2193000</v>
      </c>
      <c r="O8" s="97">
        <f t="shared" si="6"/>
        <v>3552250</v>
      </c>
      <c r="P8" s="97">
        <f t="shared" si="6"/>
        <v>519750</v>
      </c>
    </row>
    <row r="11">
      <c r="M11" s="10" t="s">
        <v>467</v>
      </c>
      <c r="N11" s="10" t="s">
        <v>16</v>
      </c>
      <c r="O11" s="10" t="s">
        <v>453</v>
      </c>
      <c r="P11" s="10" t="s">
        <v>454</v>
      </c>
    </row>
    <row r="12">
      <c r="M12" s="95" t="s">
        <v>457</v>
      </c>
      <c r="N12" s="94">
        <v>0.0</v>
      </c>
      <c r="O12" s="94">
        <v>1732500.0</v>
      </c>
      <c r="P12" s="94">
        <v>0.0</v>
      </c>
    </row>
    <row r="13">
      <c r="M13" s="95" t="s">
        <v>459</v>
      </c>
      <c r="N13" s="94">
        <v>693000.0</v>
      </c>
      <c r="O13" s="94">
        <v>519750.0</v>
      </c>
      <c r="P13" s="94">
        <v>519750.0</v>
      </c>
    </row>
    <row r="14">
      <c r="M14" s="95" t="s">
        <v>464</v>
      </c>
      <c r="N14" s="94">
        <v>0.0</v>
      </c>
      <c r="O14" s="94">
        <v>1300000.0</v>
      </c>
      <c r="P14" s="94">
        <v>0.0</v>
      </c>
    </row>
    <row r="15">
      <c r="M15" s="95" t="s">
        <v>464</v>
      </c>
      <c r="N15" s="94">
        <v>1500000.0</v>
      </c>
      <c r="O15" s="94">
        <v>0.0</v>
      </c>
      <c r="P15" s="94">
        <v>0.0</v>
      </c>
    </row>
    <row r="16">
      <c r="M16" s="95" t="s">
        <v>468</v>
      </c>
      <c r="N16" s="94">
        <v>0.0</v>
      </c>
      <c r="O16" s="94">
        <v>1359318.0</v>
      </c>
      <c r="P16" s="94">
        <v>0.0</v>
      </c>
    </row>
    <row r="17">
      <c r="M17" s="77" t="s">
        <v>381</v>
      </c>
      <c r="N17" s="97"/>
      <c r="O17" s="97"/>
      <c r="P17" s="97"/>
    </row>
    <row r="19"/>
    <row r="20"/>
    <row r="21"/>
    <row r="22"/>
    <row r="23"/>
    <row r="24"/>
  </sheetData>
  <dataValidations>
    <dataValidation type="list" allowBlank="1" showErrorMessage="1" sqref="I4:L7">
      <formula1>"0,10,20,30,40,50,60,70,80,90,100"</formula1>
    </dataValidation>
  </dataValidations>
  <hyperlinks>
    <hyperlink r:id="rId2" ref="B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>
      <c r="B3" s="79" t="s">
        <v>393</v>
      </c>
      <c r="C3" s="80" t="s">
        <v>6</v>
      </c>
      <c r="D3" s="80" t="s">
        <v>394</v>
      </c>
      <c r="E3" s="80" t="s">
        <v>395</v>
      </c>
      <c r="F3" s="80" t="s">
        <v>396</v>
      </c>
      <c r="G3" s="80" t="s">
        <v>397</v>
      </c>
      <c r="H3" s="80" t="s">
        <v>399</v>
      </c>
      <c r="I3" s="80" t="s">
        <v>12</v>
      </c>
      <c r="J3" s="80" t="s">
        <v>13</v>
      </c>
      <c r="K3" s="80" t="s">
        <v>400</v>
      </c>
      <c r="L3" s="80" t="s">
        <v>15</v>
      </c>
      <c r="M3" s="10" t="s">
        <v>452</v>
      </c>
      <c r="N3" s="10" t="s">
        <v>16</v>
      </c>
      <c r="O3" s="10" t="s">
        <v>453</v>
      </c>
      <c r="P3" s="10" t="s">
        <v>454</v>
      </c>
    </row>
    <row r="4">
      <c r="B4" s="93">
        <v>1.0</v>
      </c>
      <c r="C4" s="93" t="s">
        <v>458</v>
      </c>
      <c r="D4" s="93" t="s">
        <v>458</v>
      </c>
      <c r="E4" s="93" t="s">
        <v>458</v>
      </c>
      <c r="F4" s="93">
        <v>1359318.0</v>
      </c>
      <c r="G4" s="94"/>
      <c r="H4" s="95" t="s">
        <v>468</v>
      </c>
      <c r="I4" s="88">
        <v>0.0</v>
      </c>
      <c r="J4" s="88">
        <v>100.0</v>
      </c>
      <c r="K4" s="88">
        <v>0.0</v>
      </c>
      <c r="L4" s="88">
        <v>0.0</v>
      </c>
      <c r="N4" s="94">
        <f>$F$8*I4%</f>
        <v>0</v>
      </c>
      <c r="O4" s="94">
        <f>F4*J4%</f>
        <v>1359318</v>
      </c>
      <c r="P4" s="94">
        <f>$F$8*K4%</f>
        <v>0</v>
      </c>
    </row>
  </sheetData>
  <dataValidations>
    <dataValidation type="list" allowBlank="1" showErrorMessage="1" sqref="I4:L4">
      <formula1>"0,10,20,30,40,50,60,70,80,90,100"</formula1>
    </dataValidation>
  </dataValidations>
  <hyperlinks>
    <hyperlink r:id="rId1" ref="B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21.86"/>
    <col customWidth="1" min="7" max="7" width="24.0"/>
    <col customWidth="1" min="8" max="8" width="38.0"/>
    <col customWidth="1" min="9" max="9" width="51.86"/>
  </cols>
  <sheetData>
    <row r="2">
      <c r="C2" s="79" t="s">
        <v>393</v>
      </c>
      <c r="D2" s="80" t="s">
        <v>6</v>
      </c>
      <c r="E2" s="80" t="s">
        <v>394</v>
      </c>
      <c r="F2" s="80" t="s">
        <v>395</v>
      </c>
      <c r="G2" s="80" t="s">
        <v>396</v>
      </c>
      <c r="H2" s="80" t="s">
        <v>397</v>
      </c>
      <c r="I2" s="80" t="s">
        <v>399</v>
      </c>
      <c r="J2" s="80" t="s">
        <v>12</v>
      </c>
      <c r="K2" s="80" t="s">
        <v>13</v>
      </c>
      <c r="L2" s="80" t="s">
        <v>400</v>
      </c>
      <c r="M2" s="80" t="s">
        <v>15</v>
      </c>
      <c r="O2" s="10" t="s">
        <v>16</v>
      </c>
      <c r="P2" s="10" t="s">
        <v>453</v>
      </c>
      <c r="Q2" s="10" t="s">
        <v>454</v>
      </c>
    </row>
    <row r="3">
      <c r="C3" s="93">
        <v>1.0</v>
      </c>
      <c r="D3" s="96">
        <v>45239.0</v>
      </c>
      <c r="E3" s="93" t="s">
        <v>471</v>
      </c>
      <c r="F3" s="93">
        <v>0.0</v>
      </c>
      <c r="G3" s="93">
        <v>6900000.0</v>
      </c>
      <c r="H3" s="93" t="s">
        <v>472</v>
      </c>
      <c r="I3" s="95" t="s">
        <v>473</v>
      </c>
      <c r="J3" s="88">
        <v>10.0</v>
      </c>
      <c r="K3" s="88">
        <v>10.0</v>
      </c>
      <c r="L3" s="88">
        <v>80.0</v>
      </c>
      <c r="M3" s="88">
        <v>0.0</v>
      </c>
      <c r="N3" s="95"/>
      <c r="O3" s="94">
        <f t="shared" ref="O3:Q3" si="1">$G$3*J3%</f>
        <v>690000</v>
      </c>
      <c r="P3" s="94">
        <f t="shared" si="1"/>
        <v>690000</v>
      </c>
      <c r="Q3" s="94">
        <f t="shared" si="1"/>
        <v>5520000</v>
      </c>
    </row>
    <row r="4">
      <c r="C4" s="93">
        <v>1.0</v>
      </c>
      <c r="D4" s="96">
        <v>45239.0</v>
      </c>
      <c r="E4" s="93" t="s">
        <v>471</v>
      </c>
      <c r="F4" s="93">
        <v>0.0</v>
      </c>
      <c r="G4" s="93">
        <v>9600000.0</v>
      </c>
      <c r="H4" s="93" t="s">
        <v>474</v>
      </c>
      <c r="I4" s="95" t="s">
        <v>473</v>
      </c>
      <c r="J4" s="88">
        <v>50.0</v>
      </c>
      <c r="K4" s="88">
        <v>50.0</v>
      </c>
      <c r="L4" s="88">
        <v>0.0</v>
      </c>
      <c r="M4" s="88">
        <v>0.0</v>
      </c>
      <c r="N4" s="95"/>
      <c r="O4" s="94">
        <f t="shared" ref="O4:Q4" si="2">$G$4*J4%</f>
        <v>4800000</v>
      </c>
      <c r="P4" s="94">
        <f t="shared" si="2"/>
        <v>4800000</v>
      </c>
      <c r="Q4" s="94">
        <f t="shared" si="2"/>
        <v>0</v>
      </c>
    </row>
    <row r="5">
      <c r="C5" s="93">
        <v>2.0</v>
      </c>
      <c r="D5" s="93" t="s">
        <v>433</v>
      </c>
      <c r="E5" s="93" t="s">
        <v>475</v>
      </c>
      <c r="F5" s="93">
        <v>0.0</v>
      </c>
      <c r="G5" s="93">
        <v>4100000.0</v>
      </c>
      <c r="H5" s="93" t="s">
        <v>476</v>
      </c>
      <c r="I5" s="95" t="s">
        <v>477</v>
      </c>
      <c r="J5" s="88">
        <v>0.0</v>
      </c>
      <c r="K5" s="88">
        <v>100.0</v>
      </c>
      <c r="L5" s="88">
        <v>0.0</v>
      </c>
      <c r="M5" s="88">
        <v>0.0</v>
      </c>
      <c r="N5" s="95"/>
      <c r="O5" s="94">
        <f t="shared" ref="O5:Q5" si="3">$G$5*J5%</f>
        <v>0</v>
      </c>
      <c r="P5" s="94">
        <f t="shared" si="3"/>
        <v>4100000</v>
      </c>
      <c r="Q5" s="94">
        <f t="shared" si="3"/>
        <v>0</v>
      </c>
    </row>
    <row r="6">
      <c r="C6" s="93">
        <v>3.0</v>
      </c>
      <c r="D6" s="93" t="s">
        <v>478</v>
      </c>
      <c r="E6" s="93" t="s">
        <v>479</v>
      </c>
      <c r="F6" s="93">
        <v>0.0</v>
      </c>
      <c r="G6" s="93">
        <v>1.28E7</v>
      </c>
      <c r="H6" s="93" t="s">
        <v>480</v>
      </c>
      <c r="I6" s="95" t="s">
        <v>481</v>
      </c>
      <c r="J6" s="88">
        <v>30.0</v>
      </c>
      <c r="K6" s="88">
        <v>70.0</v>
      </c>
      <c r="L6" s="88">
        <v>0.0</v>
      </c>
      <c r="M6" s="88">
        <v>0.0</v>
      </c>
      <c r="N6" s="95"/>
      <c r="O6" s="94">
        <f t="shared" ref="O6:Q6" si="4">$G$6*J6%</f>
        <v>3840000</v>
      </c>
      <c r="P6" s="94">
        <f t="shared" si="4"/>
        <v>8960000</v>
      </c>
      <c r="Q6" s="94">
        <f t="shared" si="4"/>
        <v>0</v>
      </c>
    </row>
    <row r="7">
      <c r="C7" s="93">
        <v>4.0</v>
      </c>
      <c r="D7" s="93" t="s">
        <v>482</v>
      </c>
      <c r="E7" s="93" t="s">
        <v>483</v>
      </c>
      <c r="F7" s="93">
        <v>0.0</v>
      </c>
      <c r="G7" s="93">
        <v>4187000.0</v>
      </c>
      <c r="H7" s="93" t="s">
        <v>484</v>
      </c>
      <c r="I7" s="95" t="s">
        <v>485</v>
      </c>
      <c r="J7" s="88">
        <v>40.0</v>
      </c>
      <c r="K7" s="88">
        <v>30.0</v>
      </c>
      <c r="L7" s="88">
        <v>30.0</v>
      </c>
      <c r="M7" s="88">
        <v>0.0</v>
      </c>
      <c r="N7" s="95"/>
      <c r="O7" s="94">
        <f t="shared" ref="O7:Q7" si="5">$G$7*J7%</f>
        <v>1674800</v>
      </c>
      <c r="P7" s="94">
        <f t="shared" si="5"/>
        <v>1256100</v>
      </c>
      <c r="Q7" s="94">
        <f t="shared" si="5"/>
        <v>1256100</v>
      </c>
    </row>
    <row r="8">
      <c r="E8" s="77" t="s">
        <v>486</v>
      </c>
      <c r="G8" s="60">
        <f>SUM(G3:G7)</f>
        <v>37587000</v>
      </c>
      <c r="O8" s="97">
        <f t="shared" ref="O8:Q8" si="6">SUM(O3:O7)</f>
        <v>11004800</v>
      </c>
      <c r="P8" s="97">
        <f t="shared" si="6"/>
        <v>19806100</v>
      </c>
      <c r="Q8" s="97">
        <f t="shared" si="6"/>
        <v>6776100</v>
      </c>
    </row>
    <row r="13">
      <c r="N13" s="77" t="s">
        <v>487</v>
      </c>
      <c r="O13" s="10" t="s">
        <v>16</v>
      </c>
      <c r="P13" s="10" t="s">
        <v>453</v>
      </c>
      <c r="Q13" s="10" t="s">
        <v>454</v>
      </c>
    </row>
    <row r="14">
      <c r="N14" s="95" t="s">
        <v>473</v>
      </c>
      <c r="O14" s="94">
        <v>5490000.0</v>
      </c>
      <c r="P14" s="94">
        <v>5490000.0</v>
      </c>
      <c r="Q14" s="94">
        <v>5520000.0</v>
      </c>
    </row>
    <row r="15">
      <c r="N15" s="95" t="s">
        <v>477</v>
      </c>
      <c r="O15" s="94">
        <v>0.0</v>
      </c>
      <c r="P15" s="94">
        <v>4100000.0</v>
      </c>
      <c r="Q15" s="94">
        <v>0.0</v>
      </c>
    </row>
    <row r="16">
      <c r="N16" s="95" t="s">
        <v>481</v>
      </c>
      <c r="O16" s="94">
        <v>3840000.0</v>
      </c>
      <c r="P16" s="94">
        <v>8960000.0</v>
      </c>
      <c r="Q16" s="94">
        <v>0.0</v>
      </c>
    </row>
    <row r="17">
      <c r="N17" s="95" t="s">
        <v>485</v>
      </c>
      <c r="O17" s="94">
        <v>1674800.0</v>
      </c>
      <c r="P17" s="94">
        <v>1256100.0</v>
      </c>
      <c r="Q17" s="94">
        <v>1256100.0</v>
      </c>
    </row>
    <row r="18">
      <c r="O18" s="97">
        <v>1.10048E7</v>
      </c>
      <c r="P18" s="97">
        <v>1.98061E7</v>
      </c>
      <c r="Q18" s="97">
        <v>6776100.0</v>
      </c>
    </row>
  </sheetData>
  <dataValidations>
    <dataValidation type="list" allowBlank="1" showErrorMessage="1" sqref="J3:M7">
      <formula1>"0,10,20,30,40,50,60,70,80,90,100"</formula1>
    </dataValidation>
  </dataValidations>
  <hyperlinks>
    <hyperlink r:id="rId1" ref="C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5.71"/>
    <col customWidth="1" min="3" max="4" width="11.29"/>
    <col customWidth="1" min="5" max="5" width="21.86"/>
    <col customWidth="1" min="6" max="6" width="24.0"/>
    <col customWidth="1" min="7" max="7" width="40.14"/>
    <col customWidth="1" hidden="1" min="8" max="8" width="21.71"/>
    <col customWidth="1" min="9" max="9" width="31.57"/>
    <col customWidth="1" min="10" max="10" width="11.14"/>
    <col customWidth="1" min="11" max="11" width="13.0"/>
    <col customWidth="1" min="12" max="12" width="16.86"/>
    <col customWidth="1" min="13" max="13" width="11.0"/>
    <col customWidth="1" min="14" max="14" width="12.0"/>
    <col customWidth="1" min="15" max="15" width="13.86"/>
  </cols>
  <sheetData>
    <row r="2">
      <c r="B2" s="79" t="s">
        <v>393</v>
      </c>
      <c r="C2" s="80" t="s">
        <v>6</v>
      </c>
      <c r="D2" s="80" t="s">
        <v>394</v>
      </c>
      <c r="E2" s="80" t="s">
        <v>395</v>
      </c>
      <c r="F2" s="80" t="s">
        <v>396</v>
      </c>
      <c r="G2" s="80" t="s">
        <v>397</v>
      </c>
      <c r="H2" s="80" t="s">
        <v>398</v>
      </c>
      <c r="I2" s="80" t="s">
        <v>399</v>
      </c>
      <c r="J2" s="80" t="s">
        <v>12</v>
      </c>
      <c r="K2" s="80" t="s">
        <v>13</v>
      </c>
      <c r="L2" s="80" t="s">
        <v>400</v>
      </c>
      <c r="M2" s="80" t="s">
        <v>15</v>
      </c>
      <c r="N2" s="10" t="s">
        <v>16</v>
      </c>
      <c r="O2" s="10" t="s">
        <v>17</v>
      </c>
    </row>
    <row r="3">
      <c r="B3" s="93">
        <v>1.0</v>
      </c>
      <c r="C3" s="93" t="s">
        <v>488</v>
      </c>
      <c r="D3" s="93">
        <v>2.02201987E8</v>
      </c>
      <c r="E3" s="93">
        <v>310700.0</v>
      </c>
      <c r="F3" s="98">
        <v>4.32058E7</v>
      </c>
      <c r="G3" s="93" t="s">
        <v>489</v>
      </c>
      <c r="H3" s="99" t="s">
        <v>490</v>
      </c>
      <c r="I3" s="100" t="s">
        <v>491</v>
      </c>
      <c r="J3" s="94"/>
      <c r="K3" s="88">
        <v>100.0</v>
      </c>
      <c r="L3" s="88">
        <v>0.0</v>
      </c>
      <c r="M3" s="88">
        <v>0.0</v>
      </c>
      <c r="N3" s="88">
        <v>0.0</v>
      </c>
      <c r="O3" s="89">
        <f>F3*K3%</f>
        <v>43205800</v>
      </c>
    </row>
  </sheetData>
  <dataValidations>
    <dataValidation type="list" allowBlank="1" showErrorMessage="1" sqref="K3:N3">
      <formula1>"0,10,20,30,40,50,60,70,80,90,100"</formula1>
    </dataValidation>
  </dataValidations>
  <hyperlinks>
    <hyperlink r:id="rId1" ref="B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5.71"/>
    <col customWidth="1" min="3" max="3" width="11.29"/>
    <col customWidth="1" min="4" max="4" width="11.71"/>
    <col customWidth="1" min="5" max="5" width="21.86"/>
    <col customWidth="1" min="6" max="6" width="24.0"/>
    <col customWidth="1" min="7" max="7" width="24.57"/>
    <col customWidth="1" hidden="1" min="8" max="8" width="21.71"/>
    <col customWidth="1" min="9" max="9" width="40.86"/>
    <col customWidth="1" min="10" max="10" width="11.14"/>
    <col customWidth="1" min="11" max="11" width="13.0"/>
    <col customWidth="1" min="12" max="12" width="16.86"/>
    <col customWidth="1" min="13" max="13" width="11.0"/>
    <col customWidth="1" min="14" max="14" width="12.0"/>
    <col customWidth="1" min="15" max="15" width="13.86"/>
    <col customWidth="1" min="17" max="17" width="40.86"/>
  </cols>
  <sheetData>
    <row r="2">
      <c r="B2" s="79" t="s">
        <v>393</v>
      </c>
      <c r="C2" s="80" t="s">
        <v>6</v>
      </c>
      <c r="D2" s="80" t="s">
        <v>394</v>
      </c>
      <c r="E2" s="80" t="s">
        <v>395</v>
      </c>
      <c r="F2" s="80" t="s">
        <v>396</v>
      </c>
      <c r="G2" s="80" t="s">
        <v>397</v>
      </c>
      <c r="H2" s="80" t="s">
        <v>398</v>
      </c>
      <c r="I2" s="80" t="s">
        <v>399</v>
      </c>
      <c r="J2" s="80" t="s">
        <v>12</v>
      </c>
      <c r="K2" s="80" t="s">
        <v>13</v>
      </c>
      <c r="L2" s="80" t="s">
        <v>400</v>
      </c>
      <c r="M2" s="80" t="s">
        <v>15</v>
      </c>
      <c r="N2" s="10" t="s">
        <v>16</v>
      </c>
      <c r="O2" s="10" t="s">
        <v>17</v>
      </c>
      <c r="Q2" s="101" t="s">
        <v>487</v>
      </c>
      <c r="R2" s="102" t="s">
        <v>17</v>
      </c>
    </row>
    <row r="3">
      <c r="B3" s="93">
        <v>1.0</v>
      </c>
      <c r="C3" s="93" t="s">
        <v>492</v>
      </c>
      <c r="D3" s="93">
        <v>4.508568985E9</v>
      </c>
      <c r="E3" s="93">
        <v>39760.0</v>
      </c>
      <c r="F3" s="103">
        <v>3.2413039E7</v>
      </c>
      <c r="G3" s="93" t="s">
        <v>493</v>
      </c>
      <c r="H3" s="104" t="s">
        <v>494</v>
      </c>
      <c r="I3" s="100" t="s">
        <v>495</v>
      </c>
      <c r="J3" s="94"/>
      <c r="K3" s="88">
        <v>100.0</v>
      </c>
      <c r="L3" s="88">
        <v>0.0</v>
      </c>
      <c r="M3" s="88">
        <v>0.0</v>
      </c>
      <c r="N3" s="88">
        <v>0.0</v>
      </c>
      <c r="O3" s="105">
        <f>F3*K3%</f>
        <v>32413039</v>
      </c>
      <c r="Q3" s="100" t="s">
        <v>495</v>
      </c>
      <c r="R3" s="92">
        <f>O3</f>
        <v>32413039</v>
      </c>
    </row>
    <row r="4">
      <c r="B4" s="93">
        <v>2.0</v>
      </c>
      <c r="C4" s="93" t="s">
        <v>478</v>
      </c>
      <c r="D4" s="93">
        <v>4.508655109E9</v>
      </c>
      <c r="E4" s="93">
        <v>42720.0</v>
      </c>
      <c r="F4" s="106"/>
      <c r="G4" s="93" t="s">
        <v>496</v>
      </c>
      <c r="H4" s="104" t="s">
        <v>494</v>
      </c>
      <c r="I4" s="100" t="s">
        <v>495</v>
      </c>
      <c r="J4" s="94"/>
      <c r="K4" s="88">
        <v>100.0</v>
      </c>
      <c r="L4" s="88">
        <v>0.0</v>
      </c>
      <c r="M4" s="88">
        <v>0.0</v>
      </c>
      <c r="N4" s="88">
        <v>0.0</v>
      </c>
      <c r="O4" s="106"/>
    </row>
    <row r="5">
      <c r="B5" s="93">
        <v>3.0</v>
      </c>
      <c r="C5" s="93" t="s">
        <v>478</v>
      </c>
      <c r="D5" s="93">
        <v>4.508655481E9</v>
      </c>
      <c r="E5" s="93">
        <v>250000.0</v>
      </c>
      <c r="F5" s="107"/>
      <c r="G5" s="93" t="s">
        <v>497</v>
      </c>
      <c r="H5" s="104" t="s">
        <v>494</v>
      </c>
      <c r="I5" s="100" t="s">
        <v>495</v>
      </c>
      <c r="J5" s="94"/>
      <c r="K5" s="88">
        <v>100.0</v>
      </c>
      <c r="L5" s="88">
        <v>0.0</v>
      </c>
      <c r="M5" s="88">
        <v>0.0</v>
      </c>
      <c r="N5" s="88">
        <v>0.0</v>
      </c>
      <c r="O5" s="107"/>
    </row>
  </sheetData>
  <mergeCells count="2">
    <mergeCell ref="F3:F5"/>
    <mergeCell ref="O3:O5"/>
  </mergeCells>
  <dataValidations>
    <dataValidation type="list" allowBlank="1" showErrorMessage="1" sqref="K3:N5">
      <formula1>"0,10,20,30,40,50,60,70,80,90,100"</formula1>
    </dataValidation>
  </dataValidations>
  <hyperlinks>
    <hyperlink r:id="rId1" ref="B2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5.71"/>
    <col customWidth="1" min="3" max="4" width="11.29"/>
    <col customWidth="1" min="5" max="5" width="12.14"/>
    <col customWidth="1" min="6" max="6" width="15.71"/>
    <col customWidth="1" min="7" max="7" width="68.14"/>
    <col hidden="1" min="8" max="8" width="14.43"/>
    <col customWidth="1" min="9" max="9" width="37.14"/>
    <col customWidth="1" min="10" max="10" width="11.14"/>
    <col customWidth="1" min="11" max="11" width="13.0"/>
    <col customWidth="1" min="12" max="12" width="16.86"/>
    <col customWidth="1" min="13" max="13" width="11.0"/>
    <col customWidth="1" min="14" max="14" width="12.0"/>
    <col customWidth="1" min="15" max="15" width="13.86"/>
    <col customWidth="1" min="16" max="16" width="12.29"/>
  </cols>
  <sheetData>
    <row r="2">
      <c r="B2" s="79" t="s">
        <v>393</v>
      </c>
      <c r="C2" s="80" t="s">
        <v>6</v>
      </c>
      <c r="D2" s="80" t="s">
        <v>394</v>
      </c>
      <c r="E2" s="80" t="s">
        <v>395</v>
      </c>
      <c r="F2" s="80" t="s">
        <v>396</v>
      </c>
      <c r="G2" s="80" t="s">
        <v>397</v>
      </c>
      <c r="H2" s="80" t="s">
        <v>398</v>
      </c>
      <c r="I2" s="80" t="s">
        <v>399</v>
      </c>
      <c r="J2" s="80" t="s">
        <v>12</v>
      </c>
      <c r="K2" s="80" t="s">
        <v>13</v>
      </c>
      <c r="L2" s="80" t="s">
        <v>400</v>
      </c>
      <c r="M2" s="80" t="s">
        <v>15</v>
      </c>
      <c r="N2" s="10" t="s">
        <v>16</v>
      </c>
      <c r="O2" s="10" t="s">
        <v>17</v>
      </c>
      <c r="P2" s="10" t="s">
        <v>18</v>
      </c>
    </row>
    <row r="3">
      <c r="B3" s="93">
        <v>1.0</v>
      </c>
      <c r="C3" s="93" t="s">
        <v>498</v>
      </c>
      <c r="D3" s="93" t="s">
        <v>499</v>
      </c>
      <c r="E3" s="108">
        <v>60000.0</v>
      </c>
      <c r="F3" s="109">
        <f t="shared" ref="F3:F16" si="2">E3*82.5</f>
        <v>4950000</v>
      </c>
      <c r="G3" s="93" t="s">
        <v>500</v>
      </c>
      <c r="H3" s="94"/>
      <c r="I3" s="98" t="s">
        <v>501</v>
      </c>
      <c r="J3" s="88">
        <v>50.0</v>
      </c>
      <c r="K3" s="88">
        <v>50.0</v>
      </c>
      <c r="L3" s="88">
        <v>0.0</v>
      </c>
      <c r="M3" s="88">
        <v>0.0</v>
      </c>
      <c r="N3" s="89">
        <f t="shared" ref="N3:N15" si="3">F3*J3%</f>
        <v>2475000</v>
      </c>
      <c r="O3" s="89">
        <f t="shared" ref="O3:O15" si="4">F3*K3%</f>
        <v>2475000</v>
      </c>
      <c r="P3" s="89">
        <f t="shared" ref="P3:P15" si="5">F3*L3%</f>
        <v>0</v>
      </c>
      <c r="R3" s="60">
        <f t="shared" ref="R3:T3" si="1">N3/100000</f>
        <v>24.75</v>
      </c>
      <c r="S3" s="60">
        <f t="shared" si="1"/>
        <v>24.75</v>
      </c>
      <c r="T3" s="60">
        <f t="shared" si="1"/>
        <v>0</v>
      </c>
    </row>
    <row r="4">
      <c r="B4" s="93">
        <v>1.0</v>
      </c>
      <c r="C4" s="93" t="s">
        <v>498</v>
      </c>
      <c r="D4" s="93" t="s">
        <v>499</v>
      </c>
      <c r="E4" s="108">
        <v>40000.0</v>
      </c>
      <c r="F4" s="109">
        <f t="shared" si="2"/>
        <v>3300000</v>
      </c>
      <c r="G4" s="93" t="s">
        <v>502</v>
      </c>
      <c r="H4" s="94"/>
      <c r="I4" s="98" t="s">
        <v>501</v>
      </c>
      <c r="J4" s="88">
        <v>50.0</v>
      </c>
      <c r="K4" s="88">
        <v>50.0</v>
      </c>
      <c r="L4" s="88">
        <v>0.0</v>
      </c>
      <c r="M4" s="88">
        <v>0.0</v>
      </c>
      <c r="N4" s="89">
        <f t="shared" si="3"/>
        <v>1650000</v>
      </c>
      <c r="O4" s="89">
        <f t="shared" si="4"/>
        <v>1650000</v>
      </c>
      <c r="P4" s="89">
        <f t="shared" si="5"/>
        <v>0</v>
      </c>
      <c r="R4" s="60">
        <f t="shared" ref="R4:T4" si="6">N4/100000</f>
        <v>16.5</v>
      </c>
      <c r="S4" s="60">
        <f t="shared" si="6"/>
        <v>16.5</v>
      </c>
      <c r="T4" s="60">
        <f t="shared" si="6"/>
        <v>0</v>
      </c>
    </row>
    <row r="5">
      <c r="B5" s="93">
        <v>1.0</v>
      </c>
      <c r="C5" s="93" t="s">
        <v>498</v>
      </c>
      <c r="D5" s="93" t="s">
        <v>499</v>
      </c>
      <c r="E5" s="108">
        <v>40000.0</v>
      </c>
      <c r="F5" s="109">
        <f t="shared" si="2"/>
        <v>3300000</v>
      </c>
      <c r="G5" s="93" t="s">
        <v>503</v>
      </c>
      <c r="H5" s="94"/>
      <c r="I5" s="98" t="s">
        <v>501</v>
      </c>
      <c r="J5" s="88">
        <v>50.0</v>
      </c>
      <c r="K5" s="88">
        <v>50.0</v>
      </c>
      <c r="L5" s="88">
        <v>0.0</v>
      </c>
      <c r="M5" s="88">
        <v>0.0</v>
      </c>
      <c r="N5" s="89">
        <f t="shared" si="3"/>
        <v>1650000</v>
      </c>
      <c r="O5" s="89">
        <f t="shared" si="4"/>
        <v>1650000</v>
      </c>
      <c r="P5" s="89">
        <f t="shared" si="5"/>
        <v>0</v>
      </c>
      <c r="R5" s="60">
        <f t="shared" ref="R5:T5" si="7">N5/100000</f>
        <v>16.5</v>
      </c>
      <c r="S5" s="60">
        <f t="shared" si="7"/>
        <v>16.5</v>
      </c>
      <c r="T5" s="60">
        <f t="shared" si="7"/>
        <v>0</v>
      </c>
    </row>
    <row r="6">
      <c r="B6" s="93">
        <v>1.0</v>
      </c>
      <c r="C6" s="93" t="s">
        <v>498</v>
      </c>
      <c r="D6" s="93" t="s">
        <v>499</v>
      </c>
      <c r="E6" s="108">
        <v>40000.0</v>
      </c>
      <c r="F6" s="109">
        <f t="shared" si="2"/>
        <v>3300000</v>
      </c>
      <c r="G6" s="93" t="s">
        <v>504</v>
      </c>
      <c r="H6" s="94"/>
      <c r="I6" s="98" t="s">
        <v>501</v>
      </c>
      <c r="J6" s="88">
        <v>70.0</v>
      </c>
      <c r="K6" s="88">
        <v>30.0</v>
      </c>
      <c r="L6" s="88">
        <v>0.0</v>
      </c>
      <c r="M6" s="88">
        <v>0.0</v>
      </c>
      <c r="N6" s="89">
        <f t="shared" si="3"/>
        <v>2310000</v>
      </c>
      <c r="O6" s="89">
        <f t="shared" si="4"/>
        <v>990000</v>
      </c>
      <c r="P6" s="89">
        <f t="shared" si="5"/>
        <v>0</v>
      </c>
      <c r="R6" s="60">
        <f t="shared" ref="R6:T6" si="8">N6/100000</f>
        <v>23.1</v>
      </c>
      <c r="S6" s="60">
        <f t="shared" si="8"/>
        <v>9.9</v>
      </c>
      <c r="T6" s="60">
        <f t="shared" si="8"/>
        <v>0</v>
      </c>
    </row>
    <row r="7">
      <c r="B7" s="93">
        <v>1.0</v>
      </c>
      <c r="C7" s="93" t="s">
        <v>498</v>
      </c>
      <c r="D7" s="93" t="s">
        <v>499</v>
      </c>
      <c r="E7" s="108">
        <v>40000.0</v>
      </c>
      <c r="F7" s="109">
        <f t="shared" si="2"/>
        <v>3300000</v>
      </c>
      <c r="G7" s="93" t="s">
        <v>505</v>
      </c>
      <c r="H7" s="94"/>
      <c r="I7" s="98" t="s">
        <v>501</v>
      </c>
      <c r="J7" s="88">
        <v>50.0</v>
      </c>
      <c r="K7" s="88">
        <v>50.0</v>
      </c>
      <c r="L7" s="88">
        <v>0.0</v>
      </c>
      <c r="M7" s="88">
        <v>0.0</v>
      </c>
      <c r="N7" s="89">
        <f t="shared" si="3"/>
        <v>1650000</v>
      </c>
      <c r="O7" s="89">
        <f t="shared" si="4"/>
        <v>1650000</v>
      </c>
      <c r="P7" s="89">
        <f t="shared" si="5"/>
        <v>0</v>
      </c>
      <c r="R7" s="60">
        <f t="shared" ref="R7:T7" si="9">N7/100000</f>
        <v>16.5</v>
      </c>
      <c r="S7" s="60">
        <f t="shared" si="9"/>
        <v>16.5</v>
      </c>
      <c r="T7" s="60">
        <f t="shared" si="9"/>
        <v>0</v>
      </c>
    </row>
    <row r="8">
      <c r="B8" s="93">
        <v>1.0</v>
      </c>
      <c r="C8" s="93" t="s">
        <v>498</v>
      </c>
      <c r="D8" s="93" t="s">
        <v>499</v>
      </c>
      <c r="E8" s="108">
        <v>40000.0</v>
      </c>
      <c r="F8" s="109">
        <f t="shared" si="2"/>
        <v>3300000</v>
      </c>
      <c r="G8" s="93" t="s">
        <v>506</v>
      </c>
      <c r="H8" s="94"/>
      <c r="I8" s="98" t="s">
        <v>501</v>
      </c>
      <c r="J8" s="88">
        <v>70.0</v>
      </c>
      <c r="K8" s="88">
        <v>30.0</v>
      </c>
      <c r="L8" s="88">
        <v>0.0</v>
      </c>
      <c r="M8" s="88">
        <v>0.0</v>
      </c>
      <c r="N8" s="89">
        <f t="shared" si="3"/>
        <v>2310000</v>
      </c>
      <c r="O8" s="89">
        <f t="shared" si="4"/>
        <v>990000</v>
      </c>
      <c r="P8" s="89">
        <f t="shared" si="5"/>
        <v>0</v>
      </c>
      <c r="R8" s="60">
        <f t="shared" ref="R8:T8" si="10">N8/100000</f>
        <v>23.1</v>
      </c>
      <c r="S8" s="60">
        <f t="shared" si="10"/>
        <v>9.9</v>
      </c>
      <c r="T8" s="60">
        <f t="shared" si="10"/>
        <v>0</v>
      </c>
    </row>
    <row r="9">
      <c r="B9" s="93">
        <v>1.0</v>
      </c>
      <c r="C9" s="93" t="s">
        <v>498</v>
      </c>
      <c r="D9" s="93" t="s">
        <v>499</v>
      </c>
      <c r="E9" s="108">
        <v>40000.0</v>
      </c>
      <c r="F9" s="109">
        <f t="shared" si="2"/>
        <v>3300000</v>
      </c>
      <c r="G9" s="93" t="s">
        <v>507</v>
      </c>
      <c r="H9" s="94"/>
      <c r="I9" s="98" t="s">
        <v>501</v>
      </c>
      <c r="J9" s="88">
        <v>80.0</v>
      </c>
      <c r="K9" s="88">
        <v>20.0</v>
      </c>
      <c r="L9" s="88">
        <v>0.0</v>
      </c>
      <c r="M9" s="88">
        <v>0.0</v>
      </c>
      <c r="N9" s="89">
        <f t="shared" si="3"/>
        <v>2640000</v>
      </c>
      <c r="O9" s="89">
        <f t="shared" si="4"/>
        <v>660000</v>
      </c>
      <c r="P9" s="89">
        <f t="shared" si="5"/>
        <v>0</v>
      </c>
      <c r="R9" s="60">
        <f t="shared" ref="R9:T9" si="11">N9/100000</f>
        <v>26.4</v>
      </c>
      <c r="S9" s="60">
        <f t="shared" si="11"/>
        <v>6.6</v>
      </c>
      <c r="T9" s="60">
        <f t="shared" si="11"/>
        <v>0</v>
      </c>
    </row>
    <row r="10">
      <c r="B10" s="93">
        <v>1.0</v>
      </c>
      <c r="C10" s="93" t="s">
        <v>498</v>
      </c>
      <c r="D10" s="93" t="s">
        <v>499</v>
      </c>
      <c r="E10" s="108">
        <v>40000.0</v>
      </c>
      <c r="F10" s="109">
        <f t="shared" si="2"/>
        <v>3300000</v>
      </c>
      <c r="G10" s="93" t="s">
        <v>508</v>
      </c>
      <c r="H10" s="94"/>
      <c r="I10" s="98" t="s">
        <v>501</v>
      </c>
      <c r="J10" s="88">
        <v>80.0</v>
      </c>
      <c r="K10" s="88">
        <v>20.0</v>
      </c>
      <c r="L10" s="88">
        <v>0.0</v>
      </c>
      <c r="M10" s="88">
        <v>0.0</v>
      </c>
      <c r="N10" s="89">
        <f t="shared" si="3"/>
        <v>2640000</v>
      </c>
      <c r="O10" s="89">
        <f t="shared" si="4"/>
        <v>660000</v>
      </c>
      <c r="P10" s="89">
        <f t="shared" si="5"/>
        <v>0</v>
      </c>
      <c r="R10" s="60">
        <f t="shared" ref="R10:T10" si="12">N10/100000</f>
        <v>26.4</v>
      </c>
      <c r="S10" s="60">
        <f t="shared" si="12"/>
        <v>6.6</v>
      </c>
      <c r="T10" s="60">
        <f t="shared" si="12"/>
        <v>0</v>
      </c>
    </row>
    <row r="11">
      <c r="B11" s="93">
        <v>2.0</v>
      </c>
      <c r="C11" s="93" t="s">
        <v>355</v>
      </c>
      <c r="D11" s="93" t="s">
        <v>509</v>
      </c>
      <c r="E11" s="108">
        <v>30000.0</v>
      </c>
      <c r="F11" s="109">
        <f t="shared" si="2"/>
        <v>2475000</v>
      </c>
      <c r="G11" s="110" t="s">
        <v>510</v>
      </c>
      <c r="H11" s="94"/>
      <c r="I11" s="98" t="s">
        <v>501</v>
      </c>
      <c r="J11" s="88">
        <v>0.0</v>
      </c>
      <c r="K11" s="88">
        <v>50.0</v>
      </c>
      <c r="L11" s="88">
        <v>50.0</v>
      </c>
      <c r="M11" s="88">
        <v>0.0</v>
      </c>
      <c r="N11" s="89">
        <f t="shared" si="3"/>
        <v>0</v>
      </c>
      <c r="O11" s="89">
        <f t="shared" si="4"/>
        <v>1237500</v>
      </c>
      <c r="P11" s="89">
        <f t="shared" si="5"/>
        <v>1237500</v>
      </c>
      <c r="R11" s="60">
        <f t="shared" ref="R11:T11" si="13">N11/100000</f>
        <v>0</v>
      </c>
      <c r="S11" s="60">
        <f t="shared" si="13"/>
        <v>12.375</v>
      </c>
      <c r="T11" s="60">
        <f t="shared" si="13"/>
        <v>12.375</v>
      </c>
    </row>
    <row r="12">
      <c r="B12" s="93">
        <v>2.0</v>
      </c>
      <c r="C12" s="93" t="s">
        <v>355</v>
      </c>
      <c r="D12" s="93" t="s">
        <v>509</v>
      </c>
      <c r="E12" s="108">
        <v>10000.0</v>
      </c>
      <c r="F12" s="109">
        <f t="shared" si="2"/>
        <v>825000</v>
      </c>
      <c r="G12" s="110" t="s">
        <v>511</v>
      </c>
      <c r="H12" s="94"/>
      <c r="I12" s="98" t="s">
        <v>501</v>
      </c>
      <c r="J12" s="88">
        <v>0.0</v>
      </c>
      <c r="K12" s="88">
        <v>50.0</v>
      </c>
      <c r="L12" s="88">
        <v>50.0</v>
      </c>
      <c r="M12" s="88">
        <v>0.0</v>
      </c>
      <c r="N12" s="89">
        <f t="shared" si="3"/>
        <v>0</v>
      </c>
      <c r="O12" s="89">
        <f t="shared" si="4"/>
        <v>412500</v>
      </c>
      <c r="P12" s="89">
        <f t="shared" si="5"/>
        <v>412500</v>
      </c>
      <c r="R12" s="60">
        <f t="shared" ref="R12:T12" si="14">N12/100000</f>
        <v>0</v>
      </c>
      <c r="S12" s="60">
        <f t="shared" si="14"/>
        <v>4.125</v>
      </c>
      <c r="T12" s="60">
        <f t="shared" si="14"/>
        <v>4.125</v>
      </c>
    </row>
    <row r="13">
      <c r="B13" s="93">
        <v>2.0</v>
      </c>
      <c r="C13" s="93" t="s">
        <v>355</v>
      </c>
      <c r="D13" s="93" t="s">
        <v>509</v>
      </c>
      <c r="E13" s="108">
        <v>10000.0</v>
      </c>
      <c r="F13" s="109">
        <f t="shared" si="2"/>
        <v>825000</v>
      </c>
      <c r="G13" s="110" t="s">
        <v>512</v>
      </c>
      <c r="H13" s="94"/>
      <c r="I13" s="98" t="s">
        <v>501</v>
      </c>
      <c r="J13" s="88">
        <v>0.0</v>
      </c>
      <c r="K13" s="88">
        <v>80.0</v>
      </c>
      <c r="L13" s="88">
        <v>20.0</v>
      </c>
      <c r="M13" s="88">
        <v>0.0</v>
      </c>
      <c r="N13" s="89">
        <f t="shared" si="3"/>
        <v>0</v>
      </c>
      <c r="O13" s="89">
        <f t="shared" si="4"/>
        <v>660000</v>
      </c>
      <c r="P13" s="89">
        <f t="shared" si="5"/>
        <v>165000</v>
      </c>
      <c r="R13" s="60">
        <f t="shared" ref="R13:T13" si="15">N13/100000</f>
        <v>0</v>
      </c>
      <c r="S13" s="60">
        <f t="shared" si="15"/>
        <v>6.6</v>
      </c>
      <c r="T13" s="60">
        <f t="shared" si="15"/>
        <v>1.65</v>
      </c>
    </row>
    <row r="14">
      <c r="B14" s="93">
        <v>2.0</v>
      </c>
      <c r="C14" s="93" t="s">
        <v>355</v>
      </c>
      <c r="D14" s="93" t="s">
        <v>509</v>
      </c>
      <c r="E14" s="108">
        <v>10000.0</v>
      </c>
      <c r="F14" s="109">
        <f t="shared" si="2"/>
        <v>825000</v>
      </c>
      <c r="G14" s="110" t="s">
        <v>513</v>
      </c>
      <c r="H14" s="94"/>
      <c r="I14" s="98" t="s">
        <v>501</v>
      </c>
      <c r="J14" s="88">
        <v>10.0</v>
      </c>
      <c r="K14" s="88">
        <v>80.0</v>
      </c>
      <c r="L14" s="88">
        <v>10.0</v>
      </c>
      <c r="M14" s="88">
        <v>0.0</v>
      </c>
      <c r="N14" s="89">
        <f t="shared" si="3"/>
        <v>82500</v>
      </c>
      <c r="O14" s="89">
        <f t="shared" si="4"/>
        <v>660000</v>
      </c>
      <c r="P14" s="89">
        <f t="shared" si="5"/>
        <v>82500</v>
      </c>
      <c r="R14" s="60">
        <f t="shared" ref="R14:T14" si="16">N14/100000</f>
        <v>0.825</v>
      </c>
      <c r="S14" s="60">
        <f t="shared" si="16"/>
        <v>6.6</v>
      </c>
      <c r="T14" s="60">
        <f t="shared" si="16"/>
        <v>0.825</v>
      </c>
    </row>
    <row r="15">
      <c r="B15" s="93">
        <v>2.0</v>
      </c>
      <c r="C15" s="93" t="s">
        <v>355</v>
      </c>
      <c r="D15" s="93" t="s">
        <v>509</v>
      </c>
      <c r="E15" s="108">
        <v>50000.0</v>
      </c>
      <c r="F15" s="109">
        <f t="shared" si="2"/>
        <v>4125000</v>
      </c>
      <c r="G15" s="110" t="s">
        <v>514</v>
      </c>
      <c r="H15" s="94"/>
      <c r="I15" s="98" t="s">
        <v>501</v>
      </c>
      <c r="J15" s="88">
        <v>0.0</v>
      </c>
      <c r="K15" s="88">
        <v>100.0</v>
      </c>
      <c r="L15" s="88">
        <v>0.0</v>
      </c>
      <c r="M15" s="88">
        <v>0.0</v>
      </c>
      <c r="N15" s="89">
        <f t="shared" si="3"/>
        <v>0</v>
      </c>
      <c r="O15" s="89">
        <f t="shared" si="4"/>
        <v>4125000</v>
      </c>
      <c r="P15" s="89">
        <f t="shared" si="5"/>
        <v>0</v>
      </c>
      <c r="R15" s="60">
        <f t="shared" ref="R15:T15" si="17">N15/100000</f>
        <v>0</v>
      </c>
      <c r="S15" s="60">
        <f t="shared" si="17"/>
        <v>41.25</v>
      </c>
      <c r="T15" s="60">
        <f t="shared" si="17"/>
        <v>0</v>
      </c>
    </row>
    <row r="16">
      <c r="D16" s="111" t="s">
        <v>381</v>
      </c>
      <c r="E16" s="112">
        <f>SUM(E3:E15)</f>
        <v>450000</v>
      </c>
      <c r="F16" s="113">
        <f t="shared" si="2"/>
        <v>37125000</v>
      </c>
      <c r="N16" s="114">
        <f t="shared" ref="N16:P16" si="18">SUM(N3:N15)</f>
        <v>17407500</v>
      </c>
      <c r="O16" s="114">
        <f t="shared" si="18"/>
        <v>17820000</v>
      </c>
      <c r="P16" s="114">
        <f t="shared" si="18"/>
        <v>1897500</v>
      </c>
    </row>
  </sheetData>
  <dataValidations>
    <dataValidation type="list" allowBlank="1" showErrorMessage="1" sqref="J3:M15">
      <formula1>"0,10,20,30,40,50,60,70,80,90,100"</formula1>
    </dataValidation>
  </dataValidations>
  <hyperlinks>
    <hyperlink r:id="rId1" ref="B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0"/>
    <col customWidth="1" min="2" max="2" width="5.71"/>
    <col customWidth="1" min="3" max="3" width="11.29"/>
    <col customWidth="1" min="4" max="4" width="20.57"/>
    <col customWidth="1" min="5" max="5" width="21.86"/>
    <col customWidth="1" min="6" max="6" width="24.0"/>
    <col customWidth="1" min="7" max="7" width="47.86"/>
    <col customWidth="1" min="8" max="8" width="33.14"/>
    <col customWidth="1" min="9" max="9" width="11.14"/>
    <col customWidth="1" min="10" max="10" width="13.0"/>
    <col customWidth="1" min="11" max="11" width="16.86"/>
    <col customWidth="1" min="12" max="12" width="11.0"/>
  </cols>
  <sheetData>
    <row r="2">
      <c r="B2" s="79" t="s">
        <v>393</v>
      </c>
      <c r="C2" s="80" t="s">
        <v>6</v>
      </c>
      <c r="D2" s="80" t="s">
        <v>394</v>
      </c>
      <c r="E2" s="80" t="s">
        <v>395</v>
      </c>
      <c r="F2" s="80" t="s">
        <v>396</v>
      </c>
      <c r="G2" s="80" t="s">
        <v>397</v>
      </c>
      <c r="H2" s="80" t="s">
        <v>399</v>
      </c>
      <c r="I2" s="80" t="s">
        <v>12</v>
      </c>
      <c r="J2" s="80" t="s">
        <v>13</v>
      </c>
      <c r="K2" s="80" t="s">
        <v>400</v>
      </c>
      <c r="L2" s="80" t="s">
        <v>15</v>
      </c>
      <c r="N2" s="10" t="s">
        <v>16</v>
      </c>
      <c r="O2" s="10" t="s">
        <v>453</v>
      </c>
      <c r="P2" s="10" t="s">
        <v>454</v>
      </c>
    </row>
    <row r="3">
      <c r="B3" s="93">
        <v>1.0</v>
      </c>
      <c r="C3" s="93" t="s">
        <v>515</v>
      </c>
      <c r="D3" s="93" t="s">
        <v>516</v>
      </c>
      <c r="E3" s="93">
        <v>0.0</v>
      </c>
      <c r="F3" s="93">
        <v>2000000.0</v>
      </c>
      <c r="G3" s="93" t="s">
        <v>517</v>
      </c>
      <c r="H3" s="95" t="s">
        <v>518</v>
      </c>
      <c r="I3" s="88">
        <v>40.0</v>
      </c>
      <c r="J3" s="88">
        <v>40.0</v>
      </c>
      <c r="K3" s="88">
        <v>20.0</v>
      </c>
      <c r="L3" s="88">
        <v>0.0</v>
      </c>
      <c r="N3" s="89">
        <f t="shared" ref="N3:P3" si="1">$F$3*I3%</f>
        <v>800000</v>
      </c>
      <c r="O3" s="89">
        <f t="shared" si="1"/>
        <v>800000</v>
      </c>
      <c r="P3" s="89">
        <f t="shared" si="1"/>
        <v>400000</v>
      </c>
    </row>
    <row r="4">
      <c r="B4" s="93">
        <v>2.0</v>
      </c>
      <c r="C4" s="93" t="s">
        <v>519</v>
      </c>
      <c r="D4" s="93" t="s">
        <v>520</v>
      </c>
      <c r="E4" s="93">
        <v>0.0</v>
      </c>
      <c r="F4" s="93">
        <v>6000000.0</v>
      </c>
      <c r="G4" s="93" t="s">
        <v>521</v>
      </c>
      <c r="H4" s="95" t="s">
        <v>522</v>
      </c>
      <c r="I4" s="88">
        <v>0.0</v>
      </c>
      <c r="J4" s="88">
        <v>100.0</v>
      </c>
      <c r="K4" s="88">
        <v>0.0</v>
      </c>
      <c r="L4" s="88">
        <v>0.0</v>
      </c>
      <c r="N4" s="89">
        <f t="shared" ref="N4:P4" si="2">$F$4*I4%</f>
        <v>0</v>
      </c>
      <c r="O4" s="89">
        <f t="shared" si="2"/>
        <v>6000000</v>
      </c>
      <c r="P4" s="89">
        <f t="shared" si="2"/>
        <v>0</v>
      </c>
    </row>
    <row r="5">
      <c r="B5" s="93">
        <v>3.0</v>
      </c>
      <c r="C5" s="93" t="s">
        <v>519</v>
      </c>
      <c r="D5" s="93" t="s">
        <v>520</v>
      </c>
      <c r="E5" s="93">
        <v>0.0</v>
      </c>
      <c r="F5" s="93">
        <v>2000000.0</v>
      </c>
      <c r="G5" s="93" t="s">
        <v>523</v>
      </c>
      <c r="H5" s="95" t="s">
        <v>522</v>
      </c>
      <c r="I5" s="88">
        <v>0.0</v>
      </c>
      <c r="J5" s="88">
        <v>100.0</v>
      </c>
      <c r="K5" s="88">
        <v>0.0</v>
      </c>
      <c r="L5" s="88">
        <v>0.0</v>
      </c>
      <c r="N5" s="89">
        <f t="shared" ref="N5:P5" si="3">$F$5*I5%</f>
        <v>0</v>
      </c>
      <c r="O5" s="89">
        <f t="shared" si="3"/>
        <v>2000000</v>
      </c>
      <c r="P5" s="89">
        <f t="shared" si="3"/>
        <v>0</v>
      </c>
    </row>
    <row r="6">
      <c r="B6" s="93">
        <v>3.0</v>
      </c>
      <c r="C6" s="115">
        <v>45024.0</v>
      </c>
      <c r="D6" s="93" t="s">
        <v>524</v>
      </c>
      <c r="E6" s="93">
        <v>0.0</v>
      </c>
      <c r="F6" s="93">
        <v>7000000.0</v>
      </c>
      <c r="G6" s="93" t="s">
        <v>525</v>
      </c>
      <c r="H6" s="95" t="s">
        <v>526</v>
      </c>
      <c r="I6" s="88">
        <v>20.0</v>
      </c>
      <c r="J6" s="88">
        <v>30.0</v>
      </c>
      <c r="K6" s="88">
        <v>50.0</v>
      </c>
      <c r="L6" s="88">
        <v>0.0</v>
      </c>
      <c r="N6" s="89">
        <f t="shared" ref="N6:P6" si="4">$F$6*I6%</f>
        <v>1400000</v>
      </c>
      <c r="O6" s="89">
        <f t="shared" si="4"/>
        <v>2100000</v>
      </c>
      <c r="P6" s="89">
        <f t="shared" si="4"/>
        <v>3500000</v>
      </c>
    </row>
    <row r="7">
      <c r="B7" s="93">
        <v>4.0</v>
      </c>
      <c r="C7" s="93" t="s">
        <v>492</v>
      </c>
      <c r="D7" s="93" t="s">
        <v>527</v>
      </c>
      <c r="E7" s="93">
        <v>0.0</v>
      </c>
      <c r="F7" s="93">
        <v>5330000.0</v>
      </c>
      <c r="G7" s="93" t="s">
        <v>528</v>
      </c>
      <c r="H7" s="95" t="s">
        <v>529</v>
      </c>
      <c r="I7" s="88">
        <v>0.0</v>
      </c>
      <c r="J7" s="88">
        <v>100.0</v>
      </c>
      <c r="K7" s="88">
        <v>0.0</v>
      </c>
      <c r="L7" s="88">
        <v>0.0</v>
      </c>
      <c r="N7" s="89">
        <f t="shared" ref="N7:P7" si="5">$F$7*I7%</f>
        <v>0</v>
      </c>
      <c r="O7" s="89">
        <f t="shared" si="5"/>
        <v>5330000</v>
      </c>
      <c r="P7" s="89">
        <f t="shared" si="5"/>
        <v>0</v>
      </c>
    </row>
    <row r="8">
      <c r="F8" s="60">
        <f>SUM(F3:F7)</f>
        <v>22330000</v>
      </c>
      <c r="N8" s="116">
        <f t="shared" ref="N8:P8" si="6">SUM(N3:N7)</f>
        <v>2200000</v>
      </c>
      <c r="O8" s="116">
        <f t="shared" si="6"/>
        <v>16230000</v>
      </c>
      <c r="P8" s="116">
        <f t="shared" si="6"/>
        <v>3900000</v>
      </c>
    </row>
  </sheetData>
  <dataValidations>
    <dataValidation type="list" allowBlank="1" showErrorMessage="1" sqref="I3:L7">
      <formula1>"0,10,20,30,40,50,60,70,80,90,100"</formula1>
    </dataValidation>
  </dataValidations>
  <hyperlinks>
    <hyperlink r:id="rId1" ref="B2"/>
  </hyperlinks>
  <drawing r:id="rId2"/>
</worksheet>
</file>