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Flipcarbon\"/>
    </mc:Choice>
  </mc:AlternateContent>
  <xr:revisionPtr revIDLastSave="0" documentId="13_ncr:1_{21043666-F438-407C-96B4-E69A1900759B}" xr6:coauthVersionLast="47" xr6:coauthVersionMax="47" xr10:uidLastSave="{00000000-0000-0000-0000-000000000000}"/>
  <bookViews>
    <workbookView xWindow="-108" yWindow="-108" windowWidth="23256" windowHeight="12456" activeTab="13" xr2:uid="{00000000-000D-0000-FFFF-FFFF00000000}"/>
  </bookViews>
  <sheets>
    <sheet name="sensitivity analysis" sheetId="78" r:id="rId1"/>
    <sheet name="PL-CONS" sheetId="40" r:id="rId2"/>
    <sheet name="PL-Corp" sheetId="47" state="hidden" r:id="rId3"/>
    <sheet name="PL-D2C" sheetId="49" state="hidden" r:id="rId4"/>
    <sheet name="PL Assumption" sheetId="69" state="hidden" r:id="rId5"/>
    <sheet name="COGS" sheetId="70" state="hidden" r:id="rId6"/>
    <sheet name="Ppl Cost_Original" sheetId="76" state="hidden" r:id="rId7"/>
    <sheet name="Ppl Cost (D2C &amp; Corp.)" sheetId="79" state="hidden" r:id="rId8"/>
    <sheet name="Revenue-D2C" sheetId="51" state="hidden" r:id="rId9"/>
    <sheet name="FA" sheetId="73" state="hidden" r:id="rId10"/>
    <sheet name="BS Assumption" sheetId="39" r:id="rId11"/>
    <sheet name="FA Loan " sheetId="77" state="hidden" r:id="rId12"/>
    <sheet name="BS" sheetId="57" r:id="rId13"/>
    <sheet name="CFS" sheetId="71" r:id="rId14"/>
    <sheet name="People Cost" sheetId="42" state="hidden" r:id="rId15"/>
  </sheets>
  <externalReferences>
    <externalReference r:id="rId16"/>
    <externalReference r:id="rId17"/>
  </externalReferences>
  <definedNames>
    <definedName name="DD_TS_Fin_Yr_End_Mth">[1]TimeSeries!$H$15</definedName>
    <definedName name="Denom_Selected">[1]TimeSeries!$H$10</definedName>
    <definedName name="Denomination_Selected">[1]TimeSeries!$H$13</definedName>
    <definedName name="LU_TS_Denom">[1]TS_LU!$D$76:$D$79</definedName>
    <definedName name="LU_TS_Denom_Conv">[1]TS_LU!$D$84:$D$87</definedName>
    <definedName name="LU_TS_Mth_Names">[1]TS_LU!$D$46:$D$57</definedName>
    <definedName name="Model_Name">[1]Cover!$C$10</definedName>
    <definedName name="Print_Area_Reset" localSheetId="12">OFFSET(Full_Print,0,0,Last_Row)</definedName>
    <definedName name="Print_Area_Reset" localSheetId="9">OFFSET(Full_Print,0,0,Last_Row)</definedName>
    <definedName name="Print_Area_Reset" localSheetId="4">OFFSET(Full_Print,0,0,Last_Row)</definedName>
    <definedName name="Print_Area_Reset" localSheetId="7">OFFSET(Full_Print,0,0,Last_Row)</definedName>
    <definedName name="Print_Area_Reset" localSheetId="6">OFFSET(Full_Print,0,0,Last_Row)</definedName>
    <definedName name="Print_Area_Reset">OFFSET(Full_Print,0,0,Last_Row)</definedName>
    <definedName name="Summary" localSheetId="9">#REF!</definedName>
    <definedName name="Summary" localSheetId="7">#REF!</definedName>
    <definedName name="Summary" localSheetId="6">#REF!</definedName>
    <definedName name="Summary">#REF!</definedName>
    <definedName name="TS_Currency">[1]TimeSeries!$H$12</definedName>
    <definedName name="TS_Currency_Inputs">[1]TimeSeries!$H$11</definedName>
    <definedName name="TS_First_Fin_Yr">[1]TimeSeries!$H$7</definedName>
    <definedName name="TS_Mths_In_Yr">[1]TS_LU!$D$68</definedName>
    <definedName name="TS_Start_Date">[1]TimeSeries!$H$8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5" i="79" l="1"/>
  <c r="Q82" i="79"/>
  <c r="Q107" i="79"/>
  <c r="Q108" i="79"/>
  <c r="N75" i="79"/>
  <c r="N82" i="79"/>
  <c r="N89" i="79"/>
  <c r="N107" i="79"/>
  <c r="N108" i="79"/>
  <c r="K75" i="79"/>
  <c r="K82" i="79"/>
  <c r="K89" i="79"/>
  <c r="K92" i="79"/>
  <c r="K94" i="79"/>
  <c r="L94" i="79" s="1"/>
  <c r="K107" i="79"/>
  <c r="K108" i="79"/>
  <c r="H75" i="79"/>
  <c r="H76" i="79"/>
  <c r="H82" i="79"/>
  <c r="H84" i="79"/>
  <c r="I84" i="79" s="1"/>
  <c r="H86" i="79"/>
  <c r="H89" i="79"/>
  <c r="H92" i="79"/>
  <c r="H94" i="79"/>
  <c r="H101" i="79"/>
  <c r="H107" i="79"/>
  <c r="H108" i="79"/>
  <c r="E69" i="79"/>
  <c r="E70" i="79"/>
  <c r="E71" i="79"/>
  <c r="E72" i="79"/>
  <c r="E73" i="79"/>
  <c r="E74" i="79"/>
  <c r="E75" i="79"/>
  <c r="E76" i="79"/>
  <c r="E77" i="79"/>
  <c r="E78" i="79"/>
  <c r="E79" i="79"/>
  <c r="E80" i="79"/>
  <c r="F80" i="79" s="1"/>
  <c r="E81" i="79"/>
  <c r="E82" i="79"/>
  <c r="E83" i="79"/>
  <c r="E84" i="79"/>
  <c r="E85" i="79"/>
  <c r="F85" i="79" s="1"/>
  <c r="E86" i="79"/>
  <c r="E87" i="79"/>
  <c r="E88" i="79"/>
  <c r="E89" i="79"/>
  <c r="E90" i="79"/>
  <c r="E91" i="79"/>
  <c r="F91" i="79" s="1"/>
  <c r="E92" i="79"/>
  <c r="E93" i="79"/>
  <c r="E94" i="79"/>
  <c r="E95" i="79"/>
  <c r="E96" i="79"/>
  <c r="F96" i="79" s="1"/>
  <c r="E97" i="79"/>
  <c r="F97" i="79" s="1"/>
  <c r="E98" i="79"/>
  <c r="E99" i="79"/>
  <c r="E100" i="79"/>
  <c r="E101" i="79"/>
  <c r="E102" i="79"/>
  <c r="E103" i="79"/>
  <c r="F103" i="79" s="1"/>
  <c r="E104" i="79"/>
  <c r="F104" i="79" s="1"/>
  <c r="E105" i="79"/>
  <c r="E106" i="79"/>
  <c r="E107" i="79"/>
  <c r="E108" i="79"/>
  <c r="E109" i="79"/>
  <c r="F109" i="79" s="1"/>
  <c r="E110" i="79"/>
  <c r="E111" i="79"/>
  <c r="E112" i="79"/>
  <c r="F112" i="79" s="1"/>
  <c r="E113" i="79"/>
  <c r="F113" i="79" s="1"/>
  <c r="E68" i="79"/>
  <c r="D114" i="79"/>
  <c r="M113" i="79"/>
  <c r="M112" i="79"/>
  <c r="M111" i="79"/>
  <c r="F111" i="79"/>
  <c r="M110" i="79"/>
  <c r="F110" i="79"/>
  <c r="M109" i="79"/>
  <c r="M106" i="79"/>
  <c r="F106" i="79"/>
  <c r="F105" i="79"/>
  <c r="J104" i="79"/>
  <c r="J103" i="79"/>
  <c r="J102" i="79"/>
  <c r="F102" i="79"/>
  <c r="J101" i="79"/>
  <c r="I101" i="79"/>
  <c r="J100" i="79"/>
  <c r="F100" i="79"/>
  <c r="J99" i="79"/>
  <c r="F99" i="79"/>
  <c r="J98" i="79"/>
  <c r="F98" i="79"/>
  <c r="J97" i="79"/>
  <c r="J96" i="79"/>
  <c r="J95" i="79"/>
  <c r="F95" i="79"/>
  <c r="M94" i="79"/>
  <c r="J93" i="79"/>
  <c r="F93" i="79"/>
  <c r="M92" i="79"/>
  <c r="L92" i="79"/>
  <c r="J91" i="79"/>
  <c r="J90" i="79"/>
  <c r="F90" i="79"/>
  <c r="O89" i="79"/>
  <c r="J88" i="79"/>
  <c r="F88" i="79"/>
  <c r="J87" i="79"/>
  <c r="F87" i="79"/>
  <c r="J86" i="79"/>
  <c r="I86" i="79"/>
  <c r="J84" i="79"/>
  <c r="G83" i="79"/>
  <c r="F83" i="79"/>
  <c r="G81" i="79"/>
  <c r="F81" i="79"/>
  <c r="G80" i="79"/>
  <c r="G79" i="79"/>
  <c r="F79" i="79"/>
  <c r="G78" i="79"/>
  <c r="F78" i="79"/>
  <c r="G77" i="79"/>
  <c r="F77" i="79"/>
  <c r="J76" i="79"/>
  <c r="I76" i="79"/>
  <c r="F75" i="79"/>
  <c r="G74" i="79"/>
  <c r="F74" i="79"/>
  <c r="M73" i="79"/>
  <c r="G73" i="79"/>
  <c r="F73" i="79"/>
  <c r="M72" i="79"/>
  <c r="G72" i="79"/>
  <c r="F72" i="79"/>
  <c r="M71" i="79"/>
  <c r="G71" i="79"/>
  <c r="F71" i="79"/>
  <c r="G70" i="79"/>
  <c r="F70" i="79"/>
  <c r="G69" i="79"/>
  <c r="F69" i="79"/>
  <c r="G68" i="79"/>
  <c r="Q18" i="79"/>
  <c r="Q25" i="79"/>
  <c r="Q50" i="79"/>
  <c r="Q51" i="79"/>
  <c r="N18" i="79"/>
  <c r="N25" i="79"/>
  <c r="N32" i="79"/>
  <c r="N50" i="79"/>
  <c r="N51" i="79"/>
  <c r="K18" i="79"/>
  <c r="K25" i="79"/>
  <c r="K32" i="79"/>
  <c r="K35" i="79"/>
  <c r="L35" i="79" s="1"/>
  <c r="K37" i="79"/>
  <c r="K50" i="79"/>
  <c r="K51" i="79"/>
  <c r="H18" i="79"/>
  <c r="H19" i="79"/>
  <c r="I19" i="79" s="1"/>
  <c r="H25" i="79"/>
  <c r="H27" i="79"/>
  <c r="H29" i="79"/>
  <c r="H32" i="79"/>
  <c r="H35" i="79"/>
  <c r="H37" i="79"/>
  <c r="H44" i="79"/>
  <c r="H50" i="79"/>
  <c r="H51" i="79"/>
  <c r="E12" i="79"/>
  <c r="E13" i="79"/>
  <c r="E14" i="79"/>
  <c r="F14" i="79" s="1"/>
  <c r="E15" i="79"/>
  <c r="E16" i="79"/>
  <c r="E17" i="79"/>
  <c r="E18" i="79"/>
  <c r="E19" i="79"/>
  <c r="E20" i="79"/>
  <c r="F20" i="79" s="1"/>
  <c r="E21" i="79"/>
  <c r="F21" i="79" s="1"/>
  <c r="E22" i="79"/>
  <c r="E23" i="79"/>
  <c r="E24" i="79"/>
  <c r="E25" i="79"/>
  <c r="E26" i="79"/>
  <c r="F26" i="79" s="1"/>
  <c r="E27" i="79"/>
  <c r="E28" i="79"/>
  <c r="E29" i="79"/>
  <c r="E30" i="79"/>
  <c r="E31" i="79"/>
  <c r="E32" i="79"/>
  <c r="E33" i="79"/>
  <c r="F33" i="79" s="1"/>
  <c r="E34" i="79"/>
  <c r="E35" i="79"/>
  <c r="E36" i="79"/>
  <c r="E37" i="79"/>
  <c r="E38" i="79"/>
  <c r="E39" i="79"/>
  <c r="E40" i="79"/>
  <c r="E41" i="79"/>
  <c r="E42" i="79"/>
  <c r="E43" i="79"/>
  <c r="E44" i="79"/>
  <c r="E45" i="79"/>
  <c r="F45" i="79" s="1"/>
  <c r="E46" i="79"/>
  <c r="E47" i="79"/>
  <c r="E48" i="79"/>
  <c r="E49" i="79"/>
  <c r="E50" i="79"/>
  <c r="E51" i="79"/>
  <c r="E52" i="79"/>
  <c r="E53" i="79"/>
  <c r="E54" i="79"/>
  <c r="E55" i="79"/>
  <c r="F55" i="79" s="1"/>
  <c r="E56" i="79"/>
  <c r="F56" i="79" s="1"/>
  <c r="E11" i="79"/>
  <c r="E57" i="79" s="1"/>
  <c r="D59" i="79"/>
  <c r="D61" i="79" s="1"/>
  <c r="D58" i="79"/>
  <c r="D60" i="79" s="1"/>
  <c r="D57" i="79"/>
  <c r="M56" i="79"/>
  <c r="M55" i="79"/>
  <c r="M54" i="79"/>
  <c r="F54" i="79"/>
  <c r="M53" i="79"/>
  <c r="F53" i="79"/>
  <c r="M52" i="79"/>
  <c r="F52" i="79"/>
  <c r="M49" i="79"/>
  <c r="F49" i="79"/>
  <c r="F48" i="79"/>
  <c r="J47" i="79"/>
  <c r="F47" i="79"/>
  <c r="J46" i="79"/>
  <c r="F46" i="79"/>
  <c r="J45" i="79"/>
  <c r="J44" i="79"/>
  <c r="I44" i="79"/>
  <c r="J43" i="79"/>
  <c r="F43" i="79"/>
  <c r="J42" i="79"/>
  <c r="F42" i="79"/>
  <c r="J41" i="79"/>
  <c r="F41" i="79"/>
  <c r="J40" i="79"/>
  <c r="F40" i="79"/>
  <c r="J39" i="79"/>
  <c r="F39" i="79"/>
  <c r="J38" i="79"/>
  <c r="F38" i="79"/>
  <c r="M37" i="79"/>
  <c r="L37" i="79"/>
  <c r="J36" i="79"/>
  <c r="F36" i="79"/>
  <c r="M35" i="79"/>
  <c r="J34" i="79"/>
  <c r="F34" i="79"/>
  <c r="J33" i="79"/>
  <c r="O32" i="79"/>
  <c r="J31" i="79"/>
  <c r="F31" i="79"/>
  <c r="J30" i="79"/>
  <c r="F30" i="79"/>
  <c r="J29" i="79"/>
  <c r="I29" i="79"/>
  <c r="F28" i="79"/>
  <c r="J27" i="79"/>
  <c r="I27" i="79"/>
  <c r="G26" i="79"/>
  <c r="G24" i="79"/>
  <c r="F24" i="79"/>
  <c r="G23" i="79"/>
  <c r="F23" i="79"/>
  <c r="G22" i="79"/>
  <c r="F22" i="79"/>
  <c r="G21" i="79"/>
  <c r="G20" i="79"/>
  <c r="J19" i="79"/>
  <c r="F18" i="79"/>
  <c r="G17" i="79"/>
  <c r="F17" i="79"/>
  <c r="M16" i="79"/>
  <c r="G16" i="79"/>
  <c r="F16" i="79"/>
  <c r="M15" i="79"/>
  <c r="G15" i="79"/>
  <c r="F15" i="79"/>
  <c r="M14" i="79"/>
  <c r="G14" i="79"/>
  <c r="G13" i="79"/>
  <c r="F13" i="79"/>
  <c r="G12" i="79"/>
  <c r="F12" i="79"/>
  <c r="G11" i="79"/>
  <c r="F11" i="79"/>
  <c r="C31" i="78"/>
  <c r="C30" i="78" s="1"/>
  <c r="C29" i="78" s="1"/>
  <c r="C33" i="78"/>
  <c r="C34" i="78" s="1"/>
  <c r="C35" i="78" s="1"/>
  <c r="F124" i="79" l="1"/>
  <c r="F129" i="79"/>
  <c r="F138" i="79" s="1"/>
  <c r="F128" i="79"/>
  <c r="E114" i="79"/>
  <c r="F68" i="79"/>
  <c r="F125" i="79" s="1"/>
  <c r="F134" i="79" s="1"/>
  <c r="D11" i="49" s="1"/>
  <c r="G114" i="79"/>
  <c r="J68" i="79"/>
  <c r="J69" i="79"/>
  <c r="J70" i="79"/>
  <c r="P71" i="79"/>
  <c r="P72" i="79"/>
  <c r="P73" i="79"/>
  <c r="J74" i="79"/>
  <c r="M76" i="79"/>
  <c r="J77" i="79"/>
  <c r="J78" i="79"/>
  <c r="J79" i="79"/>
  <c r="J80" i="79"/>
  <c r="J81" i="79"/>
  <c r="J83" i="79"/>
  <c r="M84" i="79"/>
  <c r="M86" i="79"/>
  <c r="M87" i="79"/>
  <c r="M88" i="79"/>
  <c r="M90" i="79"/>
  <c r="M91" i="79"/>
  <c r="P92" i="79"/>
  <c r="M93" i="79"/>
  <c r="P94" i="79"/>
  <c r="M95" i="79"/>
  <c r="M96" i="79"/>
  <c r="M97" i="79"/>
  <c r="M98" i="79"/>
  <c r="M99" i="79"/>
  <c r="M100" i="79"/>
  <c r="M101" i="79"/>
  <c r="M102" i="79"/>
  <c r="M103" i="79"/>
  <c r="M104" i="79"/>
  <c r="P106" i="79"/>
  <c r="P109" i="79"/>
  <c r="P110" i="79"/>
  <c r="P111" i="79"/>
  <c r="P112" i="79"/>
  <c r="P113" i="79"/>
  <c r="F57" i="79"/>
  <c r="G57" i="79"/>
  <c r="J11" i="79"/>
  <c r="G59" i="79"/>
  <c r="G61" i="79" s="1"/>
  <c r="J12" i="79"/>
  <c r="G58" i="79"/>
  <c r="G60" i="79" s="1"/>
  <c r="J13" i="79"/>
  <c r="P14" i="79"/>
  <c r="P15" i="79"/>
  <c r="P16" i="79"/>
  <c r="J17" i="79"/>
  <c r="M19" i="79"/>
  <c r="J20" i="79"/>
  <c r="J21" i="79"/>
  <c r="J22" i="79"/>
  <c r="J23" i="79"/>
  <c r="J24" i="79"/>
  <c r="J26" i="79"/>
  <c r="M27" i="79"/>
  <c r="M29" i="79"/>
  <c r="M30" i="79"/>
  <c r="M31" i="79"/>
  <c r="M33" i="79"/>
  <c r="M34" i="79"/>
  <c r="P35" i="79"/>
  <c r="M36" i="79"/>
  <c r="P37" i="79"/>
  <c r="M38" i="79"/>
  <c r="M39" i="79"/>
  <c r="M40" i="79"/>
  <c r="M41" i="79"/>
  <c r="M42" i="79"/>
  <c r="M43" i="79"/>
  <c r="M44" i="79"/>
  <c r="M45" i="79"/>
  <c r="M46" i="79"/>
  <c r="M47" i="79"/>
  <c r="P49" i="79"/>
  <c r="P52" i="79"/>
  <c r="P53" i="79"/>
  <c r="P54" i="79"/>
  <c r="P55" i="79"/>
  <c r="P56" i="79"/>
  <c r="F28" i="78"/>
  <c r="E28" i="78" s="1"/>
  <c r="D28" i="78" s="1"/>
  <c r="H28" i="78"/>
  <c r="I28" i="78" s="1"/>
  <c r="J28" i="78" s="1"/>
  <c r="C4" i="70"/>
  <c r="C15" i="78"/>
  <c r="C16" i="78" s="1"/>
  <c r="C17" i="78" s="1"/>
  <c r="C18" i="78" s="1"/>
  <c r="C19" i="78" s="1"/>
  <c r="C20" i="78" s="1"/>
  <c r="E18" i="49"/>
  <c r="D18" i="49"/>
  <c r="G13" i="70"/>
  <c r="F13" i="70"/>
  <c r="E13" i="70"/>
  <c r="D13" i="70"/>
  <c r="C13" i="70"/>
  <c r="C16" i="51"/>
  <c r="F137" i="79" l="1"/>
  <c r="F139" i="79" s="1"/>
  <c r="F130" i="79"/>
  <c r="F133" i="79"/>
  <c r="F126" i="79"/>
  <c r="F114" i="79"/>
  <c r="F132" i="79"/>
  <c r="P104" i="79"/>
  <c r="P103" i="79"/>
  <c r="P102" i="79"/>
  <c r="P101" i="79"/>
  <c r="P100" i="79"/>
  <c r="P99" i="79"/>
  <c r="P98" i="79"/>
  <c r="P97" i="79"/>
  <c r="P96" i="79"/>
  <c r="P95" i="79"/>
  <c r="P93" i="79"/>
  <c r="P91" i="79"/>
  <c r="P90" i="79"/>
  <c r="P88" i="79"/>
  <c r="P87" i="79"/>
  <c r="P86" i="79"/>
  <c r="M83" i="79"/>
  <c r="M81" i="79"/>
  <c r="M80" i="79"/>
  <c r="M79" i="79"/>
  <c r="M78" i="79"/>
  <c r="M77" i="79"/>
  <c r="P76" i="79"/>
  <c r="M74" i="79"/>
  <c r="M70" i="79"/>
  <c r="M69" i="79"/>
  <c r="J114" i="79"/>
  <c r="M68" i="79"/>
  <c r="P47" i="79"/>
  <c r="P46" i="79"/>
  <c r="P45" i="79"/>
  <c r="P44" i="79"/>
  <c r="P43" i="79"/>
  <c r="P42" i="79"/>
  <c r="P41" i="79"/>
  <c r="P40" i="79"/>
  <c r="P39" i="79"/>
  <c r="P38" i="79"/>
  <c r="P36" i="79"/>
  <c r="P34" i="79"/>
  <c r="P33" i="79"/>
  <c r="P31" i="79"/>
  <c r="P30" i="79"/>
  <c r="P29" i="79"/>
  <c r="M26" i="79"/>
  <c r="M24" i="79"/>
  <c r="M23" i="79"/>
  <c r="M22" i="79"/>
  <c r="M21" i="79"/>
  <c r="M20" i="79"/>
  <c r="P19" i="79"/>
  <c r="M17" i="79"/>
  <c r="J58" i="79"/>
  <c r="J60" i="79" s="1"/>
  <c r="M13" i="79"/>
  <c r="J59" i="79"/>
  <c r="J61" i="79" s="1"/>
  <c r="M12" i="79"/>
  <c r="J57" i="79"/>
  <c r="M11" i="79"/>
  <c r="C14" i="70"/>
  <c r="O11" i="49"/>
  <c r="G19" i="77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B7" i="77"/>
  <c r="C7" i="77" s="1"/>
  <c r="D11" i="47" l="1"/>
  <c r="F135" i="79"/>
  <c r="M114" i="79"/>
  <c r="P68" i="79"/>
  <c r="P69" i="79"/>
  <c r="P70" i="79"/>
  <c r="P74" i="79"/>
  <c r="P77" i="79"/>
  <c r="P78" i="79"/>
  <c r="P79" i="79"/>
  <c r="P80" i="79"/>
  <c r="P81" i="79"/>
  <c r="P83" i="79"/>
  <c r="M57" i="79"/>
  <c r="P11" i="79"/>
  <c r="M59" i="79"/>
  <c r="M61" i="79" s="1"/>
  <c r="P12" i="79"/>
  <c r="M58" i="79"/>
  <c r="M60" i="79" s="1"/>
  <c r="P13" i="79"/>
  <c r="P17" i="79"/>
  <c r="P20" i="79"/>
  <c r="P21" i="79"/>
  <c r="P22" i="79"/>
  <c r="P23" i="79"/>
  <c r="P24" i="79"/>
  <c r="P26" i="79"/>
  <c r="D7" i="77"/>
  <c r="D8" i="77" s="1"/>
  <c r="D9" i="77" s="1"/>
  <c r="D10" i="77" s="1"/>
  <c r="D11" i="77" s="1"/>
  <c r="D12" i="77" s="1"/>
  <c r="D13" i="77" s="1"/>
  <c r="D14" i="77" s="1"/>
  <c r="D15" i="77" s="1"/>
  <c r="D16" i="77" s="1"/>
  <c r="D17" i="77" s="1"/>
  <c r="D18" i="77" s="1"/>
  <c r="D19" i="77" s="1"/>
  <c r="D20" i="77" s="1"/>
  <c r="D21" i="77" s="1"/>
  <c r="D22" i="77" s="1"/>
  <c r="D23" i="77" s="1"/>
  <c r="D24" i="77" s="1"/>
  <c r="D25" i="77" s="1"/>
  <c r="D26" i="77" s="1"/>
  <c r="D27" i="77" s="1"/>
  <c r="D28" i="77" s="1"/>
  <c r="D29" i="77" s="1"/>
  <c r="D30" i="77" s="1"/>
  <c r="D31" i="77" s="1"/>
  <c r="D32" i="77" s="1"/>
  <c r="D33" i="77" s="1"/>
  <c r="D34" i="77" s="1"/>
  <c r="D35" i="77" s="1"/>
  <c r="D36" i="77" s="1"/>
  <c r="P114" i="79" l="1"/>
  <c r="P58" i="79"/>
  <c r="P60" i="79" s="1"/>
  <c r="P59" i="79"/>
  <c r="P61" i="79" s="1"/>
  <c r="P57" i="79"/>
  <c r="I37" i="77"/>
  <c r="H19" i="77"/>
  <c r="E7" i="77"/>
  <c r="B8" i="77" s="1"/>
  <c r="C8" i="77" s="1"/>
  <c r="E70" i="39"/>
  <c r="F70" i="39"/>
  <c r="G70" i="39"/>
  <c r="H70" i="39"/>
  <c r="D70" i="39"/>
  <c r="E68" i="39"/>
  <c r="F68" i="39"/>
  <c r="G68" i="39"/>
  <c r="H68" i="39"/>
  <c r="D68" i="39"/>
  <c r="E66" i="39"/>
  <c r="F66" i="39"/>
  <c r="G66" i="39"/>
  <c r="H66" i="39"/>
  <c r="D66" i="39"/>
  <c r="E35" i="39"/>
  <c r="F35" i="39"/>
  <c r="G35" i="39"/>
  <c r="H35" i="39"/>
  <c r="D35" i="39"/>
  <c r="E25" i="39"/>
  <c r="F25" i="39"/>
  <c r="G25" i="39"/>
  <c r="H25" i="39"/>
  <c r="D25" i="39"/>
  <c r="E23" i="39"/>
  <c r="F23" i="39"/>
  <c r="G23" i="39"/>
  <c r="H23" i="39"/>
  <c r="D23" i="39"/>
  <c r="E55" i="39"/>
  <c r="F55" i="39"/>
  <c r="G55" i="39"/>
  <c r="H55" i="39"/>
  <c r="D55" i="39"/>
  <c r="G84" i="73"/>
  <c r="D32" i="57"/>
  <c r="J23" i="49"/>
  <c r="K23" i="49"/>
  <c r="L23" i="49"/>
  <c r="M23" i="49"/>
  <c r="J28" i="49"/>
  <c r="K28" i="49"/>
  <c r="L28" i="49"/>
  <c r="M28" i="49"/>
  <c r="E8" i="77" l="1"/>
  <c r="B9" i="77" s="1"/>
  <c r="C9" i="77" s="1"/>
  <c r="J19" i="77"/>
  <c r="G20" i="77" s="1"/>
  <c r="D37" i="77"/>
  <c r="Q28" i="76"/>
  <c r="R28" i="76" s="1"/>
  <c r="O28" i="76"/>
  <c r="D88" i="73"/>
  <c r="D87" i="73"/>
  <c r="D86" i="73"/>
  <c r="E86" i="73" s="1"/>
  <c r="D85" i="73"/>
  <c r="D84" i="73"/>
  <c r="E25" i="47"/>
  <c r="E26" i="40" s="1"/>
  <c r="F25" i="47"/>
  <c r="F26" i="40" s="1"/>
  <c r="G25" i="47"/>
  <c r="G26" i="40" s="1"/>
  <c r="H25" i="47"/>
  <c r="H26" i="40" s="1"/>
  <c r="D25" i="47"/>
  <c r="D26" i="40" s="1"/>
  <c r="E52" i="69"/>
  <c r="F52" i="69"/>
  <c r="D52" i="69"/>
  <c r="Q89" i="79" l="1"/>
  <c r="R89" i="79" s="1"/>
  <c r="Q32" i="79"/>
  <c r="R32" i="79" s="1"/>
  <c r="E9" i="77"/>
  <c r="B10" i="77" s="1"/>
  <c r="C10" i="77" s="1"/>
  <c r="H20" i="77"/>
  <c r="J20" i="77" s="1"/>
  <c r="G21" i="77" s="1"/>
  <c r="H21" i="77" s="1"/>
  <c r="J21" i="77" s="1"/>
  <c r="G22" i="77" s="1"/>
  <c r="E54" i="69"/>
  <c r="D55" i="69"/>
  <c r="D51" i="69" s="1"/>
  <c r="G54" i="69"/>
  <c r="F55" i="69"/>
  <c r="F54" i="69"/>
  <c r="F51" i="69" s="1"/>
  <c r="E55" i="69"/>
  <c r="D9" i="39"/>
  <c r="D6" i="39"/>
  <c r="E6" i="39" s="1"/>
  <c r="F6" i="39" s="1"/>
  <c r="G6" i="39" s="1"/>
  <c r="H6" i="39" s="1"/>
  <c r="D30" i="71"/>
  <c r="H22" i="77" l="1"/>
  <c r="J22" i="77" s="1"/>
  <c r="G23" i="77" s="1"/>
  <c r="H23" i="77" s="1"/>
  <c r="E10" i="77"/>
  <c r="B11" i="77" s="1"/>
  <c r="C11" i="77" s="1"/>
  <c r="E51" i="69"/>
  <c r="C102" i="73"/>
  <c r="H88" i="73"/>
  <c r="G88" i="73"/>
  <c r="G85" i="73"/>
  <c r="H85" i="73"/>
  <c r="I86" i="73"/>
  <c r="J86" i="73" s="1"/>
  <c r="F84" i="73"/>
  <c r="F85" i="73"/>
  <c r="F87" i="73"/>
  <c r="F88" i="73"/>
  <c r="E88" i="73"/>
  <c r="E87" i="73"/>
  <c r="E85" i="73"/>
  <c r="I85" i="73" s="1"/>
  <c r="J85" i="73" s="1"/>
  <c r="E84" i="73"/>
  <c r="H84" i="73" s="1"/>
  <c r="H100" i="73"/>
  <c r="H99" i="73"/>
  <c r="G100" i="73"/>
  <c r="F92" i="73"/>
  <c r="J23" i="77" l="1"/>
  <c r="G24" i="77" s="1"/>
  <c r="H24" i="77" s="1"/>
  <c r="J24" i="77" s="1"/>
  <c r="G25" i="77" s="1"/>
  <c r="E11" i="77"/>
  <c r="B12" i="77" s="1"/>
  <c r="C12" i="77" s="1"/>
  <c r="I84" i="73"/>
  <c r="J84" i="73" s="1"/>
  <c r="G87" i="73"/>
  <c r="I87" i="73" s="1"/>
  <c r="J87" i="73" s="1"/>
  <c r="D13" i="73"/>
  <c r="I88" i="73"/>
  <c r="J88" i="73" s="1"/>
  <c r="F99" i="73"/>
  <c r="G99" i="73"/>
  <c r="H96" i="73"/>
  <c r="H14" i="73" s="1"/>
  <c r="I96" i="73"/>
  <c r="H95" i="73"/>
  <c r="G95" i="73"/>
  <c r="G14" i="73" s="1"/>
  <c r="H94" i="73"/>
  <c r="G94" i="73"/>
  <c r="F94" i="73"/>
  <c r="F14" i="73" s="1"/>
  <c r="C23" i="57"/>
  <c r="E12" i="77" l="1"/>
  <c r="B13" i="77" s="1"/>
  <c r="C13" i="77" s="1"/>
  <c r="F25" i="40"/>
  <c r="H25" i="77"/>
  <c r="J25" i="77" s="1"/>
  <c r="G26" i="77" s="1"/>
  <c r="H26" i="77" s="1"/>
  <c r="J26" i="77" s="1"/>
  <c r="G27" i="77" s="1"/>
  <c r="I94" i="73"/>
  <c r="J94" i="73" s="1"/>
  <c r="I95" i="73"/>
  <c r="J95" i="73" s="1"/>
  <c r="I99" i="73"/>
  <c r="J99" i="73" s="1"/>
  <c r="I100" i="73"/>
  <c r="J100" i="73" s="1"/>
  <c r="J96" i="73"/>
  <c r="G93" i="73"/>
  <c r="E93" i="73"/>
  <c r="F93" i="73"/>
  <c r="H21" i="57"/>
  <c r="D20" i="57"/>
  <c r="D92" i="73"/>
  <c r="E92" i="73"/>
  <c r="F11" i="57" l="1"/>
  <c r="E13" i="77"/>
  <c r="B14" i="77" s="1"/>
  <c r="C14" i="77" s="1"/>
  <c r="E14" i="77" s="1"/>
  <c r="B15" i="77" s="1"/>
  <c r="C15" i="77" s="1"/>
  <c r="E15" i="77" s="1"/>
  <c r="B16" i="77" s="1"/>
  <c r="C16" i="77" s="1"/>
  <c r="E16" i="77" s="1"/>
  <c r="B17" i="77" s="1"/>
  <c r="C17" i="77" s="1"/>
  <c r="E17" i="77" s="1"/>
  <c r="B18" i="77" s="1"/>
  <c r="C18" i="77" s="1"/>
  <c r="F41" i="71"/>
  <c r="H27" i="77"/>
  <c r="J27" i="77" s="1"/>
  <c r="G28" i="77" s="1"/>
  <c r="E102" i="73"/>
  <c r="E13" i="73"/>
  <c r="G92" i="73"/>
  <c r="I92" i="73" s="1"/>
  <c r="D102" i="73"/>
  <c r="F102" i="73"/>
  <c r="F13" i="73"/>
  <c r="E14" i="73"/>
  <c r="H93" i="73"/>
  <c r="F23" i="40"/>
  <c r="F11" i="71" s="1"/>
  <c r="D14" i="73"/>
  <c r="D16" i="73" s="1"/>
  <c r="I93" i="73"/>
  <c r="J93" i="73" s="1"/>
  <c r="E23" i="40" l="1"/>
  <c r="E11" i="71" s="1"/>
  <c r="E18" i="77"/>
  <c r="B19" i="77" s="1"/>
  <c r="C19" i="77" s="1"/>
  <c r="H28" i="77"/>
  <c r="J28" i="77" s="1"/>
  <c r="G29" i="77" s="1"/>
  <c r="I102" i="73"/>
  <c r="H102" i="73"/>
  <c r="H13" i="73"/>
  <c r="H23" i="40" s="1"/>
  <c r="H11" i="71" s="1"/>
  <c r="G102" i="73"/>
  <c r="G13" i="73"/>
  <c r="G23" i="40" s="1"/>
  <c r="G11" i="71" s="1"/>
  <c r="D22" i="57"/>
  <c r="E12" i="73"/>
  <c r="E16" i="73" s="1"/>
  <c r="J92" i="73"/>
  <c r="J102" i="73" s="1"/>
  <c r="G59" i="39"/>
  <c r="H59" i="39" s="1"/>
  <c r="E19" i="77" l="1"/>
  <c r="B20" i="77" s="1"/>
  <c r="C20" i="77" s="1"/>
  <c r="E20" i="77" s="1"/>
  <c r="B21" i="77" s="1"/>
  <c r="C21" i="77" s="1"/>
  <c r="H29" i="77"/>
  <c r="J29" i="77" s="1"/>
  <c r="G30" i="77" s="1"/>
  <c r="F12" i="73"/>
  <c r="F16" i="73" s="1"/>
  <c r="E22" i="57"/>
  <c r="D13" i="47"/>
  <c r="D13" i="40" s="1"/>
  <c r="F30" i="69"/>
  <c r="F18" i="49" s="1"/>
  <c r="C9" i="70"/>
  <c r="G7" i="70"/>
  <c r="E7" i="70"/>
  <c r="D4" i="70"/>
  <c r="H38" i="76"/>
  <c r="H39" i="76"/>
  <c r="F39" i="76"/>
  <c r="F38" i="76"/>
  <c r="J34" i="76"/>
  <c r="H34" i="76"/>
  <c r="F34" i="76"/>
  <c r="K15" i="76"/>
  <c r="J15" i="76"/>
  <c r="I15" i="76"/>
  <c r="N15" i="76" l="1"/>
  <c r="K76" i="79"/>
  <c r="L76" i="79" s="1"/>
  <c r="K19" i="79"/>
  <c r="L19" i="79" s="1"/>
  <c r="H95" i="79"/>
  <c r="I95" i="79" s="1"/>
  <c r="H38" i="79"/>
  <c r="I38" i="79" s="1"/>
  <c r="H100" i="79"/>
  <c r="I100" i="79" s="1"/>
  <c r="H43" i="79"/>
  <c r="I43" i="79" s="1"/>
  <c r="H99" i="79"/>
  <c r="I99" i="79" s="1"/>
  <c r="H42" i="79"/>
  <c r="I42" i="79" s="1"/>
  <c r="E21" i="77"/>
  <c r="B22" i="77" s="1"/>
  <c r="H30" i="77"/>
  <c r="J30" i="77" s="1"/>
  <c r="G31" i="77" s="1"/>
  <c r="C22" i="77"/>
  <c r="J18" i="49"/>
  <c r="G12" i="73"/>
  <c r="G16" i="73" s="1"/>
  <c r="F22" i="57"/>
  <c r="E13" i="47"/>
  <c r="F43" i="69"/>
  <c r="K18" i="49"/>
  <c r="G30" i="69"/>
  <c r="G18" i="49" s="1"/>
  <c r="D9" i="70"/>
  <c r="E4" i="70"/>
  <c r="K34" i="76"/>
  <c r="I34" i="76"/>
  <c r="M34" i="76"/>
  <c r="L34" i="76"/>
  <c r="M15" i="76"/>
  <c r="L15" i="76"/>
  <c r="F14" i="76"/>
  <c r="N34" i="76" l="1"/>
  <c r="K95" i="79"/>
  <c r="L95" i="79" s="1"/>
  <c r="K38" i="79"/>
  <c r="L38" i="79" s="1"/>
  <c r="Q15" i="76"/>
  <c r="N76" i="79"/>
  <c r="O76" i="79" s="1"/>
  <c r="N19" i="79"/>
  <c r="O19" i="79" s="1"/>
  <c r="E13" i="40"/>
  <c r="J13" i="47"/>
  <c r="J13" i="40"/>
  <c r="E22" i="77"/>
  <c r="B23" i="77" s="1"/>
  <c r="H31" i="77"/>
  <c r="J31" i="77" s="1"/>
  <c r="G32" i="77" s="1"/>
  <c r="C23" i="77"/>
  <c r="H12" i="73"/>
  <c r="H16" i="73" s="1"/>
  <c r="H22" i="57" s="1"/>
  <c r="G22" i="57"/>
  <c r="F13" i="47"/>
  <c r="G43" i="69"/>
  <c r="L18" i="49"/>
  <c r="H30" i="69"/>
  <c r="H18" i="49" s="1"/>
  <c r="E9" i="70"/>
  <c r="F4" i="70"/>
  <c r="P34" i="76"/>
  <c r="O34" i="76"/>
  <c r="O15" i="76"/>
  <c r="P15" i="76"/>
  <c r="R15" i="76" s="1"/>
  <c r="Q76" i="79" l="1"/>
  <c r="R76" i="79" s="1"/>
  <c r="Q19" i="79"/>
  <c r="R19" i="79" s="1"/>
  <c r="Q34" i="76"/>
  <c r="N95" i="79"/>
  <c r="O95" i="79" s="1"/>
  <c r="N38" i="79"/>
  <c r="O38" i="79" s="1"/>
  <c r="M18" i="49"/>
  <c r="F13" i="40"/>
  <c r="K13" i="40" s="1"/>
  <c r="K13" i="47"/>
  <c r="E23" i="77"/>
  <c r="B24" i="77" s="1"/>
  <c r="C24" i="77" s="1"/>
  <c r="H32" i="77"/>
  <c r="J32" i="77" s="1"/>
  <c r="G33" i="77" s="1"/>
  <c r="G13" i="47"/>
  <c r="H43" i="69"/>
  <c r="H13" i="47" s="1"/>
  <c r="F9" i="70"/>
  <c r="G4" i="70"/>
  <c r="G9" i="70" s="1"/>
  <c r="E14" i="70"/>
  <c r="F4" i="47" s="1"/>
  <c r="F14" i="70"/>
  <c r="G4" i="47" s="1"/>
  <c r="G14" i="70"/>
  <c r="H4" i="47" s="1"/>
  <c r="Q95" i="79" l="1"/>
  <c r="R95" i="79" s="1"/>
  <c r="Q38" i="79"/>
  <c r="R38" i="79" s="1"/>
  <c r="R34" i="76"/>
  <c r="H13" i="40"/>
  <c r="M13" i="47"/>
  <c r="G13" i="40"/>
  <c r="M13" i="40" s="1"/>
  <c r="L13" i="47"/>
  <c r="H4" i="40"/>
  <c r="H5" i="47"/>
  <c r="H9" i="47" s="1"/>
  <c r="M4" i="47"/>
  <c r="F4" i="40"/>
  <c r="F5" i="47"/>
  <c r="F9" i="47" s="1"/>
  <c r="G4" i="40"/>
  <c r="G5" i="47"/>
  <c r="G9" i="47" s="1"/>
  <c r="L4" i="47"/>
  <c r="E24" i="77"/>
  <c r="B25" i="77" s="1"/>
  <c r="C25" i="77" s="1"/>
  <c r="G25" i="40"/>
  <c r="H33" i="77"/>
  <c r="J33" i="77" s="1"/>
  <c r="G34" i="77" s="1"/>
  <c r="D4" i="47"/>
  <c r="D14" i="70"/>
  <c r="E4" i="47" s="1"/>
  <c r="L13" i="40" l="1"/>
  <c r="G11" i="57"/>
  <c r="G41" i="71" s="1"/>
  <c r="E4" i="40"/>
  <c r="K4" i="47"/>
  <c r="E5" i="47"/>
  <c r="E9" i="47" s="1"/>
  <c r="J4" i="47"/>
  <c r="D5" i="47"/>
  <c r="D9" i="47" s="1"/>
  <c r="E25" i="77"/>
  <c r="B26" i="77" s="1"/>
  <c r="C26" i="77" s="1"/>
  <c r="H34" i="77"/>
  <c r="J34" i="77" s="1"/>
  <c r="G35" i="77" s="1"/>
  <c r="D46" i="71"/>
  <c r="C34" i="57"/>
  <c r="C15" i="57"/>
  <c r="D23" i="40"/>
  <c r="D11" i="71" s="1"/>
  <c r="D21" i="71"/>
  <c r="E26" i="77" l="1"/>
  <c r="B27" i="77" s="1"/>
  <c r="H35" i="77"/>
  <c r="J35" i="77" s="1"/>
  <c r="G36" i="77" s="1"/>
  <c r="C27" i="77"/>
  <c r="C36" i="57"/>
  <c r="D31" i="57"/>
  <c r="D26" i="57"/>
  <c r="D25" i="57"/>
  <c r="D7" i="57"/>
  <c r="E72" i="39"/>
  <c r="E74" i="39"/>
  <c r="F74" i="39" s="1"/>
  <c r="G74" i="39" s="1"/>
  <c r="H74" i="39" s="1"/>
  <c r="D50" i="39"/>
  <c r="D27" i="57" s="1"/>
  <c r="H33" i="39"/>
  <c r="E77" i="39"/>
  <c r="E79" i="39"/>
  <c r="E49" i="39"/>
  <c r="E45" i="39"/>
  <c r="E43" i="39"/>
  <c r="H22" i="69"/>
  <c r="G22" i="69"/>
  <c r="H18" i="69"/>
  <c r="G18" i="69"/>
  <c r="F22" i="69"/>
  <c r="F18" i="69"/>
  <c r="E22" i="69"/>
  <c r="E18" i="69"/>
  <c r="D22" i="69"/>
  <c r="D16" i="49" s="1"/>
  <c r="D18" i="69"/>
  <c r="D15" i="49" s="1"/>
  <c r="E34" i="69"/>
  <c r="D19" i="73"/>
  <c r="E26" i="73"/>
  <c r="F26" i="73"/>
  <c r="G26" i="73"/>
  <c r="H26" i="73"/>
  <c r="D26" i="73"/>
  <c r="D55" i="76"/>
  <c r="D57" i="76" s="1"/>
  <c r="D31" i="73" s="1"/>
  <c r="D25" i="73" s="1"/>
  <c r="D54" i="76"/>
  <c r="D56" i="76" s="1"/>
  <c r="D30" i="73" s="1"/>
  <c r="E27" i="77" l="1"/>
  <c r="B28" i="77" s="1"/>
  <c r="F72" i="39"/>
  <c r="H36" i="77"/>
  <c r="C28" i="77"/>
  <c r="F79" i="39"/>
  <c r="E32" i="57"/>
  <c r="F43" i="39"/>
  <c r="E25" i="57"/>
  <c r="E15" i="71" s="1"/>
  <c r="F45" i="39"/>
  <c r="E26" i="57"/>
  <c r="E16" i="71" s="1"/>
  <c r="F77" i="39"/>
  <c r="E31" i="57"/>
  <c r="E20" i="71" s="1"/>
  <c r="D15" i="71"/>
  <c r="D16" i="71"/>
  <c r="D41" i="71"/>
  <c r="D20" i="71"/>
  <c r="D50" i="71"/>
  <c r="E46" i="71"/>
  <c r="D15" i="40"/>
  <c r="D16" i="40"/>
  <c r="E15" i="49"/>
  <c r="E16" i="49"/>
  <c r="F15" i="49"/>
  <c r="F16" i="49"/>
  <c r="G15" i="49"/>
  <c r="H15" i="49"/>
  <c r="G16" i="49"/>
  <c r="H16" i="49"/>
  <c r="F49" i="39"/>
  <c r="E50" i="39"/>
  <c r="E27" i="57" s="1"/>
  <c r="E41" i="71" s="1"/>
  <c r="D4" i="40"/>
  <c r="D24" i="73"/>
  <c r="D27" i="73" s="1"/>
  <c r="D5" i="73" s="1"/>
  <c r="D21" i="57" s="1"/>
  <c r="D35" i="71" s="1"/>
  <c r="D33" i="73"/>
  <c r="E28" i="77" l="1"/>
  <c r="B29" i="77" s="1"/>
  <c r="G72" i="39"/>
  <c r="J36" i="77"/>
  <c r="H37" i="77"/>
  <c r="C29" i="77"/>
  <c r="E50" i="71"/>
  <c r="F46" i="71"/>
  <c r="G79" i="39"/>
  <c r="F32" i="57"/>
  <c r="H16" i="40"/>
  <c r="M16" i="49"/>
  <c r="G16" i="40"/>
  <c r="L16" i="49"/>
  <c r="H15" i="40"/>
  <c r="M15" i="49"/>
  <c r="G15" i="40"/>
  <c r="L15" i="49"/>
  <c r="F16" i="40"/>
  <c r="K16" i="49"/>
  <c r="F15" i="40"/>
  <c r="K15" i="49"/>
  <c r="E16" i="40"/>
  <c r="J16" i="40" s="1"/>
  <c r="J16" i="49"/>
  <c r="E15" i="40"/>
  <c r="J15" i="49"/>
  <c r="G77" i="39"/>
  <c r="F31" i="57"/>
  <c r="F20" i="71" s="1"/>
  <c r="G45" i="39"/>
  <c r="F26" i="57"/>
  <c r="F16" i="71" s="1"/>
  <c r="G43" i="39"/>
  <c r="F25" i="57"/>
  <c r="F15" i="71" s="1"/>
  <c r="D7" i="73"/>
  <c r="D20" i="73" s="1"/>
  <c r="E19" i="73" s="1"/>
  <c r="J4" i="40"/>
  <c r="K4" i="40"/>
  <c r="L4" i="40"/>
  <c r="M4" i="40"/>
  <c r="G49" i="39"/>
  <c r="F50" i="39"/>
  <c r="F27" i="57" s="1"/>
  <c r="J15" i="40" l="1"/>
  <c r="E29" i="77"/>
  <c r="B30" i="77" s="1"/>
  <c r="H72" i="39"/>
  <c r="C30" i="77"/>
  <c r="F50" i="71"/>
  <c r="G46" i="71"/>
  <c r="H79" i="39"/>
  <c r="H32" i="57" s="1"/>
  <c r="H50" i="71" s="1"/>
  <c r="G32" i="57"/>
  <c r="H43" i="39"/>
  <c r="H25" i="57" s="1"/>
  <c r="G25" i="57"/>
  <c r="G15" i="71" s="1"/>
  <c r="H45" i="39"/>
  <c r="H26" i="57" s="1"/>
  <c r="G26" i="57"/>
  <c r="G16" i="71" s="1"/>
  <c r="H77" i="39"/>
  <c r="H31" i="57" s="1"/>
  <c r="G31" i="57"/>
  <c r="G20" i="71" s="1"/>
  <c r="E4" i="73"/>
  <c r="E20" i="57"/>
  <c r="D23" i="57"/>
  <c r="D37" i="71"/>
  <c r="K15" i="40"/>
  <c r="K16" i="40"/>
  <c r="L15" i="40"/>
  <c r="M15" i="40"/>
  <c r="L16" i="40"/>
  <c r="M16" i="40"/>
  <c r="H49" i="39"/>
  <c r="H50" i="39" s="1"/>
  <c r="H27" i="57" s="1"/>
  <c r="G50" i="39"/>
  <c r="G27" i="57" s="1"/>
  <c r="E30" i="77" l="1"/>
  <c r="B31" i="77" s="1"/>
  <c r="C31" i="77" s="1"/>
  <c r="G50" i="71"/>
  <c r="H46" i="71"/>
  <c r="H20" i="71"/>
  <c r="H16" i="71"/>
  <c r="H15" i="71"/>
  <c r="E7" i="57"/>
  <c r="E31" i="77" l="1"/>
  <c r="B32" i="77" s="1"/>
  <c r="C32" i="77" s="1"/>
  <c r="F7" i="57"/>
  <c r="E32" i="77" l="1"/>
  <c r="B33" i="77" s="1"/>
  <c r="C33" i="77" s="1"/>
  <c r="G7" i="57"/>
  <c r="E33" i="77" l="1"/>
  <c r="B34" i="77" s="1"/>
  <c r="C34" i="77" s="1"/>
  <c r="H7" i="57"/>
  <c r="E34" i="77" l="1"/>
  <c r="B35" i="77" s="1"/>
  <c r="C35" i="77" s="1"/>
  <c r="G35" i="69"/>
  <c r="H35" i="69" s="1"/>
  <c r="G34" i="69"/>
  <c r="H34" i="69" s="1"/>
  <c r="E36" i="69"/>
  <c r="F36" i="69"/>
  <c r="G36" i="69"/>
  <c r="H36" i="69"/>
  <c r="D36" i="69"/>
  <c r="D19" i="49" s="1"/>
  <c r="E53" i="76"/>
  <c r="D53" i="76"/>
  <c r="M52" i="76"/>
  <c r="H52" i="76"/>
  <c r="F52" i="76"/>
  <c r="M51" i="76"/>
  <c r="H51" i="76"/>
  <c r="F51" i="76"/>
  <c r="M50" i="76"/>
  <c r="H50" i="76"/>
  <c r="F50" i="76"/>
  <c r="M49" i="76"/>
  <c r="H49" i="76"/>
  <c r="F49" i="76"/>
  <c r="M48" i="76"/>
  <c r="H48" i="76"/>
  <c r="F48" i="76"/>
  <c r="M45" i="76"/>
  <c r="H45" i="76"/>
  <c r="F45" i="76"/>
  <c r="H44" i="76"/>
  <c r="F44" i="76"/>
  <c r="J43" i="76"/>
  <c r="H43" i="76"/>
  <c r="F43" i="76"/>
  <c r="J42" i="76"/>
  <c r="H42" i="76"/>
  <c r="F42" i="76"/>
  <c r="J41" i="76"/>
  <c r="H41" i="76"/>
  <c r="F41" i="76"/>
  <c r="K40" i="76"/>
  <c r="J40" i="76"/>
  <c r="I40" i="76"/>
  <c r="K39" i="76"/>
  <c r="J39" i="76"/>
  <c r="I39" i="76"/>
  <c r="K38" i="76"/>
  <c r="J38" i="76"/>
  <c r="I38" i="76"/>
  <c r="J37" i="76"/>
  <c r="H37" i="76"/>
  <c r="F37" i="76"/>
  <c r="J36" i="76"/>
  <c r="H36" i="76"/>
  <c r="F36" i="76"/>
  <c r="J35" i="76"/>
  <c r="H35" i="76"/>
  <c r="F35" i="76"/>
  <c r="N33" i="76"/>
  <c r="M33" i="76"/>
  <c r="L33" i="76"/>
  <c r="J32" i="76"/>
  <c r="H32" i="76"/>
  <c r="F32" i="76"/>
  <c r="N31" i="76"/>
  <c r="M31" i="76"/>
  <c r="L31" i="76"/>
  <c r="J30" i="76"/>
  <c r="H30" i="76"/>
  <c r="F30" i="76"/>
  <c r="J29" i="76"/>
  <c r="H29" i="76"/>
  <c r="F29" i="76"/>
  <c r="J27" i="76"/>
  <c r="H27" i="76"/>
  <c r="F27" i="76"/>
  <c r="J26" i="76"/>
  <c r="H26" i="76"/>
  <c r="F26" i="76"/>
  <c r="K25" i="76"/>
  <c r="J25" i="76"/>
  <c r="I25" i="76"/>
  <c r="H24" i="76"/>
  <c r="F24" i="76"/>
  <c r="K23" i="76"/>
  <c r="J23" i="76"/>
  <c r="I23" i="76"/>
  <c r="H22" i="76"/>
  <c r="G22" i="76"/>
  <c r="F22" i="76"/>
  <c r="H20" i="76"/>
  <c r="G20" i="76"/>
  <c r="F20" i="76"/>
  <c r="H19" i="76"/>
  <c r="G19" i="76"/>
  <c r="F19" i="76"/>
  <c r="H18" i="76"/>
  <c r="G18" i="76"/>
  <c r="F18" i="76"/>
  <c r="H17" i="76"/>
  <c r="G17" i="76"/>
  <c r="F17" i="76"/>
  <c r="H16" i="76"/>
  <c r="G16" i="76"/>
  <c r="F16" i="76"/>
  <c r="H13" i="76"/>
  <c r="G13" i="76"/>
  <c r="F13" i="76"/>
  <c r="M12" i="76"/>
  <c r="H12" i="76"/>
  <c r="G12" i="76"/>
  <c r="F12" i="76"/>
  <c r="M11" i="76"/>
  <c r="H11" i="76"/>
  <c r="G11" i="76"/>
  <c r="I11" i="76" s="1"/>
  <c r="F11" i="76"/>
  <c r="M10" i="76"/>
  <c r="H10" i="76"/>
  <c r="G10" i="76"/>
  <c r="F10" i="76"/>
  <c r="H9" i="76"/>
  <c r="G9" i="76"/>
  <c r="F9" i="76"/>
  <c r="H8" i="76"/>
  <c r="G8" i="76"/>
  <c r="F8" i="76"/>
  <c r="H7" i="76"/>
  <c r="G7" i="76"/>
  <c r="F7" i="76"/>
  <c r="H68" i="79" l="1"/>
  <c r="H11" i="79"/>
  <c r="K8" i="76"/>
  <c r="H69" i="79"/>
  <c r="I69" i="79" s="1"/>
  <c r="H12" i="79"/>
  <c r="I12" i="79" s="1"/>
  <c r="K9" i="76"/>
  <c r="H70" i="79"/>
  <c r="I70" i="79" s="1"/>
  <c r="H13" i="79"/>
  <c r="I13" i="79" s="1"/>
  <c r="K10" i="76"/>
  <c r="H71" i="79"/>
  <c r="I71" i="79" s="1"/>
  <c r="H14" i="79"/>
  <c r="I14" i="79" s="1"/>
  <c r="K11" i="76"/>
  <c r="H72" i="79"/>
  <c r="I72" i="79" s="1"/>
  <c r="H15" i="79"/>
  <c r="I15" i="79" s="1"/>
  <c r="K12" i="76"/>
  <c r="L12" i="76" s="1"/>
  <c r="H73" i="79"/>
  <c r="I73" i="79" s="1"/>
  <c r="H16" i="79"/>
  <c r="I16" i="79" s="1"/>
  <c r="K13" i="76"/>
  <c r="H74" i="79"/>
  <c r="I74" i="79" s="1"/>
  <c r="H17" i="79"/>
  <c r="I17" i="79" s="1"/>
  <c r="K16" i="76"/>
  <c r="H77" i="79"/>
  <c r="I77" i="79" s="1"/>
  <c r="H20" i="79"/>
  <c r="I20" i="79" s="1"/>
  <c r="K17" i="76"/>
  <c r="H78" i="79"/>
  <c r="I78" i="79" s="1"/>
  <c r="H21" i="79"/>
  <c r="I21" i="79" s="1"/>
  <c r="K18" i="76"/>
  <c r="H79" i="79"/>
  <c r="I79" i="79" s="1"/>
  <c r="H22" i="79"/>
  <c r="I22" i="79" s="1"/>
  <c r="K19" i="76"/>
  <c r="H80" i="79"/>
  <c r="I80" i="79" s="1"/>
  <c r="H23" i="79"/>
  <c r="I23" i="79" s="1"/>
  <c r="K20" i="76"/>
  <c r="H81" i="79"/>
  <c r="I81" i="79" s="1"/>
  <c r="H24" i="79"/>
  <c r="I24" i="79" s="1"/>
  <c r="K22" i="76"/>
  <c r="H83" i="79"/>
  <c r="I83" i="79" s="1"/>
  <c r="H26" i="79"/>
  <c r="I26" i="79" s="1"/>
  <c r="N23" i="76"/>
  <c r="K84" i="79"/>
  <c r="L84" i="79" s="1"/>
  <c r="K27" i="79"/>
  <c r="L27" i="79" s="1"/>
  <c r="H85" i="79"/>
  <c r="I85" i="79" s="1"/>
  <c r="H28" i="79"/>
  <c r="I28" i="79" s="1"/>
  <c r="N25" i="76"/>
  <c r="K86" i="79"/>
  <c r="L86" i="79" s="1"/>
  <c r="K29" i="79"/>
  <c r="L29" i="79" s="1"/>
  <c r="H87" i="79"/>
  <c r="I87" i="79" s="1"/>
  <c r="H30" i="79"/>
  <c r="I30" i="79" s="1"/>
  <c r="H88" i="79"/>
  <c r="I88" i="79" s="1"/>
  <c r="H31" i="79"/>
  <c r="I31" i="79" s="1"/>
  <c r="H90" i="79"/>
  <c r="I90" i="79" s="1"/>
  <c r="H33" i="79"/>
  <c r="I33" i="79" s="1"/>
  <c r="H91" i="79"/>
  <c r="I91" i="79" s="1"/>
  <c r="H34" i="79"/>
  <c r="I34" i="79" s="1"/>
  <c r="Q31" i="76"/>
  <c r="N92" i="79"/>
  <c r="O92" i="79" s="1"/>
  <c r="N35" i="79"/>
  <c r="O35" i="79" s="1"/>
  <c r="H93" i="79"/>
  <c r="I93" i="79" s="1"/>
  <c r="H36" i="79"/>
  <c r="I36" i="79" s="1"/>
  <c r="Q33" i="76"/>
  <c r="N94" i="79"/>
  <c r="O94" i="79" s="1"/>
  <c r="N37" i="79"/>
  <c r="O37" i="79" s="1"/>
  <c r="H96" i="79"/>
  <c r="I96" i="79" s="1"/>
  <c r="H39" i="79"/>
  <c r="I39" i="79" s="1"/>
  <c r="H97" i="79"/>
  <c r="I97" i="79" s="1"/>
  <c r="H40" i="79"/>
  <c r="I40" i="79" s="1"/>
  <c r="H98" i="79"/>
  <c r="I98" i="79" s="1"/>
  <c r="H41" i="79"/>
  <c r="I41" i="79" s="1"/>
  <c r="N38" i="76"/>
  <c r="K99" i="79"/>
  <c r="L99" i="79" s="1"/>
  <c r="K42" i="79"/>
  <c r="L42" i="79" s="1"/>
  <c r="N39" i="76"/>
  <c r="K100" i="79"/>
  <c r="L100" i="79" s="1"/>
  <c r="K43" i="79"/>
  <c r="L43" i="79" s="1"/>
  <c r="N40" i="76"/>
  <c r="K101" i="79"/>
  <c r="L101" i="79" s="1"/>
  <c r="K44" i="79"/>
  <c r="L44" i="79" s="1"/>
  <c r="H102" i="79"/>
  <c r="I102" i="79" s="1"/>
  <c r="H45" i="79"/>
  <c r="I45" i="79" s="1"/>
  <c r="H103" i="79"/>
  <c r="I103" i="79" s="1"/>
  <c r="H46" i="79"/>
  <c r="I46" i="79" s="1"/>
  <c r="H104" i="79"/>
  <c r="I104" i="79" s="1"/>
  <c r="H47" i="79"/>
  <c r="I47" i="79" s="1"/>
  <c r="H105" i="79"/>
  <c r="I105" i="79" s="1"/>
  <c r="H48" i="79"/>
  <c r="I48" i="79" s="1"/>
  <c r="H106" i="79"/>
  <c r="I106" i="79" s="1"/>
  <c r="H49" i="79"/>
  <c r="I49" i="79" s="1"/>
  <c r="H109" i="79"/>
  <c r="I109" i="79" s="1"/>
  <c r="H52" i="79"/>
  <c r="I52" i="79" s="1"/>
  <c r="H110" i="79"/>
  <c r="I110" i="79" s="1"/>
  <c r="H53" i="79"/>
  <c r="I53" i="79" s="1"/>
  <c r="H111" i="79"/>
  <c r="I111" i="79" s="1"/>
  <c r="H54" i="79"/>
  <c r="I54" i="79" s="1"/>
  <c r="H112" i="79"/>
  <c r="I112" i="79" s="1"/>
  <c r="H55" i="79"/>
  <c r="I55" i="79" s="1"/>
  <c r="H113" i="79"/>
  <c r="I113" i="79" s="1"/>
  <c r="H56" i="79"/>
  <c r="I56" i="79" s="1"/>
  <c r="I10" i="76"/>
  <c r="I12" i="76"/>
  <c r="F61" i="76"/>
  <c r="F64" i="76" s="1"/>
  <c r="E35" i="77"/>
  <c r="B36" i="77" s="1"/>
  <c r="C36" i="77" s="1"/>
  <c r="F53" i="76"/>
  <c r="F60" i="76"/>
  <c r="F63" i="76" s="1"/>
  <c r="D11" i="40" s="1"/>
  <c r="D19" i="40"/>
  <c r="H19" i="49"/>
  <c r="G19" i="49"/>
  <c r="F19" i="49"/>
  <c r="E19" i="49"/>
  <c r="G55" i="76"/>
  <c r="G57" i="76" s="1"/>
  <c r="E31" i="73" s="1"/>
  <c r="E25" i="73" s="1"/>
  <c r="G54" i="76"/>
  <c r="G56" i="76" s="1"/>
  <c r="E30" i="73" s="1"/>
  <c r="G53" i="76"/>
  <c r="J7" i="76"/>
  <c r="I7" i="76"/>
  <c r="H53" i="76"/>
  <c r="K7" i="76"/>
  <c r="J8" i="76"/>
  <c r="I8" i="76"/>
  <c r="J9" i="76"/>
  <c r="I9" i="76"/>
  <c r="N10" i="76"/>
  <c r="L10" i="76"/>
  <c r="P10" i="76"/>
  <c r="N11" i="76"/>
  <c r="L11" i="76"/>
  <c r="P11" i="76"/>
  <c r="O11" i="76"/>
  <c r="N12" i="76"/>
  <c r="P12" i="76"/>
  <c r="J13" i="76"/>
  <c r="I13" i="76"/>
  <c r="J16" i="76"/>
  <c r="I16" i="76"/>
  <c r="J17" i="76"/>
  <c r="I17" i="76"/>
  <c r="J18" i="76"/>
  <c r="I18" i="76"/>
  <c r="J19" i="76"/>
  <c r="I19" i="76"/>
  <c r="J20" i="76"/>
  <c r="I20" i="76"/>
  <c r="J22" i="76"/>
  <c r="I22" i="76"/>
  <c r="M23" i="76"/>
  <c r="L23" i="76"/>
  <c r="K24" i="76"/>
  <c r="L24" i="76" s="1"/>
  <c r="I24" i="76"/>
  <c r="M25" i="76"/>
  <c r="L25" i="76"/>
  <c r="K26" i="76"/>
  <c r="I26" i="76"/>
  <c r="M26" i="76"/>
  <c r="L26" i="76"/>
  <c r="K27" i="76"/>
  <c r="I27" i="76"/>
  <c r="M27" i="76"/>
  <c r="L27" i="76"/>
  <c r="K29" i="76"/>
  <c r="I29" i="76"/>
  <c r="M29" i="76"/>
  <c r="L29" i="76"/>
  <c r="K30" i="76"/>
  <c r="I30" i="76"/>
  <c r="M30" i="76"/>
  <c r="L30" i="76"/>
  <c r="P31" i="76"/>
  <c r="R31" i="76" s="1"/>
  <c r="O31" i="76"/>
  <c r="K32" i="76"/>
  <c r="L32" i="76" s="1"/>
  <c r="I32" i="76"/>
  <c r="M32" i="76"/>
  <c r="P33" i="76"/>
  <c r="R33" i="76" s="1"/>
  <c r="O33" i="76"/>
  <c r="K35" i="76"/>
  <c r="I35" i="76"/>
  <c r="M35" i="76"/>
  <c r="L35" i="76"/>
  <c r="K36" i="76"/>
  <c r="I36" i="76"/>
  <c r="M36" i="76"/>
  <c r="L36" i="76"/>
  <c r="K37" i="76"/>
  <c r="I37" i="76"/>
  <c r="M37" i="76"/>
  <c r="L37" i="76"/>
  <c r="M38" i="76"/>
  <c r="L38" i="76"/>
  <c r="M39" i="76"/>
  <c r="L39" i="76"/>
  <c r="M40" i="76"/>
  <c r="L40" i="76"/>
  <c r="K41" i="76"/>
  <c r="L41" i="76" s="1"/>
  <c r="I41" i="76"/>
  <c r="M41" i="76"/>
  <c r="K42" i="76"/>
  <c r="I42" i="76"/>
  <c r="M42" i="76"/>
  <c r="K43" i="76"/>
  <c r="L43" i="76" s="1"/>
  <c r="I43" i="76"/>
  <c r="M43" i="76"/>
  <c r="K44" i="76"/>
  <c r="I44" i="76"/>
  <c r="K45" i="76"/>
  <c r="I45" i="76"/>
  <c r="P45" i="76"/>
  <c r="K48" i="76"/>
  <c r="I48" i="76"/>
  <c r="P48" i="76"/>
  <c r="K49" i="76"/>
  <c r="I49" i="76"/>
  <c r="P49" i="76"/>
  <c r="K50" i="76"/>
  <c r="I50" i="76"/>
  <c r="P50" i="76"/>
  <c r="K51" i="76"/>
  <c r="I51" i="76"/>
  <c r="P51" i="76"/>
  <c r="K52" i="76"/>
  <c r="I52" i="76"/>
  <c r="P52" i="76"/>
  <c r="K113" i="79" l="1"/>
  <c r="L113" i="79" s="1"/>
  <c r="K56" i="79"/>
  <c r="L56" i="79" s="1"/>
  <c r="K112" i="79"/>
  <c r="L112" i="79" s="1"/>
  <c r="K55" i="79"/>
  <c r="L55" i="79" s="1"/>
  <c r="K111" i="79"/>
  <c r="L111" i="79" s="1"/>
  <c r="K54" i="79"/>
  <c r="L54" i="79" s="1"/>
  <c r="K110" i="79"/>
  <c r="L110" i="79" s="1"/>
  <c r="K53" i="79"/>
  <c r="L53" i="79" s="1"/>
  <c r="K109" i="79"/>
  <c r="L109" i="79" s="1"/>
  <c r="K52" i="79"/>
  <c r="L52" i="79" s="1"/>
  <c r="K106" i="79"/>
  <c r="L106" i="79" s="1"/>
  <c r="K49" i="79"/>
  <c r="L49" i="79" s="1"/>
  <c r="K105" i="79"/>
  <c r="L105" i="79" s="1"/>
  <c r="K48" i="79"/>
  <c r="L48" i="79" s="1"/>
  <c r="N43" i="76"/>
  <c r="K104" i="79"/>
  <c r="L104" i="79" s="1"/>
  <c r="K47" i="79"/>
  <c r="L47" i="79" s="1"/>
  <c r="N42" i="76"/>
  <c r="K103" i="79"/>
  <c r="L103" i="79" s="1"/>
  <c r="K46" i="79"/>
  <c r="L46" i="79" s="1"/>
  <c r="N41" i="76"/>
  <c r="O41" i="76" s="1"/>
  <c r="K102" i="79"/>
  <c r="L102" i="79" s="1"/>
  <c r="K45" i="79"/>
  <c r="L45" i="79" s="1"/>
  <c r="N37" i="76"/>
  <c r="O37" i="76" s="1"/>
  <c r="K98" i="79"/>
  <c r="L98" i="79" s="1"/>
  <c r="K41" i="79"/>
  <c r="L41" i="79" s="1"/>
  <c r="N36" i="76"/>
  <c r="K97" i="79"/>
  <c r="L97" i="79" s="1"/>
  <c r="K40" i="79"/>
  <c r="L40" i="79" s="1"/>
  <c r="N35" i="76"/>
  <c r="K96" i="79"/>
  <c r="L96" i="79" s="1"/>
  <c r="K39" i="79"/>
  <c r="L39" i="79" s="1"/>
  <c r="N32" i="76"/>
  <c r="K93" i="79"/>
  <c r="L93" i="79" s="1"/>
  <c r="K36" i="79"/>
  <c r="L36" i="79" s="1"/>
  <c r="N30" i="76"/>
  <c r="O30" i="76" s="1"/>
  <c r="K91" i="79"/>
  <c r="L91" i="79" s="1"/>
  <c r="K34" i="79"/>
  <c r="L34" i="79" s="1"/>
  <c r="N29" i="76"/>
  <c r="K90" i="79"/>
  <c r="L90" i="79" s="1"/>
  <c r="K33" i="79"/>
  <c r="L33" i="79" s="1"/>
  <c r="N27" i="76"/>
  <c r="K88" i="79"/>
  <c r="L88" i="79" s="1"/>
  <c r="K31" i="79"/>
  <c r="L31" i="79" s="1"/>
  <c r="N26" i="76"/>
  <c r="K87" i="79"/>
  <c r="L87" i="79" s="1"/>
  <c r="K30" i="79"/>
  <c r="L30" i="79" s="1"/>
  <c r="N24" i="76"/>
  <c r="O24" i="76" s="1"/>
  <c r="K85" i="79"/>
  <c r="L85" i="79" s="1"/>
  <c r="K28" i="79"/>
  <c r="L28" i="79" s="1"/>
  <c r="Q12" i="76"/>
  <c r="R12" i="76" s="1"/>
  <c r="N73" i="79"/>
  <c r="O73" i="79" s="1"/>
  <c r="N16" i="79"/>
  <c r="O16" i="79" s="1"/>
  <c r="Q11" i="76"/>
  <c r="N72" i="79"/>
  <c r="O72" i="79" s="1"/>
  <c r="N15" i="79"/>
  <c r="O15" i="79" s="1"/>
  <c r="Q10" i="76"/>
  <c r="R10" i="76" s="1"/>
  <c r="N71" i="79"/>
  <c r="O71" i="79" s="1"/>
  <c r="N14" i="79"/>
  <c r="O14" i="79" s="1"/>
  <c r="K68" i="79"/>
  <c r="K11" i="79"/>
  <c r="Q40" i="76"/>
  <c r="N101" i="79"/>
  <c r="O101" i="79" s="1"/>
  <c r="N44" i="79"/>
  <c r="O44" i="79" s="1"/>
  <c r="Q39" i="76"/>
  <c r="N100" i="79"/>
  <c r="O100" i="79" s="1"/>
  <c r="N43" i="79"/>
  <c r="O43" i="79" s="1"/>
  <c r="Q38" i="76"/>
  <c r="N99" i="79"/>
  <c r="O99" i="79" s="1"/>
  <c r="N42" i="79"/>
  <c r="O42" i="79" s="1"/>
  <c r="Q94" i="79"/>
  <c r="R94" i="79" s="1"/>
  <c r="Q37" i="79"/>
  <c r="R37" i="79" s="1"/>
  <c r="Q92" i="79"/>
  <c r="R92" i="79" s="1"/>
  <c r="Q35" i="79"/>
  <c r="R35" i="79" s="1"/>
  <c r="Q25" i="76"/>
  <c r="N86" i="79"/>
  <c r="O86" i="79" s="1"/>
  <c r="N29" i="79"/>
  <c r="O29" i="79" s="1"/>
  <c r="Q23" i="76"/>
  <c r="N84" i="79"/>
  <c r="O84" i="79" s="1"/>
  <c r="N27" i="79"/>
  <c r="O27" i="79" s="1"/>
  <c r="N22" i="76"/>
  <c r="K83" i="79"/>
  <c r="L83" i="79" s="1"/>
  <c r="K26" i="79"/>
  <c r="L26" i="79" s="1"/>
  <c r="N20" i="76"/>
  <c r="K81" i="79"/>
  <c r="L81" i="79" s="1"/>
  <c r="K24" i="79"/>
  <c r="L24" i="79" s="1"/>
  <c r="N19" i="76"/>
  <c r="K80" i="79"/>
  <c r="L80" i="79" s="1"/>
  <c r="K23" i="79"/>
  <c r="L23" i="79" s="1"/>
  <c r="N18" i="76"/>
  <c r="K79" i="79"/>
  <c r="L79" i="79" s="1"/>
  <c r="K22" i="79"/>
  <c r="L22" i="79" s="1"/>
  <c r="N17" i="76"/>
  <c r="K78" i="79"/>
  <c r="L78" i="79" s="1"/>
  <c r="K21" i="79"/>
  <c r="L21" i="79" s="1"/>
  <c r="N16" i="76"/>
  <c r="K77" i="79"/>
  <c r="L77" i="79" s="1"/>
  <c r="K20" i="79"/>
  <c r="L20" i="79" s="1"/>
  <c r="N13" i="76"/>
  <c r="K74" i="79"/>
  <c r="L74" i="79" s="1"/>
  <c r="K17" i="79"/>
  <c r="L17" i="79" s="1"/>
  <c r="K73" i="79"/>
  <c r="L73" i="79" s="1"/>
  <c r="K16" i="79"/>
  <c r="L16" i="79" s="1"/>
  <c r="K72" i="79"/>
  <c r="L72" i="79" s="1"/>
  <c r="K15" i="79"/>
  <c r="L15" i="79" s="1"/>
  <c r="K71" i="79"/>
  <c r="L71" i="79" s="1"/>
  <c r="K14" i="79"/>
  <c r="L14" i="79" s="1"/>
  <c r="N9" i="76"/>
  <c r="K70" i="79"/>
  <c r="L70" i="79" s="1"/>
  <c r="K13" i="79"/>
  <c r="L13" i="79" s="1"/>
  <c r="N8" i="76"/>
  <c r="K69" i="79"/>
  <c r="L69" i="79" s="1"/>
  <c r="K12" i="79"/>
  <c r="L12" i="79" s="1"/>
  <c r="I11" i="79"/>
  <c r="I57" i="79" s="1"/>
  <c r="E11" i="47" s="1"/>
  <c r="H57" i="79"/>
  <c r="H114" i="79"/>
  <c r="I68" i="79"/>
  <c r="I114" i="79" s="1"/>
  <c r="E11" i="49" s="1"/>
  <c r="O12" i="76"/>
  <c r="O10" i="76"/>
  <c r="L42" i="76"/>
  <c r="C37" i="77"/>
  <c r="H25" i="40"/>
  <c r="E36" i="77"/>
  <c r="H11" i="57" s="1"/>
  <c r="H41" i="71" s="1"/>
  <c r="E19" i="40"/>
  <c r="J19" i="49"/>
  <c r="F19" i="40"/>
  <c r="K19" i="49"/>
  <c r="G19" i="40"/>
  <c r="L19" i="49"/>
  <c r="H19" i="40"/>
  <c r="M19" i="49"/>
  <c r="J55" i="76"/>
  <c r="J57" i="76" s="1"/>
  <c r="F31" i="73" s="1"/>
  <c r="F25" i="73" s="1"/>
  <c r="J54" i="76"/>
  <c r="J56" i="76" s="1"/>
  <c r="F30" i="73" s="1"/>
  <c r="E24" i="73"/>
  <c r="E27" i="73" s="1"/>
  <c r="E5" i="73" s="1"/>
  <c r="E21" i="57" s="1"/>
  <c r="E35" i="71" s="1"/>
  <c r="E33" i="73"/>
  <c r="N52" i="76"/>
  <c r="L52" i="76"/>
  <c r="N51" i="76"/>
  <c r="L51" i="76"/>
  <c r="N50" i="76"/>
  <c r="L50" i="76"/>
  <c r="N49" i="76"/>
  <c r="L49" i="76"/>
  <c r="N48" i="76"/>
  <c r="L48" i="76"/>
  <c r="N45" i="76"/>
  <c r="L45" i="76"/>
  <c r="N44" i="76"/>
  <c r="L44" i="76"/>
  <c r="P43" i="76"/>
  <c r="O43" i="76"/>
  <c r="P42" i="76"/>
  <c r="O42" i="76"/>
  <c r="P41" i="76"/>
  <c r="P40" i="76"/>
  <c r="R40" i="76" s="1"/>
  <c r="O40" i="76"/>
  <c r="P39" i="76"/>
  <c r="R39" i="76" s="1"/>
  <c r="O39" i="76"/>
  <c r="P38" i="76"/>
  <c r="R38" i="76" s="1"/>
  <c r="O38" i="76"/>
  <c r="P37" i="76"/>
  <c r="P36" i="76"/>
  <c r="O36" i="76"/>
  <c r="P35" i="76"/>
  <c r="O35" i="76"/>
  <c r="P32" i="76"/>
  <c r="O32" i="76"/>
  <c r="P30" i="76"/>
  <c r="P29" i="76"/>
  <c r="O29" i="76"/>
  <c r="P27" i="76"/>
  <c r="O27" i="76"/>
  <c r="P26" i="76"/>
  <c r="O26" i="76"/>
  <c r="P25" i="76"/>
  <c r="R25" i="76" s="1"/>
  <c r="O25" i="76"/>
  <c r="R23" i="76"/>
  <c r="O23" i="76"/>
  <c r="M22" i="76"/>
  <c r="L22" i="76"/>
  <c r="M20" i="76"/>
  <c r="L20" i="76"/>
  <c r="M19" i="76"/>
  <c r="L19" i="76"/>
  <c r="M18" i="76"/>
  <c r="L18" i="76"/>
  <c r="M17" i="76"/>
  <c r="L17" i="76"/>
  <c r="M16" i="76"/>
  <c r="L16" i="76"/>
  <c r="M13" i="76"/>
  <c r="L13" i="76"/>
  <c r="M9" i="76"/>
  <c r="L9" i="76"/>
  <c r="M8" i="76"/>
  <c r="L8" i="76"/>
  <c r="K53" i="76"/>
  <c r="N7" i="76"/>
  <c r="I53" i="76"/>
  <c r="J53" i="76"/>
  <c r="M7" i="76"/>
  <c r="L7" i="76"/>
  <c r="N68" i="79" l="1"/>
  <c r="N11" i="79"/>
  <c r="N105" i="79"/>
  <c r="O105" i="79" s="1"/>
  <c r="N48" i="79"/>
  <c r="O48" i="79" s="1"/>
  <c r="N106" i="79"/>
  <c r="O106" i="79" s="1"/>
  <c r="N49" i="79"/>
  <c r="O49" i="79" s="1"/>
  <c r="N109" i="79"/>
  <c r="O109" i="79" s="1"/>
  <c r="N52" i="79"/>
  <c r="O52" i="79" s="1"/>
  <c r="N110" i="79"/>
  <c r="O110" i="79" s="1"/>
  <c r="N53" i="79"/>
  <c r="O53" i="79" s="1"/>
  <c r="N111" i="79"/>
  <c r="O111" i="79" s="1"/>
  <c r="N54" i="79"/>
  <c r="O54" i="79" s="1"/>
  <c r="N112" i="79"/>
  <c r="O112" i="79" s="1"/>
  <c r="N55" i="79"/>
  <c r="O55" i="79" s="1"/>
  <c r="N113" i="79"/>
  <c r="O113" i="79" s="1"/>
  <c r="N56" i="79"/>
  <c r="O56" i="79" s="1"/>
  <c r="Q8" i="76"/>
  <c r="N69" i="79"/>
  <c r="O69" i="79" s="1"/>
  <c r="N12" i="79"/>
  <c r="O12" i="79" s="1"/>
  <c r="Q9" i="76"/>
  <c r="N70" i="79"/>
  <c r="O70" i="79" s="1"/>
  <c r="N13" i="79"/>
  <c r="O13" i="79" s="1"/>
  <c r="Q13" i="76"/>
  <c r="N74" i="79"/>
  <c r="O74" i="79" s="1"/>
  <c r="N17" i="79"/>
  <c r="O17" i="79" s="1"/>
  <c r="Q16" i="76"/>
  <c r="N77" i="79"/>
  <c r="O77" i="79" s="1"/>
  <c r="N20" i="79"/>
  <c r="O20" i="79" s="1"/>
  <c r="Q17" i="76"/>
  <c r="N78" i="79"/>
  <c r="O78" i="79" s="1"/>
  <c r="N21" i="79"/>
  <c r="O21" i="79" s="1"/>
  <c r="Q18" i="76"/>
  <c r="N79" i="79"/>
  <c r="O79" i="79" s="1"/>
  <c r="N22" i="79"/>
  <c r="O22" i="79" s="1"/>
  <c r="Q19" i="76"/>
  <c r="N80" i="79"/>
  <c r="O80" i="79" s="1"/>
  <c r="N23" i="79"/>
  <c r="O23" i="79" s="1"/>
  <c r="Q20" i="76"/>
  <c r="N81" i="79"/>
  <c r="O81" i="79" s="1"/>
  <c r="N24" i="79"/>
  <c r="O24" i="79" s="1"/>
  <c r="Q22" i="76"/>
  <c r="N83" i="79"/>
  <c r="O83" i="79" s="1"/>
  <c r="N26" i="79"/>
  <c r="O26" i="79" s="1"/>
  <c r="Q84" i="79"/>
  <c r="R84" i="79" s="1"/>
  <c r="Q27" i="79"/>
  <c r="R27" i="79" s="1"/>
  <c r="Q86" i="79"/>
  <c r="R86" i="79" s="1"/>
  <c r="Q29" i="79"/>
  <c r="R29" i="79" s="1"/>
  <c r="Q99" i="79"/>
  <c r="R99" i="79" s="1"/>
  <c r="Q42" i="79"/>
  <c r="R42" i="79" s="1"/>
  <c r="Q100" i="79"/>
  <c r="R100" i="79" s="1"/>
  <c r="Q43" i="79"/>
  <c r="R43" i="79" s="1"/>
  <c r="Q101" i="79"/>
  <c r="R101" i="79" s="1"/>
  <c r="Q44" i="79"/>
  <c r="R44" i="79" s="1"/>
  <c r="K57" i="79"/>
  <c r="L11" i="79"/>
  <c r="L57" i="79" s="1"/>
  <c r="F11" i="47" s="1"/>
  <c r="K114" i="79"/>
  <c r="L68" i="79"/>
  <c r="L114" i="79" s="1"/>
  <c r="F11" i="49" s="1"/>
  <c r="Q71" i="79"/>
  <c r="R71" i="79" s="1"/>
  <c r="Q14" i="79"/>
  <c r="R14" i="79" s="1"/>
  <c r="Q72" i="79"/>
  <c r="R72" i="79" s="1"/>
  <c r="Q15" i="79"/>
  <c r="R15" i="79" s="1"/>
  <c r="R11" i="76"/>
  <c r="Q73" i="79"/>
  <c r="R73" i="79" s="1"/>
  <c r="Q16" i="79"/>
  <c r="R16" i="79" s="1"/>
  <c r="Q24" i="76"/>
  <c r="N85" i="79"/>
  <c r="O85" i="79" s="1"/>
  <c r="N28" i="79"/>
  <c r="O28" i="79" s="1"/>
  <c r="Q26" i="76"/>
  <c r="N87" i="79"/>
  <c r="O87" i="79" s="1"/>
  <c r="N30" i="79"/>
  <c r="O30" i="79" s="1"/>
  <c r="Q27" i="76"/>
  <c r="N88" i="79"/>
  <c r="O88" i="79" s="1"/>
  <c r="N31" i="79"/>
  <c r="O31" i="79" s="1"/>
  <c r="Q29" i="76"/>
  <c r="N90" i="79"/>
  <c r="O90" i="79" s="1"/>
  <c r="N33" i="79"/>
  <c r="O33" i="79" s="1"/>
  <c r="Q30" i="76"/>
  <c r="N91" i="79"/>
  <c r="O91" i="79" s="1"/>
  <c r="N34" i="79"/>
  <c r="O34" i="79" s="1"/>
  <c r="Q32" i="76"/>
  <c r="N93" i="79"/>
  <c r="O93" i="79" s="1"/>
  <c r="N36" i="79"/>
  <c r="O36" i="79" s="1"/>
  <c r="Q35" i="76"/>
  <c r="N96" i="79"/>
  <c r="O96" i="79" s="1"/>
  <c r="N39" i="79"/>
  <c r="O39" i="79" s="1"/>
  <c r="Q36" i="76"/>
  <c r="N97" i="79"/>
  <c r="O97" i="79" s="1"/>
  <c r="N40" i="79"/>
  <c r="O40" i="79" s="1"/>
  <c r="Q37" i="76"/>
  <c r="N98" i="79"/>
  <c r="O98" i="79" s="1"/>
  <c r="N41" i="79"/>
  <c r="O41" i="79" s="1"/>
  <c r="Q41" i="76"/>
  <c r="N102" i="79"/>
  <c r="O102" i="79" s="1"/>
  <c r="N45" i="79"/>
  <c r="O45" i="79" s="1"/>
  <c r="Q42" i="76"/>
  <c r="N103" i="79"/>
  <c r="O103" i="79" s="1"/>
  <c r="N46" i="79"/>
  <c r="O46" i="79" s="1"/>
  <c r="Q43" i="76"/>
  <c r="N104" i="79"/>
  <c r="O104" i="79" s="1"/>
  <c r="N47" i="79"/>
  <c r="O47" i="79" s="1"/>
  <c r="E11" i="40"/>
  <c r="J11" i="40" s="1"/>
  <c r="J11" i="47"/>
  <c r="L53" i="76"/>
  <c r="L19" i="40"/>
  <c r="J19" i="40"/>
  <c r="M19" i="40"/>
  <c r="K19" i="40"/>
  <c r="E7" i="73"/>
  <c r="E20" i="73" s="1"/>
  <c r="F19" i="73" s="1"/>
  <c r="M54" i="76"/>
  <c r="M56" i="76" s="1"/>
  <c r="G30" i="73" s="1"/>
  <c r="M55" i="76"/>
  <c r="M57" i="76" s="1"/>
  <c r="G31" i="73" s="1"/>
  <c r="G25" i="73" s="1"/>
  <c r="F24" i="73"/>
  <c r="F27" i="73" s="1"/>
  <c r="F5" i="73" s="1"/>
  <c r="F21" i="57" s="1"/>
  <c r="F33" i="73"/>
  <c r="R24" i="76"/>
  <c r="M53" i="76"/>
  <c r="P7" i="76"/>
  <c r="O7" i="76"/>
  <c r="N53" i="76"/>
  <c r="Q7" i="76"/>
  <c r="P8" i="76"/>
  <c r="R8" i="76" s="1"/>
  <c r="O8" i="76"/>
  <c r="P9" i="76"/>
  <c r="R9" i="76" s="1"/>
  <c r="O9" i="76"/>
  <c r="P13" i="76"/>
  <c r="R13" i="76" s="1"/>
  <c r="O13" i="76"/>
  <c r="P16" i="76"/>
  <c r="O16" i="76"/>
  <c r="P17" i="76"/>
  <c r="R17" i="76" s="1"/>
  <c r="O17" i="76"/>
  <c r="P18" i="76"/>
  <c r="R18" i="76" s="1"/>
  <c r="O18" i="76"/>
  <c r="P19" i="76"/>
  <c r="R19" i="76" s="1"/>
  <c r="O19" i="76"/>
  <c r="P20" i="76"/>
  <c r="R20" i="76" s="1"/>
  <c r="O20" i="76"/>
  <c r="P22" i="76"/>
  <c r="R22" i="76" s="1"/>
  <c r="O22" i="76"/>
  <c r="Q44" i="76"/>
  <c r="O44" i="76"/>
  <c r="Q45" i="76"/>
  <c r="O45" i="76"/>
  <c r="Q48" i="76"/>
  <c r="O48" i="76"/>
  <c r="Q49" i="76"/>
  <c r="O49" i="76"/>
  <c r="Q50" i="76"/>
  <c r="O50" i="76"/>
  <c r="Q51" i="76"/>
  <c r="O51" i="76"/>
  <c r="Q52" i="76"/>
  <c r="O52" i="76"/>
  <c r="R52" i="76" l="1"/>
  <c r="Q113" i="79"/>
  <c r="R113" i="79" s="1"/>
  <c r="Q56" i="79"/>
  <c r="R56" i="79" s="1"/>
  <c r="R51" i="76"/>
  <c r="Q112" i="79"/>
  <c r="R112" i="79" s="1"/>
  <c r="Q55" i="79"/>
  <c r="R55" i="79" s="1"/>
  <c r="R50" i="76"/>
  <c r="Q111" i="79"/>
  <c r="R111" i="79" s="1"/>
  <c r="Q54" i="79"/>
  <c r="R54" i="79" s="1"/>
  <c r="R49" i="76"/>
  <c r="Q110" i="79"/>
  <c r="R110" i="79" s="1"/>
  <c r="Q53" i="79"/>
  <c r="R53" i="79" s="1"/>
  <c r="R48" i="76"/>
  <c r="Q109" i="79"/>
  <c r="R109" i="79" s="1"/>
  <c r="Q52" i="79"/>
  <c r="R52" i="79" s="1"/>
  <c r="R45" i="76"/>
  <c r="Q106" i="79"/>
  <c r="R106" i="79" s="1"/>
  <c r="Q49" i="79"/>
  <c r="R49" i="79" s="1"/>
  <c r="R44" i="76"/>
  <c r="Q105" i="79"/>
  <c r="R105" i="79" s="1"/>
  <c r="Q48" i="79"/>
  <c r="R48" i="79" s="1"/>
  <c r="Q68" i="79"/>
  <c r="Q11" i="79"/>
  <c r="Q104" i="79"/>
  <c r="R104" i="79" s="1"/>
  <c r="Q47" i="79"/>
  <c r="R47" i="79" s="1"/>
  <c r="R43" i="76"/>
  <c r="Q103" i="79"/>
  <c r="R103" i="79" s="1"/>
  <c r="Q46" i="79"/>
  <c r="R46" i="79" s="1"/>
  <c r="R42" i="76"/>
  <c r="Q102" i="79"/>
  <c r="R102" i="79" s="1"/>
  <c r="Q45" i="79"/>
  <c r="R45" i="79" s="1"/>
  <c r="R41" i="76"/>
  <c r="Q98" i="79"/>
  <c r="R98" i="79" s="1"/>
  <c r="Q41" i="79"/>
  <c r="R41" i="79" s="1"/>
  <c r="R37" i="76"/>
  <c r="Q97" i="79"/>
  <c r="R97" i="79" s="1"/>
  <c r="Q40" i="79"/>
  <c r="R40" i="79" s="1"/>
  <c r="R36" i="76"/>
  <c r="Q96" i="79"/>
  <c r="R96" i="79" s="1"/>
  <c r="Q39" i="79"/>
  <c r="R39" i="79" s="1"/>
  <c r="R35" i="76"/>
  <c r="Q93" i="79"/>
  <c r="R93" i="79" s="1"/>
  <c r="Q36" i="79"/>
  <c r="R36" i="79" s="1"/>
  <c r="R32" i="76"/>
  <c r="Q91" i="79"/>
  <c r="R91" i="79" s="1"/>
  <c r="Q34" i="79"/>
  <c r="R34" i="79" s="1"/>
  <c r="R30" i="76"/>
  <c r="Q90" i="79"/>
  <c r="R90" i="79" s="1"/>
  <c r="Q33" i="79"/>
  <c r="R33" i="79" s="1"/>
  <c r="R29" i="76"/>
  <c r="Q88" i="79"/>
  <c r="R88" i="79" s="1"/>
  <c r="Q31" i="79"/>
  <c r="R31" i="79" s="1"/>
  <c r="R27" i="76"/>
  <c r="Q87" i="79"/>
  <c r="R87" i="79" s="1"/>
  <c r="Q30" i="79"/>
  <c r="R30" i="79" s="1"/>
  <c r="R26" i="76"/>
  <c r="Q85" i="79"/>
  <c r="R85" i="79" s="1"/>
  <c r="Q28" i="79"/>
  <c r="R28" i="79" s="1"/>
  <c r="Q83" i="79"/>
  <c r="R83" i="79" s="1"/>
  <c r="Q26" i="79"/>
  <c r="R26" i="79" s="1"/>
  <c r="Q81" i="79"/>
  <c r="R81" i="79" s="1"/>
  <c r="Q24" i="79"/>
  <c r="R24" i="79" s="1"/>
  <c r="Q80" i="79"/>
  <c r="R80" i="79" s="1"/>
  <c r="Q23" i="79"/>
  <c r="R23" i="79" s="1"/>
  <c r="Q79" i="79"/>
  <c r="R79" i="79" s="1"/>
  <c r="Q22" i="79"/>
  <c r="R22" i="79" s="1"/>
  <c r="Q78" i="79"/>
  <c r="R78" i="79" s="1"/>
  <c r="Q21" i="79"/>
  <c r="R21" i="79" s="1"/>
  <c r="Q77" i="79"/>
  <c r="R77" i="79" s="1"/>
  <c r="Q20" i="79"/>
  <c r="R20" i="79" s="1"/>
  <c r="Q74" i="79"/>
  <c r="R74" i="79" s="1"/>
  <c r="Q17" i="79"/>
  <c r="R17" i="79" s="1"/>
  <c r="Q70" i="79"/>
  <c r="R70" i="79" s="1"/>
  <c r="Q13" i="79"/>
  <c r="R13" i="79" s="1"/>
  <c r="Q69" i="79"/>
  <c r="R69" i="79" s="1"/>
  <c r="Q12" i="79"/>
  <c r="R12" i="79" s="1"/>
  <c r="O11" i="79"/>
  <c r="O57" i="79" s="1"/>
  <c r="G11" i="47" s="1"/>
  <c r="N57" i="79"/>
  <c r="N114" i="79"/>
  <c r="O68" i="79"/>
  <c r="O114" i="79" s="1"/>
  <c r="G11" i="49" s="1"/>
  <c r="F4" i="73"/>
  <c r="F20" i="57" s="1"/>
  <c r="F35" i="71" s="1"/>
  <c r="F11" i="40"/>
  <c r="K11" i="40" s="1"/>
  <c r="K11" i="47"/>
  <c r="F7" i="73"/>
  <c r="E23" i="57"/>
  <c r="R16" i="76"/>
  <c r="P54" i="76"/>
  <c r="P56" i="76" s="1"/>
  <c r="H30" i="73" s="1"/>
  <c r="H24" i="73" s="1"/>
  <c r="P55" i="76"/>
  <c r="P57" i="76" s="1"/>
  <c r="H31" i="73" s="1"/>
  <c r="H25" i="73" s="1"/>
  <c r="H27" i="73" s="1"/>
  <c r="H5" i="73" s="1"/>
  <c r="E37" i="71"/>
  <c r="G24" i="73"/>
  <c r="G27" i="73" s="1"/>
  <c r="G5" i="73" s="1"/>
  <c r="G21" i="57" s="1"/>
  <c r="G33" i="73"/>
  <c r="Q53" i="76"/>
  <c r="O53" i="76"/>
  <c r="P53" i="76"/>
  <c r="R7" i="76"/>
  <c r="Q57" i="79" l="1"/>
  <c r="R11" i="79"/>
  <c r="R57" i="79" s="1"/>
  <c r="H11" i="47" s="1"/>
  <c r="Q114" i="79"/>
  <c r="R68" i="79"/>
  <c r="R114" i="79" s="1"/>
  <c r="H11" i="49" s="1"/>
  <c r="G11" i="40"/>
  <c r="L11" i="40" s="1"/>
  <c r="L11" i="47"/>
  <c r="H33" i="73"/>
  <c r="R53" i="76"/>
  <c r="F23" i="57"/>
  <c r="F20" i="73"/>
  <c r="G19" i="73" s="1"/>
  <c r="G4" i="73"/>
  <c r="D8" i="69"/>
  <c r="E7" i="69"/>
  <c r="F7" i="69" s="1"/>
  <c r="G7" i="69" s="1"/>
  <c r="H7" i="69" s="1"/>
  <c r="E6" i="69"/>
  <c r="H11" i="40" l="1"/>
  <c r="M11" i="40" s="1"/>
  <c r="M11" i="47"/>
  <c r="G7" i="73"/>
  <c r="G20" i="73" s="1"/>
  <c r="H19" i="73" s="1"/>
  <c r="G20" i="57"/>
  <c r="G35" i="71" s="1"/>
  <c r="F37" i="71"/>
  <c r="E8" i="69"/>
  <c r="F6" i="69"/>
  <c r="H4" i="73" l="1"/>
  <c r="H7" i="73" s="1"/>
  <c r="H20" i="73" s="1"/>
  <c r="G23" i="57"/>
  <c r="G37" i="71"/>
  <c r="F8" i="69"/>
  <c r="G6" i="69"/>
  <c r="H20" i="57" l="1"/>
  <c r="G8" i="69"/>
  <c r="H6" i="69"/>
  <c r="H8" i="69" s="1"/>
  <c r="H35" i="71" l="1"/>
  <c r="H37" i="71" s="1"/>
  <c r="H23" i="57"/>
  <c r="P11" i="49" l="1"/>
  <c r="Q11" i="49" l="1"/>
  <c r="R11" i="49" l="1"/>
  <c r="Q172" i="42" l="1"/>
  <c r="P172" i="42"/>
  <c r="O172" i="42"/>
  <c r="N172" i="42"/>
  <c r="M172" i="42"/>
  <c r="L172" i="42"/>
  <c r="K172" i="42"/>
  <c r="J172" i="42"/>
  <c r="I172" i="42"/>
  <c r="H172" i="42"/>
  <c r="G172" i="42"/>
  <c r="F172" i="42"/>
  <c r="E172" i="42"/>
  <c r="D172" i="42"/>
  <c r="C172" i="42"/>
  <c r="Q151" i="42"/>
  <c r="P151" i="42"/>
  <c r="O151" i="42"/>
  <c r="N151" i="42"/>
  <c r="M151" i="42"/>
  <c r="L151" i="42"/>
  <c r="K151" i="42"/>
  <c r="J151" i="42"/>
  <c r="I151" i="42"/>
  <c r="H151" i="42"/>
  <c r="G151" i="42"/>
  <c r="F151" i="42"/>
  <c r="E151" i="42"/>
  <c r="D151" i="42"/>
  <c r="C151" i="42"/>
  <c r="Q109" i="42"/>
  <c r="P109" i="42"/>
  <c r="O109" i="42"/>
  <c r="N109" i="42"/>
  <c r="M109" i="42"/>
  <c r="L109" i="42"/>
  <c r="K109" i="42"/>
  <c r="J109" i="42"/>
  <c r="I109" i="42"/>
  <c r="H109" i="42"/>
  <c r="G109" i="42"/>
  <c r="F109" i="42"/>
  <c r="E109" i="42"/>
  <c r="D109" i="42"/>
  <c r="C109" i="42"/>
  <c r="Q88" i="42"/>
  <c r="P88" i="42"/>
  <c r="O88" i="42"/>
  <c r="N88" i="42"/>
  <c r="M88" i="42"/>
  <c r="L88" i="42"/>
  <c r="K88" i="42"/>
  <c r="J88" i="42"/>
  <c r="I88" i="42"/>
  <c r="H88" i="42"/>
  <c r="G88" i="42"/>
  <c r="F88" i="42"/>
  <c r="E88" i="42"/>
  <c r="D88" i="42"/>
  <c r="C88" i="42"/>
  <c r="C5" i="40" l="1"/>
  <c r="D39" i="42" l="1"/>
  <c r="E39" i="42"/>
  <c r="F39" i="42"/>
  <c r="G39" i="42"/>
  <c r="H39" i="42"/>
  <c r="I39" i="42"/>
  <c r="J39" i="42"/>
  <c r="K39" i="42"/>
  <c r="L39" i="42"/>
  <c r="M39" i="42"/>
  <c r="N39" i="42"/>
  <c r="O39" i="42"/>
  <c r="P39" i="42"/>
  <c r="Q39" i="42"/>
  <c r="G19" i="51" l="1"/>
  <c r="F19" i="51"/>
  <c r="G18" i="51"/>
  <c r="F18" i="51"/>
  <c r="E18" i="51"/>
  <c r="D18" i="51"/>
  <c r="G17" i="51"/>
  <c r="F17" i="51"/>
  <c r="E17" i="51"/>
  <c r="D17" i="51"/>
  <c r="C17" i="51"/>
  <c r="G15" i="51"/>
  <c r="F15" i="51"/>
  <c r="E15" i="51"/>
  <c r="D15" i="51"/>
  <c r="C12" i="51"/>
  <c r="G8" i="51"/>
  <c r="G16" i="51" s="1"/>
  <c r="F8" i="51"/>
  <c r="F16" i="51" s="1"/>
  <c r="E8" i="51"/>
  <c r="E16" i="51" s="1"/>
  <c r="D8" i="51"/>
  <c r="D16" i="51" s="1"/>
  <c r="H11" i="69" l="1"/>
  <c r="H12" i="69" s="1"/>
  <c r="H17" i="49" s="1"/>
  <c r="H3" i="49"/>
  <c r="H18" i="47" s="1"/>
  <c r="D11" i="69"/>
  <c r="D17" i="49" s="1"/>
  <c r="D17" i="40" s="1"/>
  <c r="D3" i="49"/>
  <c r="D18" i="47" s="1"/>
  <c r="C20" i="51"/>
  <c r="D12" i="51"/>
  <c r="E12" i="51"/>
  <c r="F12" i="51"/>
  <c r="G20" i="51"/>
  <c r="G12" i="51"/>
  <c r="E20" i="51"/>
  <c r="F20" i="51"/>
  <c r="D3" i="40" l="1"/>
  <c r="D41" i="40" s="1"/>
  <c r="O13" i="40" s="1"/>
  <c r="D38" i="49"/>
  <c r="O14" i="49" s="1"/>
  <c r="H38" i="49"/>
  <c r="S14" i="49" s="1"/>
  <c r="D26" i="39"/>
  <c r="D22" i="39"/>
  <c r="D24" i="39"/>
  <c r="D34" i="39"/>
  <c r="D36" i="39" s="1"/>
  <c r="D14" i="57" s="1"/>
  <c r="D26" i="71" s="1"/>
  <c r="D65" i="39"/>
  <c r="D67" i="39"/>
  <c r="D69" i="39"/>
  <c r="D12" i="47"/>
  <c r="D12" i="40" s="1"/>
  <c r="H26" i="39"/>
  <c r="H22" i="39"/>
  <c r="H24" i="39"/>
  <c r="H34" i="39"/>
  <c r="H36" i="39" s="1"/>
  <c r="H14" i="57" s="1"/>
  <c r="H65" i="39"/>
  <c r="H67" i="39"/>
  <c r="H69" i="39"/>
  <c r="H12" i="47"/>
  <c r="G11" i="69"/>
  <c r="G12" i="69" s="1"/>
  <c r="G17" i="49" s="1"/>
  <c r="G3" i="49"/>
  <c r="G18" i="47" s="1"/>
  <c r="F11" i="69"/>
  <c r="F12" i="69" s="1"/>
  <c r="F17" i="49" s="1"/>
  <c r="F3" i="49"/>
  <c r="F18" i="47" s="1"/>
  <c r="E11" i="69"/>
  <c r="E12" i="69" s="1"/>
  <c r="E17" i="49" s="1"/>
  <c r="J17" i="49" s="1"/>
  <c r="E3" i="49"/>
  <c r="E18" i="47" s="1"/>
  <c r="D42" i="49"/>
  <c r="O18" i="49" s="1"/>
  <c r="D8" i="49"/>
  <c r="D5" i="49"/>
  <c r="D39" i="49"/>
  <c r="D40" i="49"/>
  <c r="D60" i="39"/>
  <c r="D61" i="39" s="1"/>
  <c r="D29" i="57" s="1"/>
  <c r="D43" i="49"/>
  <c r="O19" i="49" s="1"/>
  <c r="D41" i="49"/>
  <c r="O17" i="49" s="1"/>
  <c r="D20" i="49"/>
  <c r="D44" i="49" s="1"/>
  <c r="O20" i="49" s="1"/>
  <c r="H3" i="40"/>
  <c r="H18" i="40"/>
  <c r="H5" i="49"/>
  <c r="H42" i="49"/>
  <c r="S18" i="49" s="1"/>
  <c r="H8" i="49"/>
  <c r="H35" i="49" s="1"/>
  <c r="S8" i="49" s="1"/>
  <c r="H60" i="39"/>
  <c r="H40" i="49"/>
  <c r="H39" i="49"/>
  <c r="H43" i="49"/>
  <c r="S19" i="49" s="1"/>
  <c r="H17" i="40"/>
  <c r="H41" i="49"/>
  <c r="S17" i="49" s="1"/>
  <c r="H20" i="49"/>
  <c r="D20" i="51"/>
  <c r="D43" i="40" l="1"/>
  <c r="D44" i="40"/>
  <c r="D42" i="40"/>
  <c r="D5" i="40"/>
  <c r="D39" i="40" s="1"/>
  <c r="O11" i="40" s="1"/>
  <c r="D45" i="40"/>
  <c r="O17" i="40" s="1"/>
  <c r="D36" i="40"/>
  <c r="O4" i="40" s="1"/>
  <c r="D40" i="40"/>
  <c r="O12" i="40" s="1"/>
  <c r="E38" i="49"/>
  <c r="P14" i="49" s="1"/>
  <c r="F38" i="49"/>
  <c r="Q14" i="49" s="1"/>
  <c r="G38" i="49"/>
  <c r="R14" i="49" s="1"/>
  <c r="H45" i="40"/>
  <c r="S17" i="40" s="1"/>
  <c r="H12" i="40"/>
  <c r="H40" i="40" s="1"/>
  <c r="S12" i="40" s="1"/>
  <c r="H20" i="47"/>
  <c r="D18" i="40"/>
  <c r="D8" i="40"/>
  <c r="D37" i="40" s="1"/>
  <c r="O8" i="40" s="1"/>
  <c r="D35" i="49"/>
  <c r="O8" i="49" s="1"/>
  <c r="H41" i="40"/>
  <c r="S13" i="40" s="1"/>
  <c r="H42" i="40"/>
  <c r="S14" i="40" s="1"/>
  <c r="H5" i="40"/>
  <c r="H47" i="40" s="1"/>
  <c r="S19" i="40" s="1"/>
  <c r="H36" i="40"/>
  <c r="S4" i="40" s="1"/>
  <c r="E26" i="39"/>
  <c r="J3" i="49"/>
  <c r="E22" i="39"/>
  <c r="E24" i="39"/>
  <c r="E34" i="39"/>
  <c r="E36" i="39" s="1"/>
  <c r="E14" i="57" s="1"/>
  <c r="E26" i="71" s="1"/>
  <c r="E65" i="39"/>
  <c r="E67" i="39"/>
  <c r="E69" i="39"/>
  <c r="E12" i="47"/>
  <c r="F26" i="39"/>
  <c r="K3" i="49"/>
  <c r="F22" i="39"/>
  <c r="F24" i="39"/>
  <c r="F34" i="39"/>
  <c r="F36" i="39" s="1"/>
  <c r="F14" i="57" s="1"/>
  <c r="F65" i="39"/>
  <c r="F67" i="39"/>
  <c r="F69" i="39"/>
  <c r="F12" i="47"/>
  <c r="G26" i="39"/>
  <c r="L3" i="49"/>
  <c r="G22" i="39"/>
  <c r="G24" i="39"/>
  <c r="G34" i="39"/>
  <c r="G36" i="39" s="1"/>
  <c r="G14" i="57" s="1"/>
  <c r="H26" i="71" s="1"/>
  <c r="G65" i="39"/>
  <c r="G67" i="39"/>
  <c r="G69" i="39"/>
  <c r="G12" i="47"/>
  <c r="M3" i="49"/>
  <c r="H75" i="39"/>
  <c r="H30" i="57" s="1"/>
  <c r="D75" i="39"/>
  <c r="D30" i="57" s="1"/>
  <c r="D19" i="71" s="1"/>
  <c r="K17" i="49"/>
  <c r="L17" i="49"/>
  <c r="M17" i="49"/>
  <c r="H44" i="49"/>
  <c r="S20" i="49" s="1"/>
  <c r="H8" i="40"/>
  <c r="H7" i="49"/>
  <c r="H9" i="49" s="1"/>
  <c r="H44" i="40"/>
  <c r="H43" i="40"/>
  <c r="D7" i="49"/>
  <c r="D9" i="49" s="1"/>
  <c r="D36" i="49" s="1"/>
  <c r="O9" i="49" s="1"/>
  <c r="E3" i="40"/>
  <c r="E5" i="49"/>
  <c r="J5" i="49" s="1"/>
  <c r="E42" i="49"/>
  <c r="P18" i="49" s="1"/>
  <c r="E8" i="49"/>
  <c r="E35" i="49" s="1"/>
  <c r="P8" i="49" s="1"/>
  <c r="E60" i="39"/>
  <c r="E40" i="49"/>
  <c r="E39" i="49"/>
  <c r="E43" i="49"/>
  <c r="P19" i="49" s="1"/>
  <c r="E17" i="40"/>
  <c r="E41" i="49"/>
  <c r="P17" i="49" s="1"/>
  <c r="E20" i="49"/>
  <c r="J20" i="49" s="1"/>
  <c r="F3" i="40"/>
  <c r="F5" i="49"/>
  <c r="F42" i="49"/>
  <c r="Q18" i="49" s="1"/>
  <c r="F8" i="49"/>
  <c r="F35" i="49" s="1"/>
  <c r="Q8" i="49" s="1"/>
  <c r="F60" i="39"/>
  <c r="F40" i="49"/>
  <c r="F39" i="49"/>
  <c r="F43" i="49"/>
  <c r="Q19" i="49" s="1"/>
  <c r="F17" i="40"/>
  <c r="F41" i="49"/>
  <c r="Q17" i="49" s="1"/>
  <c r="F20" i="49"/>
  <c r="G3" i="40"/>
  <c r="G5" i="49"/>
  <c r="G42" i="49"/>
  <c r="R18" i="49" s="1"/>
  <c r="G8" i="49"/>
  <c r="G35" i="49" s="1"/>
  <c r="R8" i="49" s="1"/>
  <c r="G60" i="39"/>
  <c r="G40" i="49"/>
  <c r="G39" i="49"/>
  <c r="G43" i="49"/>
  <c r="R19" i="49" s="1"/>
  <c r="G17" i="40"/>
  <c r="G41" i="49"/>
  <c r="R17" i="49" s="1"/>
  <c r="G20" i="49"/>
  <c r="D18" i="71"/>
  <c r="S11" i="49"/>
  <c r="Q130" i="42"/>
  <c r="P130" i="42"/>
  <c r="O130" i="42"/>
  <c r="N130" i="42"/>
  <c r="M130" i="42"/>
  <c r="L130" i="42"/>
  <c r="K130" i="42"/>
  <c r="J130" i="42"/>
  <c r="I130" i="42"/>
  <c r="H130" i="42"/>
  <c r="G130" i="42"/>
  <c r="F130" i="42"/>
  <c r="E130" i="42"/>
  <c r="D130" i="42"/>
  <c r="C130" i="42"/>
  <c r="Q67" i="42"/>
  <c r="P67" i="42"/>
  <c r="O67" i="42"/>
  <c r="N67" i="42"/>
  <c r="M67" i="42"/>
  <c r="L67" i="42"/>
  <c r="K67" i="42"/>
  <c r="J67" i="42"/>
  <c r="I67" i="42"/>
  <c r="H67" i="42"/>
  <c r="G67" i="42"/>
  <c r="F67" i="42"/>
  <c r="E67" i="42"/>
  <c r="D67" i="42"/>
  <c r="C67" i="42"/>
  <c r="D47" i="40" l="1"/>
  <c r="O19" i="40" s="1"/>
  <c r="D46" i="40"/>
  <c r="O18" i="40" s="1"/>
  <c r="G45" i="40"/>
  <c r="R17" i="40" s="1"/>
  <c r="F26" i="71"/>
  <c r="E45" i="40"/>
  <c r="P17" i="40" s="1"/>
  <c r="F45" i="40"/>
  <c r="Q17" i="40" s="1"/>
  <c r="H39" i="40"/>
  <c r="S11" i="40" s="1"/>
  <c r="G18" i="40"/>
  <c r="M18" i="47"/>
  <c r="G12" i="40"/>
  <c r="M12" i="40" s="1"/>
  <c r="G20" i="47"/>
  <c r="M20" i="47" s="1"/>
  <c r="F18" i="40"/>
  <c r="L18" i="47"/>
  <c r="G26" i="71"/>
  <c r="F12" i="40"/>
  <c r="F40" i="40" s="1"/>
  <c r="Q12" i="40" s="1"/>
  <c r="F20" i="47"/>
  <c r="K8" i="49"/>
  <c r="K20" i="49"/>
  <c r="E18" i="40"/>
  <c r="J18" i="40" s="1"/>
  <c r="K18" i="47"/>
  <c r="K5" i="49"/>
  <c r="E12" i="40"/>
  <c r="J12" i="40" s="1"/>
  <c r="E20" i="47"/>
  <c r="J18" i="47"/>
  <c r="F36" i="40"/>
  <c r="Q4" i="40" s="1"/>
  <c r="F41" i="40"/>
  <c r="Q13" i="40" s="1"/>
  <c r="F42" i="40"/>
  <c r="Q14" i="40" s="1"/>
  <c r="H37" i="40"/>
  <c r="S8" i="40" s="1"/>
  <c r="G36" i="40"/>
  <c r="R4" i="40" s="1"/>
  <c r="G41" i="40"/>
  <c r="R13" i="40" s="1"/>
  <c r="G42" i="40"/>
  <c r="R14" i="40" s="1"/>
  <c r="E36" i="40"/>
  <c r="P4" i="40" s="1"/>
  <c r="E41" i="40"/>
  <c r="P13" i="40" s="1"/>
  <c r="E42" i="40"/>
  <c r="P14" i="40" s="1"/>
  <c r="H46" i="40"/>
  <c r="S18" i="40" s="1"/>
  <c r="L5" i="49"/>
  <c r="M5" i="49"/>
  <c r="G75" i="39"/>
  <c r="G30" i="57" s="1"/>
  <c r="F75" i="39"/>
  <c r="F30" i="57" s="1"/>
  <c r="E75" i="39"/>
  <c r="E30" i="57" s="1"/>
  <c r="E19" i="71" s="1"/>
  <c r="L20" i="49"/>
  <c r="M20" i="49"/>
  <c r="L8" i="49"/>
  <c r="M8" i="49"/>
  <c r="E8" i="40"/>
  <c r="E37" i="40" s="1"/>
  <c r="P8" i="40" s="1"/>
  <c r="J8" i="49"/>
  <c r="G44" i="49"/>
  <c r="R20" i="49" s="1"/>
  <c r="L17" i="40"/>
  <c r="M17" i="40"/>
  <c r="G8" i="40"/>
  <c r="M8" i="40" s="1"/>
  <c r="G7" i="49"/>
  <c r="G9" i="49" s="1"/>
  <c r="G44" i="40"/>
  <c r="G43" i="40"/>
  <c r="F44" i="49"/>
  <c r="Q20" i="49" s="1"/>
  <c r="K17" i="40"/>
  <c r="F8" i="40"/>
  <c r="F7" i="49"/>
  <c r="F9" i="49" s="1"/>
  <c r="F44" i="40"/>
  <c r="F43" i="40"/>
  <c r="E44" i="49"/>
  <c r="P20" i="49" s="1"/>
  <c r="E7" i="49"/>
  <c r="J7" i="49" s="1"/>
  <c r="E44" i="40"/>
  <c r="E43" i="40"/>
  <c r="D34" i="49"/>
  <c r="O7" i="49" s="1"/>
  <c r="D7" i="40"/>
  <c r="D54" i="39"/>
  <c r="D15" i="39"/>
  <c r="D16" i="39" s="1"/>
  <c r="D12" i="57" s="1"/>
  <c r="D24" i="71" s="1"/>
  <c r="H36" i="49"/>
  <c r="S9" i="49" s="1"/>
  <c r="H22" i="49"/>
  <c r="H15" i="39"/>
  <c r="H16" i="39" s="1"/>
  <c r="H12" i="57" s="1"/>
  <c r="H7" i="40"/>
  <c r="H35" i="40" s="1"/>
  <c r="S7" i="40" s="1"/>
  <c r="H34" i="49"/>
  <c r="S7" i="49" s="1"/>
  <c r="H54" i="39"/>
  <c r="G5" i="40"/>
  <c r="L3" i="40"/>
  <c r="M3" i="40"/>
  <c r="F5" i="40"/>
  <c r="F47" i="40" s="1"/>
  <c r="Q19" i="40" s="1"/>
  <c r="H61" i="39"/>
  <c r="H29" i="57" s="1"/>
  <c r="G61" i="39"/>
  <c r="G29" i="57" s="1"/>
  <c r="F61" i="39"/>
  <c r="F29" i="57" s="1"/>
  <c r="O14" i="40"/>
  <c r="C9" i="40"/>
  <c r="G40" i="40" l="1"/>
  <c r="R12" i="40" s="1"/>
  <c r="L5" i="40"/>
  <c r="L20" i="47"/>
  <c r="L18" i="40"/>
  <c r="F20" i="40"/>
  <c r="F48" i="40" s="1"/>
  <c r="Q20" i="40" s="1"/>
  <c r="K18" i="40"/>
  <c r="G20" i="40"/>
  <c r="G48" i="40" s="1"/>
  <c r="R20" i="40" s="1"/>
  <c r="M18" i="40"/>
  <c r="K20" i="47"/>
  <c r="L12" i="40"/>
  <c r="E9" i="49"/>
  <c r="J9" i="49" s="1"/>
  <c r="K12" i="40"/>
  <c r="E40" i="40"/>
  <c r="P12" i="40" s="1"/>
  <c r="F37" i="40"/>
  <c r="Q8" i="40" s="1"/>
  <c r="K8" i="40"/>
  <c r="F46" i="40"/>
  <c r="Q18" i="40" s="1"/>
  <c r="G37" i="40"/>
  <c r="R8" i="40" s="1"/>
  <c r="L8" i="40"/>
  <c r="M5" i="40"/>
  <c r="G47" i="40"/>
  <c r="R19" i="40" s="1"/>
  <c r="G46" i="40"/>
  <c r="R18" i="40" s="1"/>
  <c r="K7" i="49"/>
  <c r="L7" i="49"/>
  <c r="M7" i="49"/>
  <c r="F19" i="71"/>
  <c r="G19" i="71"/>
  <c r="H19" i="71"/>
  <c r="H56" i="39"/>
  <c r="H28" i="57" s="1"/>
  <c r="D56" i="39"/>
  <c r="D28" i="57" s="1"/>
  <c r="D34" i="57" s="1"/>
  <c r="L9" i="49"/>
  <c r="M9" i="49"/>
  <c r="H9" i="40"/>
  <c r="H38" i="40" s="1"/>
  <c r="S9" i="40" s="1"/>
  <c r="H45" i="49"/>
  <c r="S22" i="49" s="1"/>
  <c r="H24" i="49"/>
  <c r="D35" i="40"/>
  <c r="O7" i="40" s="1"/>
  <c r="D9" i="40"/>
  <c r="D38" i="40" s="1"/>
  <c r="O9" i="40" s="1"/>
  <c r="E15" i="39"/>
  <c r="E16" i="39" s="1"/>
  <c r="E12" i="57" s="1"/>
  <c r="E7" i="40"/>
  <c r="E35" i="40" s="1"/>
  <c r="P7" i="40" s="1"/>
  <c r="E34" i="49"/>
  <c r="P7" i="49" s="1"/>
  <c r="E54" i="39"/>
  <c r="E56" i="39" s="1"/>
  <c r="E28" i="57" s="1"/>
  <c r="F36" i="49"/>
  <c r="Q9" i="49" s="1"/>
  <c r="F22" i="49"/>
  <c r="F15" i="39"/>
  <c r="F16" i="39" s="1"/>
  <c r="F12" i="57" s="1"/>
  <c r="F7" i="40"/>
  <c r="F35" i="40" s="1"/>
  <c r="Q7" i="40" s="1"/>
  <c r="F34" i="49"/>
  <c r="Q7" i="49" s="1"/>
  <c r="F54" i="39"/>
  <c r="G36" i="49"/>
  <c r="R9" i="49" s="1"/>
  <c r="G22" i="49"/>
  <c r="G15" i="39"/>
  <c r="G16" i="39" s="1"/>
  <c r="G12" i="57" s="1"/>
  <c r="H24" i="71" s="1"/>
  <c r="G7" i="40"/>
  <c r="G34" i="49"/>
  <c r="R7" i="49" s="1"/>
  <c r="G54" i="39"/>
  <c r="F39" i="40"/>
  <c r="Q11" i="40" s="1"/>
  <c r="G39" i="40"/>
  <c r="R11" i="40" s="1"/>
  <c r="E5" i="40"/>
  <c r="J3" i="40"/>
  <c r="K3" i="40"/>
  <c r="G18" i="71"/>
  <c r="H18" i="71"/>
  <c r="E61" i="39"/>
  <c r="E29" i="57" s="1"/>
  <c r="D20" i="40"/>
  <c r="D20" i="47"/>
  <c r="J20" i="47" s="1"/>
  <c r="C24" i="47"/>
  <c r="C27" i="47" s="1"/>
  <c r="C29" i="47" s="1"/>
  <c r="F9" i="40" l="1"/>
  <c r="F38" i="40" s="1"/>
  <c r="Q9" i="40" s="1"/>
  <c r="E22" i="49"/>
  <c r="E45" i="49" s="1"/>
  <c r="P22" i="49" s="1"/>
  <c r="E36" i="49"/>
  <c r="P9" i="49" s="1"/>
  <c r="K9" i="49"/>
  <c r="L20" i="40"/>
  <c r="D17" i="71"/>
  <c r="K5" i="40"/>
  <c r="E47" i="40"/>
  <c r="P19" i="40" s="1"/>
  <c r="E46" i="40"/>
  <c r="P18" i="40" s="1"/>
  <c r="G9" i="40"/>
  <c r="G38" i="40" s="1"/>
  <c r="R9" i="40" s="1"/>
  <c r="G35" i="40"/>
  <c r="R7" i="40" s="1"/>
  <c r="G24" i="71"/>
  <c r="J5" i="40"/>
  <c r="G56" i="39"/>
  <c r="G28" i="57" s="1"/>
  <c r="F56" i="39"/>
  <c r="F28" i="57" s="1"/>
  <c r="F34" i="57" s="1"/>
  <c r="L22" i="49"/>
  <c r="M22" i="49"/>
  <c r="L7" i="40"/>
  <c r="M7" i="40"/>
  <c r="G45" i="49"/>
  <c r="R22" i="49" s="1"/>
  <c r="G24" i="49"/>
  <c r="K7" i="40"/>
  <c r="F45" i="49"/>
  <c r="Q22" i="49" s="1"/>
  <c r="F24" i="49"/>
  <c r="J7" i="40"/>
  <c r="H46" i="49"/>
  <c r="H27" i="49"/>
  <c r="E9" i="40"/>
  <c r="E38" i="40" s="1"/>
  <c r="P9" i="40" s="1"/>
  <c r="E39" i="40"/>
  <c r="P11" i="40" s="1"/>
  <c r="E24" i="71"/>
  <c r="F24" i="71"/>
  <c r="E17" i="71"/>
  <c r="E18" i="71"/>
  <c r="F18" i="71"/>
  <c r="D48" i="40"/>
  <c r="O20" i="40" s="1"/>
  <c r="H20" i="40"/>
  <c r="H48" i="40" s="1"/>
  <c r="S20" i="40" s="1"/>
  <c r="F22" i="40" l="1"/>
  <c r="F24" i="40" s="1"/>
  <c r="K22" i="49"/>
  <c r="E24" i="49"/>
  <c r="E46" i="49" s="1"/>
  <c r="L9" i="40"/>
  <c r="M9" i="40"/>
  <c r="G22" i="40"/>
  <c r="F17" i="71"/>
  <c r="G17" i="71"/>
  <c r="H17" i="71"/>
  <c r="L24" i="49"/>
  <c r="M24" i="49"/>
  <c r="H22" i="40"/>
  <c r="H47" i="49"/>
  <c r="S27" i="49" s="1"/>
  <c r="H29" i="49"/>
  <c r="F46" i="49"/>
  <c r="F27" i="49"/>
  <c r="G46" i="49"/>
  <c r="G27" i="49"/>
  <c r="J9" i="40"/>
  <c r="K9" i="40"/>
  <c r="M20" i="40"/>
  <c r="E20" i="40"/>
  <c r="E48" i="40" s="1"/>
  <c r="P20" i="40" s="1"/>
  <c r="E27" i="49" l="1"/>
  <c r="K27" i="49" s="1"/>
  <c r="K24" i="49"/>
  <c r="F49" i="40"/>
  <c r="Q22" i="40" s="1"/>
  <c r="G24" i="40"/>
  <c r="G49" i="40"/>
  <c r="R22" i="40" s="1"/>
  <c r="H24" i="40"/>
  <c r="H49" i="40"/>
  <c r="F28" i="40"/>
  <c r="F7" i="71" s="1"/>
  <c r="F50" i="40"/>
  <c r="L27" i="49"/>
  <c r="M27" i="49"/>
  <c r="E22" i="40"/>
  <c r="G47" i="49"/>
  <c r="R27" i="49" s="1"/>
  <c r="G29" i="49"/>
  <c r="F47" i="49"/>
  <c r="Q27" i="49" s="1"/>
  <c r="F29" i="49"/>
  <c r="K20" i="40"/>
  <c r="J20" i="40"/>
  <c r="D22" i="49"/>
  <c r="J22" i="49" s="1"/>
  <c r="D22" i="47"/>
  <c r="E47" i="49" l="1"/>
  <c r="P27" i="49" s="1"/>
  <c r="E29" i="49"/>
  <c r="K29" i="49" s="1"/>
  <c r="S22" i="40"/>
  <c r="D24" i="49"/>
  <c r="J24" i="49" s="1"/>
  <c r="E24" i="40"/>
  <c r="E50" i="40" s="1"/>
  <c r="E49" i="40"/>
  <c r="P22" i="40" s="1"/>
  <c r="F29" i="40"/>
  <c r="F30" i="71" s="1"/>
  <c r="H28" i="40"/>
  <c r="H29" i="40" s="1"/>
  <c r="H30" i="71" s="1"/>
  <c r="H50" i="40"/>
  <c r="G28" i="40"/>
  <c r="G50" i="40"/>
  <c r="D24" i="47"/>
  <c r="D27" i="47" s="1"/>
  <c r="D29" i="47" s="1"/>
  <c r="L29" i="49"/>
  <c r="M29" i="49"/>
  <c r="F12" i="71"/>
  <c r="D45" i="49"/>
  <c r="O22" i="49" s="1"/>
  <c r="D22" i="40"/>
  <c r="C28" i="78" s="1"/>
  <c r="C13" i="78" l="1"/>
  <c r="H7" i="71"/>
  <c r="H12" i="71" s="1"/>
  <c r="D27" i="49"/>
  <c r="J27" i="49" s="1"/>
  <c r="D46" i="49"/>
  <c r="E28" i="40"/>
  <c r="E29" i="40" s="1"/>
  <c r="E30" i="71" s="1"/>
  <c r="G7" i="71"/>
  <c r="G12" i="71" s="1"/>
  <c r="G29" i="40"/>
  <c r="G30" i="71" s="1"/>
  <c r="F30" i="40"/>
  <c r="H30" i="40"/>
  <c r="D49" i="40"/>
  <c r="O22" i="40" s="1"/>
  <c r="D24" i="40"/>
  <c r="D50" i="40" s="1"/>
  <c r="H51" i="40" l="1"/>
  <c r="S30" i="40" s="1"/>
  <c r="D47" i="49"/>
  <c r="O27" i="49" s="1"/>
  <c r="D29" i="49"/>
  <c r="J29" i="49" s="1"/>
  <c r="G30" i="40"/>
  <c r="E7" i="71"/>
  <c r="E12" i="71" s="1"/>
  <c r="F51" i="40"/>
  <c r="Q30" i="40" s="1"/>
  <c r="F10" i="39"/>
  <c r="H10" i="39"/>
  <c r="E30" i="40"/>
  <c r="D28" i="40"/>
  <c r="D7" i="71" s="1"/>
  <c r="G10" i="39" l="1"/>
  <c r="G51" i="40"/>
  <c r="R30" i="40" s="1"/>
  <c r="E10" i="39"/>
  <c r="E51" i="40"/>
  <c r="P30" i="40" s="1"/>
  <c r="D30" i="40"/>
  <c r="H22" i="47"/>
  <c r="H24" i="47" s="1"/>
  <c r="G22" i="47"/>
  <c r="F22" i="47"/>
  <c r="E22" i="47"/>
  <c r="E24" i="47" s="1"/>
  <c r="D51" i="40" l="1"/>
  <c r="O30" i="40" s="1"/>
  <c r="M22" i="47"/>
  <c r="L22" i="47"/>
  <c r="G24" i="47"/>
  <c r="G27" i="47" s="1"/>
  <c r="F24" i="47"/>
  <c r="F27" i="47" s="1"/>
  <c r="K22" i="47"/>
  <c r="J22" i="47"/>
  <c r="E27" i="47"/>
  <c r="H27" i="47"/>
  <c r="M24" i="40"/>
  <c r="M22" i="40"/>
  <c r="L24" i="40"/>
  <c r="L22" i="40"/>
  <c r="K24" i="40"/>
  <c r="J24" i="40"/>
  <c r="K22" i="40"/>
  <c r="J22" i="40"/>
  <c r="D12" i="71"/>
  <c r="D10" i="39"/>
  <c r="D11" i="39" s="1"/>
  <c r="S28" i="40"/>
  <c r="O28" i="40" l="1"/>
  <c r="H29" i="47"/>
  <c r="G29" i="47"/>
  <c r="F29" i="47"/>
  <c r="E29" i="47"/>
  <c r="M28" i="40"/>
  <c r="R28" i="40"/>
  <c r="L28" i="40"/>
  <c r="K28" i="40"/>
  <c r="P28" i="40"/>
  <c r="J28" i="40"/>
  <c r="D9" i="57"/>
  <c r="D13" i="57" s="1"/>
  <c r="D28" i="39" s="1"/>
  <c r="E9" i="39"/>
  <c r="Q28" i="40"/>
  <c r="K28" i="39" l="1"/>
  <c r="D29" i="39"/>
  <c r="D40" i="71"/>
  <c r="D42" i="71" s="1"/>
  <c r="M30" i="40"/>
  <c r="L30" i="40"/>
  <c r="K30" i="40"/>
  <c r="J30" i="40"/>
  <c r="E11" i="39"/>
  <c r="E9" i="57" s="1"/>
  <c r="F9" i="39" l="1"/>
  <c r="F11" i="39" s="1"/>
  <c r="F9" i="57" s="1"/>
  <c r="F13" i="57" l="1"/>
  <c r="F28" i="39" s="1"/>
  <c r="G28" i="39" s="1"/>
  <c r="H28" i="39" s="1"/>
  <c r="G9" i="39"/>
  <c r="G11" i="39" s="1"/>
  <c r="G9" i="57" s="1"/>
  <c r="G40" i="71"/>
  <c r="G42" i="71" s="1"/>
  <c r="H40" i="71"/>
  <c r="H42" i="71" s="1"/>
  <c r="E21" i="71"/>
  <c r="F21" i="71"/>
  <c r="E34" i="57"/>
  <c r="E13" i="57" s="1"/>
  <c r="E28" i="39" s="1"/>
  <c r="L28" i="39" s="1"/>
  <c r="H9" i="39" l="1"/>
  <c r="H11" i="39" s="1"/>
  <c r="H9" i="57" s="1"/>
  <c r="M28" i="39"/>
  <c r="E40" i="71"/>
  <c r="E42" i="71" s="1"/>
  <c r="F40" i="71"/>
  <c r="F42" i="71" s="1"/>
  <c r="E29" i="39" l="1"/>
  <c r="F29" i="39"/>
  <c r="D15" i="57"/>
  <c r="D36" i="57" s="1"/>
  <c r="D25" i="71"/>
  <c r="D28" i="71" s="1"/>
  <c r="D32" i="71" s="1"/>
  <c r="D44" i="71" s="1"/>
  <c r="D48" i="71" s="1"/>
  <c r="D51" i="71" s="1"/>
  <c r="N28" i="39" l="1"/>
  <c r="F25" i="71"/>
  <c r="F28" i="71" s="1"/>
  <c r="F32" i="71" s="1"/>
  <c r="F44" i="71" s="1"/>
  <c r="F48" i="71" s="1"/>
  <c r="F51" i="71" s="1"/>
  <c r="F15" i="57"/>
  <c r="F36" i="57" s="1"/>
  <c r="E25" i="71"/>
  <c r="E28" i="71" s="1"/>
  <c r="E32" i="71" s="1"/>
  <c r="E44" i="71" s="1"/>
  <c r="E48" i="71" s="1"/>
  <c r="E51" i="71" s="1"/>
  <c r="E15" i="57"/>
  <c r="E36" i="57" s="1"/>
  <c r="G29" i="39" l="1"/>
  <c r="G13" i="57" s="1"/>
  <c r="O28" i="39"/>
  <c r="H29" i="39"/>
  <c r="H13" i="57" s="1"/>
  <c r="G25" i="71" l="1"/>
  <c r="G15" i="57"/>
  <c r="H15" i="57"/>
  <c r="H33" i="57" s="1"/>
  <c r="H25" i="71"/>
  <c r="G33" i="57" l="1"/>
  <c r="H21" i="71" s="1"/>
  <c r="H28" i="71" s="1"/>
  <c r="H32" i="71" s="1"/>
  <c r="H44" i="71" s="1"/>
  <c r="H48" i="71" s="1"/>
  <c r="H51" i="71" s="1"/>
  <c r="H52" i="69"/>
  <c r="H34" i="57"/>
  <c r="H36" i="57" s="1"/>
  <c r="G52" i="69" l="1"/>
  <c r="G21" i="71"/>
  <c r="G28" i="71" s="1"/>
  <c r="G32" i="71" s="1"/>
  <c r="G44" i="71" s="1"/>
  <c r="G48" i="71" s="1"/>
  <c r="G51" i="71" s="1"/>
  <c r="G34" i="57"/>
  <c r="G36" i="57" s="1"/>
  <c r="H54" i="69" l="1"/>
  <c r="G55" i="69"/>
  <c r="G51" i="69" s="1"/>
  <c r="H55" i="69"/>
  <c r="H51" i="69" l="1"/>
  <c r="C39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20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Can handle sourcing and merchandising in first year
</t>
        </r>
      </text>
    </comment>
    <comment ref="B22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Can handle sales and digital media also in first year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24" authorId="0" shapeId="0" xr:uid="{F1A3E9EF-EB58-4F87-995C-BDED2667CFD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Can handle sourcing and merchandising in first year
</t>
        </r>
      </text>
    </comment>
    <comment ref="B26" authorId="0" shapeId="0" xr:uid="{4528C1D6-B37E-474A-80C1-9DE9226CF95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Can handle sales and digital media also in first year
</t>
        </r>
      </text>
    </comment>
    <comment ref="B81" authorId="0" shapeId="0" xr:uid="{6CF4D7D1-00B9-46EA-93AB-40EA2272C7D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Can handle sourcing and merchandising in first year
</t>
        </r>
      </text>
    </comment>
    <comment ref="B83" authorId="0" shapeId="0" xr:uid="{6DE47666-1D82-4A39-B50F-FC18DFCAB50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Can handle sales and digital media also in first year
</t>
        </r>
      </text>
    </comment>
  </commentList>
</comments>
</file>

<file path=xl/sharedStrings.xml><?xml version="1.0" encoding="utf-8"?>
<sst xmlns="http://schemas.openxmlformats.org/spreadsheetml/2006/main" count="1268" uniqueCount="436">
  <si>
    <t>FY23</t>
  </si>
  <si>
    <t>FY24</t>
  </si>
  <si>
    <t>FY25</t>
  </si>
  <si>
    <t>FY26</t>
  </si>
  <si>
    <t>FY27</t>
  </si>
  <si>
    <t>Net Revenue</t>
  </si>
  <si>
    <t>Europe</t>
  </si>
  <si>
    <t>Middle East</t>
  </si>
  <si>
    <t>India</t>
  </si>
  <si>
    <t>Canada</t>
  </si>
  <si>
    <t>Gross Block</t>
  </si>
  <si>
    <t>Add: Additions</t>
  </si>
  <si>
    <t>Less: Assets Sold</t>
  </si>
  <si>
    <t>Closing Balance</t>
  </si>
  <si>
    <t>Depreciation</t>
  </si>
  <si>
    <t>Opening accumulated depreciation</t>
  </si>
  <si>
    <t>Add: Depreciation on opening</t>
  </si>
  <si>
    <t>Add: Depreciation on additions</t>
  </si>
  <si>
    <t>Less: Depreciation on assets sold</t>
  </si>
  <si>
    <t>Closing accumulated depreciation</t>
  </si>
  <si>
    <t>Net Block</t>
  </si>
  <si>
    <t>Opening Balance</t>
  </si>
  <si>
    <t>Additions: (In Value)</t>
  </si>
  <si>
    <t>Desktops</t>
  </si>
  <si>
    <t>Laptops</t>
  </si>
  <si>
    <t>Printer</t>
  </si>
  <si>
    <t>TOTAL</t>
  </si>
  <si>
    <t>Additions: (In Number)</t>
  </si>
  <si>
    <t>Europe (In Number)</t>
  </si>
  <si>
    <t>Middle East (In Number)</t>
  </si>
  <si>
    <t>LIABILITIES</t>
  </si>
  <si>
    <t>Accounts Payables</t>
  </si>
  <si>
    <t>DPO Days</t>
  </si>
  <si>
    <t>ASSETS</t>
  </si>
  <si>
    <t>Accounts Receivables</t>
  </si>
  <si>
    <t>DSO Days</t>
  </si>
  <si>
    <t>COGS</t>
  </si>
  <si>
    <t>Gross Profit</t>
  </si>
  <si>
    <t>People Cost</t>
  </si>
  <si>
    <t>EBITDA</t>
  </si>
  <si>
    <t>Less: Depreciation</t>
  </si>
  <si>
    <t>EBIT</t>
  </si>
  <si>
    <t>Less: Tax Expenses</t>
  </si>
  <si>
    <t>Net Profit</t>
  </si>
  <si>
    <t>Particulars</t>
  </si>
  <si>
    <t>No. of Emp</t>
  </si>
  <si>
    <t>Cost/Emp</t>
  </si>
  <si>
    <t>Total Cost</t>
  </si>
  <si>
    <t>M</t>
  </si>
  <si>
    <t>JM</t>
  </si>
  <si>
    <t xml:space="preserve">Total </t>
  </si>
  <si>
    <t>Additional JM</t>
  </si>
  <si>
    <t>Additional M</t>
  </si>
  <si>
    <t>DUBAI</t>
  </si>
  <si>
    <t>People Cost Assumption:</t>
  </si>
  <si>
    <t>1,35,000 - 1,70,000</t>
  </si>
  <si>
    <t>Sales Manager (in AED)- Annually</t>
  </si>
  <si>
    <t>Sales Manager (in INR) -  Annually</t>
  </si>
  <si>
    <t>29,00,000 - 37,00,000</t>
  </si>
  <si>
    <t>Sales Executive (in AED)- Annually</t>
  </si>
  <si>
    <t>Sales Executive (in INR) -  Annually</t>
  </si>
  <si>
    <t>40,000 - 50,000</t>
  </si>
  <si>
    <t>8,70,000 - 10,80,000</t>
  </si>
  <si>
    <t>Banking &amp; Credit (in AED)- Annually</t>
  </si>
  <si>
    <t>Banking &amp; Credit (in INR)- Annually</t>
  </si>
  <si>
    <t>Office Boy (in AED)- Annually</t>
  </si>
  <si>
    <t>Office Boy (in INR)- Annually</t>
  </si>
  <si>
    <t>Roles</t>
  </si>
  <si>
    <t>India (In Number)</t>
  </si>
  <si>
    <t>EBT</t>
  </si>
  <si>
    <t>FY23-24</t>
  </si>
  <si>
    <t>FY24-25</t>
  </si>
  <si>
    <t>FY25-26</t>
  </si>
  <si>
    <t>FY26-27</t>
  </si>
  <si>
    <t>US</t>
  </si>
  <si>
    <t>Assumptions:</t>
  </si>
  <si>
    <t>25,000 - 30,000</t>
  </si>
  <si>
    <t>$400-$500</t>
  </si>
  <si>
    <t>Euro 600-800</t>
  </si>
  <si>
    <t xml:space="preserve">Average Laptop Price </t>
  </si>
  <si>
    <t xml:space="preserve">Average Desktop Price </t>
  </si>
  <si>
    <t>Average Printer Price</t>
  </si>
  <si>
    <t>In Other Currency</t>
  </si>
  <si>
    <t>In INR</t>
  </si>
  <si>
    <t>48,000 - 64,000</t>
  </si>
  <si>
    <t>AED 1000 - 2000</t>
  </si>
  <si>
    <t>21,000 - 43,000</t>
  </si>
  <si>
    <t xml:space="preserve">24,000 -40,000 </t>
  </si>
  <si>
    <t>$350 - $500</t>
  </si>
  <si>
    <t>25,000 - 40,000</t>
  </si>
  <si>
    <t>-</t>
  </si>
  <si>
    <t xml:space="preserve">       - XXXXX</t>
  </si>
  <si>
    <t>$600</t>
  </si>
  <si>
    <t>30,000 - 50,0000</t>
  </si>
  <si>
    <t xml:space="preserve">43,000 - 65,000 </t>
  </si>
  <si>
    <t>AED 2000 - 3000</t>
  </si>
  <si>
    <t>$600 - $800</t>
  </si>
  <si>
    <t>48,000- 64,000</t>
  </si>
  <si>
    <t>$700 - $800</t>
  </si>
  <si>
    <t>55,000 - 64,000</t>
  </si>
  <si>
    <t>5000-10000</t>
  </si>
  <si>
    <t>AED 1000 - 2500</t>
  </si>
  <si>
    <t xml:space="preserve">21,000 -54,000 </t>
  </si>
  <si>
    <t>$100-$200</t>
  </si>
  <si>
    <t>8,000-16,000</t>
  </si>
  <si>
    <t>$200 - $300</t>
  </si>
  <si>
    <t>16,000 - 23,000</t>
  </si>
  <si>
    <t>10,00,000 - 13,00,000</t>
  </si>
  <si>
    <t>48,000 - 60,000</t>
  </si>
  <si>
    <t>1600 - 2000</t>
  </si>
  <si>
    <t>35,000 - 45,000</t>
  </si>
  <si>
    <t>FY23-H1</t>
  </si>
  <si>
    <t>FY23-H2</t>
  </si>
  <si>
    <t>US &amp; Canada</t>
  </si>
  <si>
    <t>D2C</t>
  </si>
  <si>
    <t>US &amp; Canada (In Number)</t>
  </si>
  <si>
    <t>Inflation Rate</t>
  </si>
  <si>
    <t>FY22-23</t>
  </si>
  <si>
    <t xml:space="preserve">Europe </t>
  </si>
  <si>
    <t>Latin America</t>
  </si>
  <si>
    <t>Revenue from Operations</t>
  </si>
  <si>
    <t>Revenue from operations (in %)</t>
  </si>
  <si>
    <t>Total Assets</t>
  </si>
  <si>
    <t>Total Liabilities</t>
  </si>
  <si>
    <t>Reserves and Surplus</t>
  </si>
  <si>
    <t>Facility Executive</t>
  </si>
  <si>
    <t>Business Anl. Intern</t>
  </si>
  <si>
    <t>Sales Manager</t>
  </si>
  <si>
    <t>Marketing Intern</t>
  </si>
  <si>
    <t>EA to MD</t>
  </si>
  <si>
    <t>Head - HR</t>
  </si>
  <si>
    <t>Front Off Executive</t>
  </si>
  <si>
    <t>HR Executive</t>
  </si>
  <si>
    <t>E Com Executive</t>
  </si>
  <si>
    <t>Finance Head</t>
  </si>
  <si>
    <t xml:space="preserve">India FC </t>
  </si>
  <si>
    <t>Accounts Executive</t>
  </si>
  <si>
    <t>Dubai</t>
  </si>
  <si>
    <t>IT Executive</t>
  </si>
  <si>
    <t>Designer</t>
  </si>
  <si>
    <t>Intern Design</t>
  </si>
  <si>
    <t xml:space="preserve">Sourcing </t>
  </si>
  <si>
    <t>QC &amp; Sourcing</t>
  </si>
  <si>
    <t>Merchandizer</t>
  </si>
  <si>
    <t>Merchandizing</t>
  </si>
  <si>
    <t>Design and Product Development</t>
  </si>
  <si>
    <t xml:space="preserve">Head Marketing </t>
  </si>
  <si>
    <t>E commerce Manager</t>
  </si>
  <si>
    <t>E Commerce Intern</t>
  </si>
  <si>
    <t>Design Manager</t>
  </si>
  <si>
    <t>Head Sourcing &amp; Mechz</t>
  </si>
  <si>
    <t>Merchz Intern</t>
  </si>
  <si>
    <t>Facility Incharge</t>
  </si>
  <si>
    <t>Intern - Financial Analyst</t>
  </si>
  <si>
    <t>Existing</t>
  </si>
  <si>
    <t>New Vacant Positions</t>
  </si>
  <si>
    <t>Office Assistant 1</t>
  </si>
  <si>
    <t>Office Assistant 2</t>
  </si>
  <si>
    <t>Manager Sourcing 1</t>
  </si>
  <si>
    <t>Manager Sourcing 2</t>
  </si>
  <si>
    <t>Manager Sourcing 3</t>
  </si>
  <si>
    <t>Manager Sourcing 4</t>
  </si>
  <si>
    <t>Manager Sourcing 5</t>
  </si>
  <si>
    <t>Manager Sourcing 6</t>
  </si>
  <si>
    <t>Manager Sourcing 7</t>
  </si>
  <si>
    <t>Product Merchandizer</t>
  </si>
  <si>
    <t>PR &amp; Liaison Executive</t>
  </si>
  <si>
    <t>Finance Executive S/L</t>
  </si>
  <si>
    <t>Finance Executive Stock</t>
  </si>
  <si>
    <t>Product Development Executive</t>
  </si>
  <si>
    <t>Product Development Intern</t>
  </si>
  <si>
    <t>Merchz Executive</t>
  </si>
  <si>
    <t>Equity</t>
  </si>
  <si>
    <t>Reserves &amp; Surplus</t>
  </si>
  <si>
    <t>Opening</t>
  </si>
  <si>
    <t>Add: P/L for the period</t>
  </si>
  <si>
    <t>Closing</t>
  </si>
  <si>
    <t>Net Fixed Assets</t>
  </si>
  <si>
    <t>Total Expenses</t>
  </si>
  <si>
    <t>(+) Price Increase</t>
  </si>
  <si>
    <t>(-) Freight Optimization</t>
  </si>
  <si>
    <t>(-) Economies of Scale</t>
  </si>
  <si>
    <t>INDIA</t>
  </si>
  <si>
    <t>COGS + Margins</t>
  </si>
  <si>
    <t>TOTAL OF INDIA</t>
  </si>
  <si>
    <t>D2C Brand Royalty</t>
  </si>
  <si>
    <t xml:space="preserve">D2C web and app </t>
  </si>
  <si>
    <t>Royalty on Indian D2C Revenue</t>
  </si>
  <si>
    <t>55000 inr</t>
  </si>
  <si>
    <t>43000 inr</t>
  </si>
  <si>
    <t>37500 inr</t>
  </si>
  <si>
    <t>Cash Flow Statement</t>
  </si>
  <si>
    <t>A.</t>
  </si>
  <si>
    <t>Cash Flow from Operating Activities</t>
  </si>
  <si>
    <t>Net Profit / (Loss) for the period (before tax)</t>
  </si>
  <si>
    <t>Adjustment for (add):</t>
  </si>
  <si>
    <t>Operating Profit before working capital changes</t>
  </si>
  <si>
    <t>Adjustment for increase /decrease in operating assets:</t>
  </si>
  <si>
    <t>Adjustment for increase /decrease in operating liabilities:</t>
  </si>
  <si>
    <t>Cash genertaed from Operations</t>
  </si>
  <si>
    <t>Less: Tax Paid</t>
  </si>
  <si>
    <t>Net cash flow Operating Activities (A)</t>
  </si>
  <si>
    <t>B.</t>
  </si>
  <si>
    <t>Cash Flow from Investing Activities</t>
  </si>
  <si>
    <t>Capital Exp on FA</t>
  </si>
  <si>
    <t>Net Cash Flow from Investing Activities (B)</t>
  </si>
  <si>
    <t>C.</t>
  </si>
  <si>
    <t>Cash Flow from Financing Activities</t>
  </si>
  <si>
    <t>Net Cash Flow from Financing Activities (C)</t>
  </si>
  <si>
    <t>Net Increase / Decrease in Cash</t>
  </si>
  <si>
    <t>Cash &amp; Cash Equivalents at the beggining of the year</t>
  </si>
  <si>
    <t>Cash &amp; Cash Equivalents at the end of the year</t>
  </si>
  <si>
    <r>
      <rPr>
        <sz val="11"/>
        <color theme="1"/>
        <rFont val="Calibri"/>
        <family val="2"/>
      </rPr>
      <t xml:space="preserve">Check </t>
    </r>
    <r>
      <rPr>
        <sz val="9"/>
        <color theme="1"/>
        <rFont val="Calibri"/>
        <family val="2"/>
      </rPr>
      <t>(put values manually)</t>
    </r>
    <r>
      <rPr>
        <sz val="11"/>
        <color theme="1"/>
        <rFont val="Calibri"/>
        <family val="2"/>
      </rPr>
      <t xml:space="preserve"> </t>
    </r>
  </si>
  <si>
    <t xml:space="preserve">(Should be Zero) </t>
  </si>
  <si>
    <t>Interest Income</t>
  </si>
  <si>
    <t>Interest Calculation</t>
  </si>
  <si>
    <t>Current Investment</t>
  </si>
  <si>
    <t>Calculation</t>
  </si>
  <si>
    <t>EUROPE</t>
  </si>
  <si>
    <t>US &amp; CANADA</t>
  </si>
  <si>
    <t>LATIN AMERICA</t>
  </si>
  <si>
    <t>Sales Executive (in EUR)- Annually</t>
  </si>
  <si>
    <t>Sales Executive (in USD)- Annually</t>
  </si>
  <si>
    <t>Sales Executive (in USD) -  Annually</t>
  </si>
  <si>
    <t>2210-7650</t>
  </si>
  <si>
    <t>Add: Investor's Fund</t>
  </si>
  <si>
    <t>Inventory</t>
  </si>
  <si>
    <t>Total Fixed Costs</t>
  </si>
  <si>
    <t>Order Management Fees</t>
  </si>
  <si>
    <t>Depreciation:</t>
  </si>
  <si>
    <t>Shareholders Fund</t>
  </si>
  <si>
    <t>Fixed Assets</t>
  </si>
  <si>
    <t>Current Investments</t>
  </si>
  <si>
    <t>Interest Rate 1</t>
  </si>
  <si>
    <t>Interest Rate 2</t>
  </si>
  <si>
    <t>Inventory Days</t>
  </si>
  <si>
    <t>Royalty on D2C Calcultaion:</t>
  </si>
  <si>
    <t>Marketing &amp; Brand Agency</t>
  </si>
  <si>
    <t>Social &amp; Digital Marketing</t>
  </si>
  <si>
    <t>Marketing &amp; Sales Cost:</t>
  </si>
  <si>
    <t>Other Admin Expenses</t>
  </si>
  <si>
    <t>Cost per month</t>
  </si>
  <si>
    <t>Total Marketing &amp; Brand Agency</t>
  </si>
  <si>
    <t>Total Social &amp; Digital Marketing</t>
  </si>
  <si>
    <t xml:space="preserve">Assets-wise Depreciation Sheet </t>
  </si>
  <si>
    <t>Particular</t>
  </si>
  <si>
    <t>Gross value</t>
  </si>
  <si>
    <t>Total Depreciable value</t>
  </si>
  <si>
    <t>Purchased on FY23</t>
  </si>
  <si>
    <t>Purchased on FY24</t>
  </si>
  <si>
    <t>Purchased on FY25</t>
  </si>
  <si>
    <t>Purchased on FY26</t>
  </si>
  <si>
    <t>Purchased on FY27</t>
  </si>
  <si>
    <t>Total</t>
  </si>
  <si>
    <t>Less: Accumulated Depreciation</t>
  </si>
  <si>
    <t>As a % of Revenue</t>
  </si>
  <si>
    <t>Gross Margin</t>
  </si>
  <si>
    <t xml:space="preserve">COGS </t>
  </si>
  <si>
    <t>Order Mgmt Fees</t>
  </si>
  <si>
    <t>RATIO</t>
  </si>
  <si>
    <t>Current Ratio</t>
  </si>
  <si>
    <t>Return on Capital Employed</t>
  </si>
  <si>
    <t>Return on Equity</t>
  </si>
  <si>
    <t>Proprietary Ratio</t>
  </si>
  <si>
    <t>Total Asset Turnover Ratio</t>
  </si>
  <si>
    <t>Fixed Asset Turnover Ratio</t>
  </si>
  <si>
    <t>WC Capital Turnover</t>
  </si>
  <si>
    <t>DSO</t>
  </si>
  <si>
    <t>DPO</t>
  </si>
  <si>
    <t>Return on Assets</t>
  </si>
  <si>
    <t>Capital Employed</t>
  </si>
  <si>
    <t>Working Capital</t>
  </si>
  <si>
    <t>(A)</t>
  </si>
  <si>
    <t>(B)</t>
  </si>
  <si>
    <t>Share Capital/ Investor funds</t>
  </si>
  <si>
    <t>Accounts Rec. as a % of revenue</t>
  </si>
  <si>
    <t>YoY Growth</t>
  </si>
  <si>
    <t>Unit Economics</t>
  </si>
  <si>
    <t>Warehouse &amp; Distribution Cost</t>
  </si>
  <si>
    <t>Add: Interest Income on Current Invest.</t>
  </si>
  <si>
    <t>Inventory Calculation</t>
  </si>
  <si>
    <t>Add: Interest Income on Loans &amp; Ad.</t>
  </si>
  <si>
    <t>Name of the employee</t>
  </si>
  <si>
    <t>Marketing Manager</t>
  </si>
  <si>
    <t>Vacant</t>
  </si>
  <si>
    <t>Ass. Sales Manager</t>
  </si>
  <si>
    <t>Manager Merchandizer</t>
  </si>
  <si>
    <t>Nidhi Kataruka</t>
  </si>
  <si>
    <t>EA to MD (Business)</t>
  </si>
  <si>
    <t>Pankaj Paharia</t>
  </si>
  <si>
    <t>Exec Scy to MD</t>
  </si>
  <si>
    <t>Achintya Hore</t>
  </si>
  <si>
    <t>Biz. Ana Intern</t>
  </si>
  <si>
    <t>Junior Designer</t>
  </si>
  <si>
    <t>Sneha Sen</t>
  </si>
  <si>
    <t>Design Intern</t>
  </si>
  <si>
    <t>Ishani Dey</t>
  </si>
  <si>
    <t>E Commerce Manager</t>
  </si>
  <si>
    <t>E Commerce Executive</t>
  </si>
  <si>
    <t>Vihal Khaitan</t>
  </si>
  <si>
    <t>Finance Manager</t>
  </si>
  <si>
    <t>Rahul Kumar</t>
  </si>
  <si>
    <t>Accounts Executive Inventory</t>
  </si>
  <si>
    <t>CHRO</t>
  </si>
  <si>
    <t>Subhmay Chatterjee</t>
  </si>
  <si>
    <t>Goutam Singh</t>
  </si>
  <si>
    <t>Sabyasachi Sen</t>
  </si>
  <si>
    <t>Front Office Executive</t>
  </si>
  <si>
    <t>Joyeeta Saha</t>
  </si>
  <si>
    <t>Office Assistant</t>
  </si>
  <si>
    <t>Bubai Dutta</t>
  </si>
  <si>
    <t>Amit Chand</t>
  </si>
  <si>
    <t>Head-Supply Chain/Ops</t>
  </si>
  <si>
    <t>Rahul Soni</t>
  </si>
  <si>
    <t>Sourcing Manager</t>
  </si>
  <si>
    <t>QA CLL</t>
  </si>
  <si>
    <t>Ravindra</t>
  </si>
  <si>
    <t>Exe. Sourcing &amp; QA</t>
  </si>
  <si>
    <t>Sr Merchandiser Work Wear</t>
  </si>
  <si>
    <t>Intern Merchandiser</t>
  </si>
  <si>
    <t>Interns</t>
  </si>
  <si>
    <t>Employees</t>
  </si>
  <si>
    <t>CFO</t>
  </si>
  <si>
    <t>Accounts Executive Assets- India</t>
  </si>
  <si>
    <t xml:space="preserve">Royalty on D2C </t>
  </si>
  <si>
    <t>Digital Media Presence</t>
  </si>
  <si>
    <t>Export Manager</t>
  </si>
  <si>
    <t>CAD In charge</t>
  </si>
  <si>
    <t>Sampling In charge</t>
  </si>
  <si>
    <t>Sampler</t>
  </si>
  <si>
    <t xml:space="preserve"> </t>
  </si>
  <si>
    <t>as % of Total Revenue</t>
  </si>
  <si>
    <t>Rental</t>
  </si>
  <si>
    <t>YoY Growth on rentals</t>
  </si>
  <si>
    <t>conversion rate</t>
  </si>
  <si>
    <t>Revenue Target (in INR)</t>
  </si>
  <si>
    <t>1 USD = INR</t>
  </si>
  <si>
    <t>COGS-D2C</t>
  </si>
  <si>
    <t>Other Current Liabilities</t>
  </si>
  <si>
    <t>Short Term Provisions</t>
  </si>
  <si>
    <t>Revenue-D2C</t>
  </si>
  <si>
    <t>Non Current Investments</t>
  </si>
  <si>
    <t>Other Non-Current Investments</t>
  </si>
  <si>
    <t>CLL-Investment</t>
  </si>
  <si>
    <t>Deferred Tax Assets (Net)</t>
  </si>
  <si>
    <t>Long Term Loans &amp; Advances</t>
  </si>
  <si>
    <t>Short Term Loans &amp; Advances</t>
  </si>
  <si>
    <t>Other Current Assets</t>
  </si>
  <si>
    <t>Other Payables</t>
  </si>
  <si>
    <t>Liabilities for expenses</t>
  </si>
  <si>
    <t>Statutory Liabilities</t>
  </si>
  <si>
    <t>Advance from Customer</t>
  </si>
  <si>
    <t>ICICI Bank Current A/c ' 7038</t>
  </si>
  <si>
    <t>Others</t>
  </si>
  <si>
    <t>Provison for Audit Fees</t>
  </si>
  <si>
    <t>Provision for Income Tax</t>
  </si>
  <si>
    <t>Security Deposits</t>
  </si>
  <si>
    <t>Balances with Government Authorities</t>
  </si>
  <si>
    <t>Duty drawback receivables</t>
  </si>
  <si>
    <t>GST receivables</t>
  </si>
  <si>
    <t>IGST receivables</t>
  </si>
  <si>
    <t>Other loans &amp; advances (secured, considered good)</t>
  </si>
  <si>
    <t>Secured, considered good</t>
  </si>
  <si>
    <t>Other loans &amp; advances (Unsecured, considered good)</t>
  </si>
  <si>
    <t>Loans &amp; advances to emplyoees</t>
  </si>
  <si>
    <t>Cash Balance</t>
  </si>
  <si>
    <t>Capex for Land, Building &amp; Equipment</t>
  </si>
  <si>
    <t>Assumption for Depreciation Calculation:</t>
  </si>
  <si>
    <t>Straight Line Method</t>
  </si>
  <si>
    <t>Rate</t>
  </si>
  <si>
    <t>Useful Life</t>
  </si>
  <si>
    <t>HR &amp; Admin Manager</t>
  </si>
  <si>
    <t>HR &amp; Admin Head</t>
  </si>
  <si>
    <t>Manager - Design &amp; Branding</t>
  </si>
  <si>
    <t>Production Merchandiser</t>
  </si>
  <si>
    <t>Order Management Fees in USD</t>
  </si>
  <si>
    <t>Order Management Fees in INR</t>
  </si>
  <si>
    <t>Director's remuneration</t>
  </si>
  <si>
    <t>Warehouse running cost</t>
  </si>
  <si>
    <t>Wastage &amp; dead stock</t>
  </si>
  <si>
    <t>India Revenue D2C</t>
  </si>
  <si>
    <t>Wastage, Pilferage &amp; Dead stock</t>
  </si>
  <si>
    <t>Director's Remuneration</t>
  </si>
  <si>
    <t>YoY Growth Rate</t>
  </si>
  <si>
    <t>Corporate</t>
  </si>
  <si>
    <t>(in INR)</t>
  </si>
  <si>
    <t>Export Executive</t>
  </si>
  <si>
    <t>FY22 (Actual)</t>
  </si>
  <si>
    <t>3 Years</t>
  </si>
  <si>
    <t>For FY25</t>
  </si>
  <si>
    <t>For FY26</t>
  </si>
  <si>
    <t>Furniture &amp; Fixtures</t>
  </si>
  <si>
    <t>Office Equipment</t>
  </si>
  <si>
    <t>Computers</t>
  </si>
  <si>
    <t>Electric Bike</t>
  </si>
  <si>
    <t>Motor Car</t>
  </si>
  <si>
    <t>Property, Plant &amp; Equipment (for 2022)</t>
  </si>
  <si>
    <t>Laptops &amp; Desktops</t>
  </si>
  <si>
    <t>Rate for Laptops, Desktops</t>
  </si>
  <si>
    <t>Additions</t>
  </si>
  <si>
    <t xml:space="preserve">Income Tax Rate </t>
  </si>
  <si>
    <t>Op. Dep. as on 01/04/2021</t>
  </si>
  <si>
    <t>Revenue from operations (in INR)</t>
  </si>
  <si>
    <t>People Cost (in INR)</t>
  </si>
  <si>
    <t>Existing Staffs</t>
  </si>
  <si>
    <t>New Hires</t>
  </si>
  <si>
    <t>Existing Staffs- 6 months cost</t>
  </si>
  <si>
    <t>New Hires- 4 months cost</t>
  </si>
  <si>
    <t>Variable Pay</t>
  </si>
  <si>
    <t xml:space="preserve">Warehouse Executive </t>
  </si>
  <si>
    <t>Accounts Executive - CLL</t>
  </si>
  <si>
    <t>Inventory Cost as a % of COGS (50% of Raw Mat. + 50% of Finished Goods)</t>
  </si>
  <si>
    <t>Revenue of FY22</t>
  </si>
  <si>
    <t>Fixed Asset Loan</t>
  </si>
  <si>
    <t>Interest</t>
  </si>
  <si>
    <t>Rate of Interest</t>
  </si>
  <si>
    <t>Loan 1</t>
  </si>
  <si>
    <t>Loan 2</t>
  </si>
  <si>
    <t>EMI</t>
  </si>
  <si>
    <t>Cl. Bal</t>
  </si>
  <si>
    <t>Op. bal</t>
  </si>
  <si>
    <t>Less: Interest Expenses</t>
  </si>
  <si>
    <t>PAT</t>
  </si>
  <si>
    <t>Revenue</t>
  </si>
  <si>
    <t>Manpower Cost</t>
  </si>
  <si>
    <t>Revenue Growth</t>
  </si>
  <si>
    <t>Inc/Dec in COGS as a % to sales</t>
  </si>
  <si>
    <t>Sensitivity Analysis of EBITDA w.r.t. revenue growth &amp; Inc/Dec in COGS as a % to sales</t>
  </si>
  <si>
    <t>Sensitivity Analysis of EBITDA w.r.t. Inc/Dec in Employee cost and Admin Cost</t>
  </si>
  <si>
    <t>Inc./Dec. in Employee Cost</t>
  </si>
  <si>
    <t>Inc/Dec in Admin Cost</t>
  </si>
  <si>
    <t>Corporate People</t>
  </si>
  <si>
    <t>Corporate People Cost</t>
  </si>
  <si>
    <t>D2C People Cost</t>
  </si>
  <si>
    <t>Corporate Cost</t>
  </si>
  <si>
    <t>D2C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</si>
</sst>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_ * #,##0.0_ ;_ * \-#,##0.0_ ;_ * &quot;-&quot;??_ ;_ @_ "/>
    <numFmt numFmtId="166" formatCode="_ * #,##0_ ;_ * \-#,##0_ ;_ * &quot;-&quot;??_ ;_ @_ "/>
    <numFmt numFmtId="167" formatCode="0.0%"/>
    <numFmt numFmtId="168" formatCode="_ * #,##0.0000_ ;_ * \-#,##0.0000_ ;_ * &quot;-&quot;????_ ;_ @_ "/>
    <numFmt numFmtId="169" formatCode="[$-409]mmm\-yy;@"/>
    <numFmt numFmtId="170" formatCode="0.0000%"/>
    <numFmt numFmtId="171" formatCode="0.000%"/>
    <numFmt numFmtId="172" formatCode="#,##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u/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u/>
      <sz val="11"/>
      <color theme="1"/>
      <name val="Calibri"/>
      <family val="2"/>
    </font>
    <font>
      <sz val="9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2" fillId="0" borderId="0" applyNumberFormat="0" applyFill="0" applyBorder="0" applyProtection="0">
      <alignment horizontal="left" vertical="top"/>
    </xf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33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 indent="2"/>
    </xf>
    <xf numFmtId="0" fontId="1" fillId="0" borderId="3" xfId="0" applyFont="1" applyBorder="1"/>
    <xf numFmtId="0" fontId="0" fillId="0" borderId="4" xfId="0" applyBorder="1"/>
    <xf numFmtId="0" fontId="1" fillId="0" borderId="0" xfId="0" applyFont="1"/>
    <xf numFmtId="0" fontId="1" fillId="0" borderId="8" xfId="0" applyFont="1" applyBorder="1"/>
    <xf numFmtId="0" fontId="1" fillId="0" borderId="7" xfId="0" applyFont="1" applyBorder="1"/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1"/>
    </xf>
    <xf numFmtId="0" fontId="4" fillId="0" borderId="9" xfId="0" applyFont="1" applyBorder="1"/>
    <xf numFmtId="0" fontId="0" fillId="0" borderId="5" xfId="0" applyBorder="1"/>
    <xf numFmtId="0" fontId="4" fillId="0" borderId="10" xfId="0" applyFont="1" applyBorder="1"/>
    <xf numFmtId="0" fontId="5" fillId="0" borderId="11" xfId="0" applyFont="1" applyBorder="1"/>
    <xf numFmtId="0" fontId="6" fillId="0" borderId="0" xfId="0" applyFont="1" applyAlignment="1">
      <alignment horizontal="left"/>
    </xf>
    <xf numFmtId="0" fontId="7" fillId="0" borderId="12" xfId="0" applyFont="1" applyBorder="1"/>
    <xf numFmtId="0" fontId="4" fillId="0" borderId="13" xfId="0" applyFont="1" applyBorder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3" fillId="0" borderId="0" xfId="0" applyFont="1"/>
    <xf numFmtId="0" fontId="7" fillId="0" borderId="0" xfId="0" applyFont="1"/>
    <xf numFmtId="0" fontId="1" fillId="0" borderId="2" xfId="0" applyFont="1" applyBorder="1"/>
    <xf numFmtId="0" fontId="4" fillId="0" borderId="2" xfId="0" applyFont="1" applyBorder="1"/>
    <xf numFmtId="0" fontId="2" fillId="0" borderId="2" xfId="0" applyFont="1" applyBorder="1"/>
    <xf numFmtId="0" fontId="0" fillId="0" borderId="2" xfId="0" applyBorder="1" applyAlignment="1">
      <alignment horizontal="left" indent="3"/>
    </xf>
    <xf numFmtId="0" fontId="4" fillId="0" borderId="2" xfId="0" applyFont="1" applyBorder="1" applyAlignment="1">
      <alignment horizontal="left" indent="2"/>
    </xf>
    <xf numFmtId="0" fontId="4" fillId="0" borderId="0" xfId="0" applyFont="1"/>
    <xf numFmtId="0" fontId="5" fillId="0" borderId="0" xfId="0" applyFont="1"/>
    <xf numFmtId="17" fontId="4" fillId="0" borderId="21" xfId="0" applyNumberFormat="1" applyFont="1" applyBorder="1"/>
    <xf numFmtId="17" fontId="4" fillId="0" borderId="0" xfId="0" applyNumberFormat="1" applyFont="1"/>
    <xf numFmtId="17" fontId="4" fillId="0" borderId="22" xfId="0" applyNumberFormat="1" applyFont="1" applyBorder="1"/>
    <xf numFmtId="0" fontId="7" fillId="0" borderId="23" xfId="0" applyFont="1" applyBorder="1"/>
    <xf numFmtId="0" fontId="4" fillId="0" borderId="21" xfId="0" applyFont="1" applyBorder="1"/>
    <xf numFmtId="0" fontId="4" fillId="0" borderId="22" xfId="0" applyFont="1" applyBorder="1"/>
    <xf numFmtId="0" fontId="6" fillId="0" borderId="21" xfId="0" applyFont="1" applyBorder="1" applyAlignment="1">
      <alignment horizontal="center" vertical="center"/>
    </xf>
    <xf numFmtId="0" fontId="5" fillId="0" borderId="18" xfId="0" quotePrefix="1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4" xfId="0" applyFont="1" applyBorder="1"/>
    <xf numFmtId="0" fontId="4" fillId="0" borderId="25" xfId="0" applyFont="1" applyBorder="1"/>
    <xf numFmtId="17" fontId="4" fillId="0" borderId="2" xfId="0" applyNumberFormat="1" applyFont="1" applyBorder="1"/>
    <xf numFmtId="17" fontId="5" fillId="0" borderId="27" xfId="0" applyNumberFormat="1" applyFont="1" applyBorder="1"/>
    <xf numFmtId="17" fontId="5" fillId="0" borderId="28" xfId="0" applyNumberFormat="1" applyFont="1" applyBorder="1"/>
    <xf numFmtId="17" fontId="5" fillId="0" borderId="29" xfId="0" applyNumberFormat="1" applyFont="1" applyBorder="1"/>
    <xf numFmtId="17" fontId="5" fillId="0" borderId="30" xfId="0" applyNumberFormat="1" applyFont="1" applyBorder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1" fillId="0" borderId="5" xfId="0" applyFont="1" applyBorder="1"/>
    <xf numFmtId="0" fontId="0" fillId="0" borderId="0" xfId="0" applyAlignment="1">
      <alignment horizontal="center"/>
    </xf>
    <xf numFmtId="0" fontId="7" fillId="0" borderId="31" xfId="0" applyFont="1" applyBorder="1"/>
    <xf numFmtId="0" fontId="4" fillId="0" borderId="4" xfId="0" applyFont="1" applyBorder="1"/>
    <xf numFmtId="0" fontId="4" fillId="0" borderId="32" xfId="0" applyFont="1" applyBorder="1"/>
    <xf numFmtId="0" fontId="4" fillId="0" borderId="33" xfId="0" applyFont="1" applyBorder="1"/>
    <xf numFmtId="0" fontId="4" fillId="0" borderId="5" xfId="0" applyFont="1" applyBorder="1"/>
    <xf numFmtId="0" fontId="7" fillId="0" borderId="34" xfId="0" applyFont="1" applyBorder="1"/>
    <xf numFmtId="0" fontId="4" fillId="0" borderId="34" xfId="0" quotePrefix="1" applyFont="1" applyBorder="1"/>
    <xf numFmtId="0" fontId="5" fillId="0" borderId="35" xfId="0" quotePrefix="1" applyFont="1" applyBorder="1"/>
    <xf numFmtId="0" fontId="5" fillId="0" borderId="2" xfId="0" applyFont="1" applyBorder="1"/>
    <xf numFmtId="0" fontId="4" fillId="0" borderId="36" xfId="0" applyFont="1" applyBorder="1"/>
    <xf numFmtId="0" fontId="4" fillId="0" borderId="37" xfId="0" applyFont="1" applyBorder="1"/>
    <xf numFmtId="0" fontId="4" fillId="0" borderId="13" xfId="0" applyFont="1" applyBorder="1"/>
    <xf numFmtId="0" fontId="4" fillId="0" borderId="6" xfId="0" applyFont="1" applyBorder="1"/>
    <xf numFmtId="0" fontId="4" fillId="0" borderId="1" xfId="0" applyFont="1" applyBorder="1"/>
    <xf numFmtId="0" fontId="4" fillId="0" borderId="3" xfId="0" applyFont="1" applyBorder="1"/>
    <xf numFmtId="166" fontId="0" fillId="0" borderId="0" xfId="1" applyNumberFormat="1" applyFont="1"/>
    <xf numFmtId="9" fontId="0" fillId="0" borderId="0" xfId="0" applyNumberFormat="1"/>
    <xf numFmtId="0" fontId="0" fillId="0" borderId="0" xfId="0" applyAlignment="1">
      <alignment horizontal="left" indent="3"/>
    </xf>
    <xf numFmtId="166" fontId="1" fillId="0" borderId="7" xfId="1" applyNumberFormat="1" applyFont="1" applyBorder="1"/>
    <xf numFmtId="9" fontId="0" fillId="0" borderId="0" xfId="2" applyFont="1"/>
    <xf numFmtId="166" fontId="0" fillId="0" borderId="0" xfId="0" applyNumberFormat="1"/>
    <xf numFmtId="0" fontId="1" fillId="0" borderId="4" xfId="0" applyFont="1" applyBorder="1"/>
    <xf numFmtId="0" fontId="1" fillId="0" borderId="5" xfId="0" applyFont="1" applyBorder="1"/>
    <xf numFmtId="9" fontId="0" fillId="0" borderId="0" xfId="0" applyNumberFormat="1" applyAlignment="1">
      <alignment horizontal="right"/>
    </xf>
    <xf numFmtId="0" fontId="0" fillId="0" borderId="7" xfId="0" applyBorder="1" applyAlignment="1">
      <alignment horizontal="left"/>
    </xf>
    <xf numFmtId="9" fontId="0" fillId="0" borderId="7" xfId="0" applyNumberFormat="1" applyBorder="1"/>
    <xf numFmtId="166" fontId="0" fillId="0" borderId="7" xfId="1" applyNumberFormat="1" applyFont="1" applyBorder="1"/>
    <xf numFmtId="166" fontId="0" fillId="0" borderId="0" xfId="0" applyNumberFormat="1" applyAlignment="1">
      <alignment horizontal="right"/>
    </xf>
    <xf numFmtId="166" fontId="4" fillId="0" borderId="0" xfId="0" applyNumberFormat="1" applyFont="1"/>
    <xf numFmtId="0" fontId="5" fillId="0" borderId="8" xfId="0" applyFont="1" applyBorder="1"/>
    <xf numFmtId="0" fontId="11" fillId="0" borderId="0" xfId="0" applyFont="1"/>
    <xf numFmtId="0" fontId="4" fillId="0" borderId="21" xfId="0" quotePrefix="1" applyFont="1" applyBorder="1"/>
    <xf numFmtId="166" fontId="4" fillId="0" borderId="0" xfId="1" applyNumberFormat="1" applyFont="1" applyBorder="1"/>
    <xf numFmtId="166" fontId="5" fillId="0" borderId="0" xfId="1" applyNumberFormat="1" applyFont="1"/>
    <xf numFmtId="166" fontId="1" fillId="0" borderId="4" xfId="0" applyNumberFormat="1" applyFont="1" applyBorder="1"/>
    <xf numFmtId="166" fontId="0" fillId="0" borderId="4" xfId="0" applyNumberFormat="1" applyBorder="1"/>
    <xf numFmtId="166" fontId="1" fillId="0" borderId="7" xfId="0" applyNumberFormat="1" applyFont="1" applyBorder="1"/>
    <xf numFmtId="0" fontId="8" fillId="0" borderId="23" xfId="0" applyFont="1" applyBorder="1"/>
    <xf numFmtId="17" fontId="5" fillId="0" borderId="0" xfId="0" applyNumberFormat="1" applyFont="1"/>
    <xf numFmtId="17" fontId="5" fillId="0" borderId="21" xfId="0" applyNumberFormat="1" applyFont="1" applyBorder="1"/>
    <xf numFmtId="17" fontId="5" fillId="0" borderId="22" xfId="0" applyNumberFormat="1" applyFont="1" applyBorder="1"/>
    <xf numFmtId="17" fontId="5" fillId="0" borderId="2" xfId="0" applyNumberFormat="1" applyFont="1" applyBorder="1"/>
    <xf numFmtId="0" fontId="0" fillId="0" borderId="4" xfId="0" applyBorder="1" applyAlignment="1">
      <alignment horizontal="left" indent="2"/>
    </xf>
    <xf numFmtId="9" fontId="0" fillId="0" borderId="4" xfId="0" applyNumberFormat="1" applyBorder="1"/>
    <xf numFmtId="166" fontId="1" fillId="0" borderId="4" xfId="1" applyNumberFormat="1" applyFont="1" applyBorder="1"/>
    <xf numFmtId="166" fontId="1" fillId="0" borderId="0" xfId="0" applyNumberFormat="1" applyFont="1"/>
    <xf numFmtId="166" fontId="4" fillId="0" borderId="0" xfId="1" applyNumberFormat="1" applyFont="1"/>
    <xf numFmtId="9" fontId="1" fillId="0" borderId="0" xfId="2" applyFont="1"/>
    <xf numFmtId="166" fontId="0" fillId="0" borderId="0" xfId="1" applyNumberFormat="1" applyFont="1" applyBorder="1"/>
    <xf numFmtId="166" fontId="1" fillId="0" borderId="0" xfId="1" applyNumberFormat="1" applyFont="1" applyBorder="1"/>
    <xf numFmtId="166" fontId="3" fillId="0" borderId="0" xfId="1" applyNumberFormat="1" applyFont="1" applyBorder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5" fillId="0" borderId="38" xfId="0" applyFont="1" applyBorder="1" applyAlignment="1">
      <alignment horizontal="center"/>
    </xf>
    <xf numFmtId="0" fontId="5" fillId="0" borderId="16" xfId="0" applyFont="1" applyBorder="1"/>
    <xf numFmtId="0" fontId="4" fillId="0" borderId="23" xfId="0" applyFont="1" applyBorder="1" applyAlignment="1">
      <alignment horizontal="center"/>
    </xf>
    <xf numFmtId="0" fontId="13" fillId="0" borderId="0" xfId="0" applyFont="1"/>
    <xf numFmtId="166" fontId="4" fillId="0" borderId="0" xfId="0" applyNumberFormat="1" applyFont="1" applyAlignment="1">
      <alignment horizontal="center"/>
    </xf>
    <xf numFmtId="166" fontId="4" fillId="0" borderId="4" xfId="0" applyNumberFormat="1" applyFont="1" applyBorder="1" applyAlignment="1">
      <alignment horizontal="center"/>
    </xf>
    <xf numFmtId="0" fontId="5" fillId="0" borderId="39" xfId="0" applyFont="1" applyBorder="1"/>
    <xf numFmtId="166" fontId="5" fillId="0" borderId="39" xfId="0" applyNumberFormat="1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4" fillId="0" borderId="40" xfId="0" applyFont="1" applyBorder="1"/>
    <xf numFmtId="166" fontId="4" fillId="0" borderId="39" xfId="0" applyNumberFormat="1" applyFont="1" applyBorder="1" applyAlignment="1">
      <alignment horizontal="center"/>
    </xf>
    <xf numFmtId="0" fontId="14" fillId="0" borderId="0" xfId="0" applyFont="1"/>
    <xf numFmtId="0" fontId="1" fillId="0" borderId="1" xfId="0" applyFont="1" applyBorder="1" applyAlignment="1">
      <alignment horizontal="right"/>
    </xf>
    <xf numFmtId="0" fontId="0" fillId="0" borderId="13" xfId="0" applyBorder="1"/>
    <xf numFmtId="0" fontId="5" fillId="0" borderId="1" xfId="0" applyFont="1" applyBorder="1"/>
    <xf numFmtId="166" fontId="5" fillId="0" borderId="1" xfId="1" applyNumberFormat="1" applyFont="1" applyBorder="1"/>
    <xf numFmtId="166" fontId="4" fillId="0" borderId="2" xfId="0" applyNumberFormat="1" applyFont="1" applyBorder="1"/>
    <xf numFmtId="3" fontId="0" fillId="0" borderId="0" xfId="0" applyNumberFormat="1"/>
    <xf numFmtId="4" fontId="0" fillId="0" borderId="0" xfId="0" applyNumberFormat="1"/>
    <xf numFmtId="166" fontId="4" fillId="0" borderId="0" xfId="1" applyNumberFormat="1" applyFont="1" applyFill="1" applyBorder="1"/>
    <xf numFmtId="0" fontId="0" fillId="0" borderId="10" xfId="0" applyBorder="1"/>
    <xf numFmtId="10" fontId="0" fillId="0" borderId="1" xfId="0" applyNumberFormat="1" applyBorder="1"/>
    <xf numFmtId="10" fontId="0" fillId="0" borderId="3" xfId="0" applyNumberFormat="1" applyBorder="1"/>
    <xf numFmtId="166" fontId="0" fillId="0" borderId="2" xfId="0" applyNumberFormat="1" applyBorder="1"/>
    <xf numFmtId="166" fontId="0" fillId="0" borderId="1" xfId="0" applyNumberFormat="1" applyBorder="1"/>
    <xf numFmtId="166" fontId="0" fillId="0" borderId="3" xfId="0" applyNumberFormat="1" applyBorder="1"/>
    <xf numFmtId="166" fontId="0" fillId="0" borderId="2" xfId="1" applyNumberFormat="1" applyFont="1" applyBorder="1"/>
    <xf numFmtId="166" fontId="0" fillId="0" borderId="4" xfId="1" applyNumberFormat="1" applyFont="1" applyBorder="1"/>
    <xf numFmtId="166" fontId="0" fillId="0" borderId="5" xfId="1" applyNumberFormat="1" applyFont="1" applyBorder="1"/>
    <xf numFmtId="0" fontId="7" fillId="0" borderId="2" xfId="0" applyFont="1" applyBorder="1"/>
    <xf numFmtId="10" fontId="0" fillId="0" borderId="0" xfId="0" applyNumberFormat="1"/>
    <xf numFmtId="10" fontId="0" fillId="0" borderId="2" xfId="0" applyNumberFormat="1" applyBorder="1"/>
    <xf numFmtId="0" fontId="0" fillId="0" borderId="6" xfId="0" applyBorder="1"/>
    <xf numFmtId="167" fontId="0" fillId="0" borderId="0" xfId="2" applyNumberFormat="1" applyFont="1"/>
    <xf numFmtId="9" fontId="0" fillId="0" borderId="2" xfId="2" applyFont="1" applyBorder="1" applyAlignment="1">
      <alignment horizontal="left" indent="2"/>
    </xf>
    <xf numFmtId="0" fontId="0" fillId="0" borderId="2" xfId="0" applyBorder="1" applyAlignment="1">
      <alignment horizontal="left"/>
    </xf>
    <xf numFmtId="0" fontId="1" fillId="0" borderId="9" xfId="0" applyFont="1" applyBorder="1"/>
    <xf numFmtId="164" fontId="0" fillId="0" borderId="0" xfId="0" applyNumberFormat="1"/>
    <xf numFmtId="168" fontId="0" fillId="0" borderId="0" xfId="0" applyNumberFormat="1"/>
    <xf numFmtId="0" fontId="11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41" xfId="0" applyFont="1" applyBorder="1"/>
    <xf numFmtId="0" fontId="1" fillId="0" borderId="41" xfId="0" applyFont="1" applyBorder="1" applyAlignment="1">
      <alignment horizontal="right"/>
    </xf>
    <xf numFmtId="0" fontId="0" fillId="0" borderId="41" xfId="0" applyBorder="1"/>
    <xf numFmtId="166" fontId="0" fillId="0" borderId="41" xfId="1" applyNumberFormat="1" applyFont="1" applyBorder="1"/>
    <xf numFmtId="166" fontId="0" fillId="0" borderId="41" xfId="0" applyNumberFormat="1" applyBorder="1"/>
    <xf numFmtId="0" fontId="0" fillId="0" borderId="11" xfId="0" applyBorder="1"/>
    <xf numFmtId="166" fontId="0" fillId="0" borderId="5" xfId="0" applyNumberFormat="1" applyBorder="1"/>
    <xf numFmtId="0" fontId="0" fillId="0" borderId="10" xfId="0" applyBorder="1" applyAlignment="1">
      <alignment horizontal="left"/>
    </xf>
    <xf numFmtId="9" fontId="0" fillId="0" borderId="0" xfId="2" applyFont="1" applyBorder="1"/>
    <xf numFmtId="167" fontId="0" fillId="0" borderId="0" xfId="2" applyNumberFormat="1" applyFont="1" applyBorder="1"/>
    <xf numFmtId="167" fontId="0" fillId="0" borderId="2" xfId="2" applyNumberFormat="1" applyFont="1" applyBorder="1"/>
    <xf numFmtId="9" fontId="0" fillId="0" borderId="10" xfId="2" applyFont="1" applyBorder="1" applyAlignment="1">
      <alignment horizontal="left" indent="2"/>
    </xf>
    <xf numFmtId="167" fontId="0" fillId="0" borderId="1" xfId="2" applyNumberFormat="1" applyFont="1" applyBorder="1"/>
    <xf numFmtId="0" fontId="3" fillId="0" borderId="12" xfId="0" applyFont="1" applyBorder="1"/>
    <xf numFmtId="0" fontId="3" fillId="0" borderId="13" xfId="0" applyFont="1" applyBorder="1"/>
    <xf numFmtId="166" fontId="0" fillId="0" borderId="1" xfId="1" applyNumberFormat="1" applyFont="1" applyBorder="1"/>
    <xf numFmtId="166" fontId="0" fillId="0" borderId="3" xfId="1" applyNumberFormat="1" applyFont="1" applyBorder="1"/>
    <xf numFmtId="0" fontId="3" fillId="0" borderId="9" xfId="0" applyFont="1" applyBorder="1"/>
    <xf numFmtId="0" fontId="3" fillId="0" borderId="10" xfId="0" applyFont="1" applyBorder="1"/>
    <xf numFmtId="9" fontId="0" fillId="0" borderId="2" xfId="2" applyFont="1" applyBorder="1"/>
    <xf numFmtId="0" fontId="5" fillId="0" borderId="12" xfId="0" applyFont="1" applyBorder="1"/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left" indent="3"/>
    </xf>
    <xf numFmtId="167" fontId="1" fillId="0" borderId="0" xfId="2" applyNumberFormat="1" applyFont="1" applyBorder="1"/>
    <xf numFmtId="167" fontId="1" fillId="0" borderId="2" xfId="2" applyNumberFormat="1" applyFont="1" applyBorder="1"/>
    <xf numFmtId="9" fontId="0" fillId="0" borderId="2" xfId="0" applyNumberFormat="1" applyBorder="1"/>
    <xf numFmtId="9" fontId="0" fillId="0" borderId="10" xfId="2" applyFont="1" applyBorder="1" applyAlignment="1">
      <alignment horizontal="left"/>
    </xf>
    <xf numFmtId="0" fontId="1" fillId="0" borderId="9" xfId="0" applyFont="1" applyBorder="1" applyAlignment="1">
      <alignment horizontal="left"/>
    </xf>
    <xf numFmtId="9" fontId="0" fillId="0" borderId="4" xfId="2" applyFont="1" applyBorder="1"/>
    <xf numFmtId="9" fontId="0" fillId="0" borderId="5" xfId="2" applyFont="1" applyBorder="1"/>
    <xf numFmtId="0" fontId="0" fillId="0" borderId="43" xfId="0" applyBorder="1"/>
    <xf numFmtId="0" fontId="1" fillId="0" borderId="12" xfId="0" applyFont="1" applyBorder="1"/>
    <xf numFmtId="0" fontId="1" fillId="0" borderId="13" xfId="0" applyFont="1" applyBorder="1"/>
    <xf numFmtId="9" fontId="0" fillId="0" borderId="13" xfId="2" applyFont="1" applyBorder="1" applyAlignment="1">
      <alignment horizontal="left" indent="2"/>
    </xf>
    <xf numFmtId="0" fontId="1" fillId="0" borderId="6" xfId="0" applyFont="1" applyBorder="1"/>
    <xf numFmtId="9" fontId="3" fillId="0" borderId="13" xfId="2" applyFont="1" applyBorder="1"/>
    <xf numFmtId="9" fontId="3" fillId="0" borderId="0" xfId="2" applyFont="1" applyBorder="1"/>
    <xf numFmtId="9" fontId="3" fillId="0" borderId="2" xfId="2" applyFont="1" applyBorder="1"/>
    <xf numFmtId="166" fontId="3" fillId="0" borderId="0" xfId="1" applyNumberFormat="1" applyFont="1" applyFill="1" applyBorder="1"/>
    <xf numFmtId="165" fontId="3" fillId="0" borderId="0" xfId="1" applyNumberFormat="1" applyFont="1" applyFill="1" applyBorder="1"/>
    <xf numFmtId="166" fontId="3" fillId="0" borderId="2" xfId="1" applyNumberFormat="1" applyFont="1" applyBorder="1"/>
    <xf numFmtId="166" fontId="3" fillId="0" borderId="13" xfId="1" applyNumberFormat="1" applyFont="1" applyFill="1" applyBorder="1"/>
    <xf numFmtId="166" fontId="3" fillId="0" borderId="2" xfId="1" applyNumberFormat="1" applyFont="1" applyFill="1" applyBorder="1"/>
    <xf numFmtId="166" fontId="3" fillId="0" borderId="13" xfId="1" applyNumberFormat="1" applyFont="1" applyBorder="1"/>
    <xf numFmtId="165" fontId="3" fillId="0" borderId="13" xfId="1" applyNumberFormat="1" applyFont="1" applyFill="1" applyBorder="1"/>
    <xf numFmtId="165" fontId="3" fillId="0" borderId="2" xfId="1" applyNumberFormat="1" applyFont="1" applyFill="1" applyBorder="1"/>
    <xf numFmtId="166" fontId="0" fillId="0" borderId="13" xfId="1" applyNumberFormat="1" applyFont="1" applyBorder="1"/>
    <xf numFmtId="9" fontId="0" fillId="0" borderId="1" xfId="2" applyFont="1" applyBorder="1"/>
    <xf numFmtId="9" fontId="0" fillId="0" borderId="3" xfId="2" applyFont="1" applyBorder="1"/>
    <xf numFmtId="0" fontId="4" fillId="0" borderId="0" xfId="0" applyFont="1" applyAlignment="1">
      <alignment horizontal="left" indent="2"/>
    </xf>
    <xf numFmtId="0" fontId="5" fillId="0" borderId="1" xfId="0" quotePrefix="1" applyFont="1" applyBorder="1"/>
    <xf numFmtId="0" fontId="7" fillId="0" borderId="13" xfId="0" applyFont="1" applyBorder="1" applyAlignment="1">
      <alignment horizontal="left"/>
    </xf>
    <xf numFmtId="0" fontId="5" fillId="0" borderId="44" xfId="0" quotePrefix="1" applyFont="1" applyBorder="1"/>
    <xf numFmtId="0" fontId="0" fillId="0" borderId="13" xfId="0" applyBorder="1" applyAlignment="1">
      <alignment horizontal="left" indent="1"/>
    </xf>
    <xf numFmtId="0" fontId="0" fillId="0" borderId="36" xfId="0" applyBorder="1" applyAlignment="1">
      <alignment horizontal="left" indent="1"/>
    </xf>
    <xf numFmtId="0" fontId="9" fillId="0" borderId="45" xfId="0" applyFont="1" applyBorder="1"/>
    <xf numFmtId="0" fontId="9" fillId="0" borderId="0" xfId="0" applyFont="1"/>
    <xf numFmtId="166" fontId="5" fillId="0" borderId="28" xfId="1" applyNumberFormat="1" applyFont="1" applyBorder="1"/>
    <xf numFmtId="166" fontId="5" fillId="0" borderId="29" xfId="1" applyNumberFormat="1" applyFont="1" applyBorder="1"/>
    <xf numFmtId="166" fontId="5" fillId="0" borderId="27" xfId="1" applyNumberFormat="1" applyFont="1" applyBorder="1"/>
    <xf numFmtId="166" fontId="5" fillId="0" borderId="49" xfId="1" applyNumberFormat="1" applyFont="1" applyBorder="1"/>
    <xf numFmtId="166" fontId="5" fillId="0" borderId="43" xfId="1" applyNumberFormat="1" applyFont="1" applyBorder="1"/>
    <xf numFmtId="166" fontId="5" fillId="0" borderId="50" xfId="1" applyNumberFormat="1" applyFont="1" applyBorder="1"/>
    <xf numFmtId="166" fontId="5" fillId="0" borderId="30" xfId="1" applyNumberFormat="1" applyFont="1" applyBorder="1"/>
    <xf numFmtId="166" fontId="5" fillId="0" borderId="13" xfId="1" applyNumberFormat="1" applyFont="1" applyBorder="1"/>
    <xf numFmtId="166" fontId="5" fillId="0" borderId="2" xfId="1" applyNumberFormat="1" applyFont="1" applyBorder="1"/>
    <xf numFmtId="166" fontId="4" fillId="0" borderId="13" xfId="1" applyNumberFormat="1" applyFont="1" applyBorder="1"/>
    <xf numFmtId="166" fontId="4" fillId="0" borderId="2" xfId="1" applyNumberFormat="1" applyFont="1" applyBorder="1"/>
    <xf numFmtId="166" fontId="5" fillId="0" borderId="6" xfId="1" applyNumberFormat="1" applyFont="1" applyBorder="1"/>
    <xf numFmtId="166" fontId="5" fillId="0" borderId="3" xfId="1" applyNumberFormat="1" applyFont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66" fontId="1" fillId="0" borderId="2" xfId="1" applyNumberFormat="1" applyFont="1" applyBorder="1"/>
    <xf numFmtId="0" fontId="4" fillId="0" borderId="12" xfId="0" applyFont="1" applyBorder="1"/>
    <xf numFmtId="0" fontId="4" fillId="0" borderId="51" xfId="0" applyFont="1" applyBorder="1"/>
    <xf numFmtId="0" fontId="0" fillId="0" borderId="0" xfId="0" applyAlignment="1">
      <alignment horizontal="left"/>
    </xf>
    <xf numFmtId="166" fontId="0" fillId="0" borderId="0" xfId="1" applyNumberFormat="1" applyFont="1" applyAlignment="1">
      <alignment horizontal="left"/>
    </xf>
    <xf numFmtId="9" fontId="0" fillId="0" borderId="11" xfId="2" applyFont="1" applyBorder="1" applyAlignment="1">
      <alignment horizontal="left"/>
    </xf>
    <xf numFmtId="166" fontId="4" fillId="0" borderId="1" xfId="0" applyNumberFormat="1" applyFont="1" applyBorder="1"/>
    <xf numFmtId="166" fontId="4" fillId="0" borderId="3" xfId="0" applyNumberFormat="1" applyFont="1" applyBorder="1"/>
    <xf numFmtId="0" fontId="13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21" xfId="0" applyFont="1" applyBorder="1" applyAlignment="1">
      <alignment horizontal="center"/>
    </xf>
    <xf numFmtId="166" fontId="1" fillId="0" borderId="1" xfId="1" applyNumberFormat="1" applyFont="1" applyBorder="1"/>
    <xf numFmtId="9" fontId="3" fillId="0" borderId="6" xfId="2" applyFont="1" applyBorder="1"/>
    <xf numFmtId="9" fontId="3" fillId="0" borderId="1" xfId="2" applyFont="1" applyBorder="1"/>
    <xf numFmtId="9" fontId="3" fillId="0" borderId="3" xfId="2" applyFont="1" applyBorder="1"/>
    <xf numFmtId="166" fontId="3" fillId="0" borderId="0" xfId="1" applyNumberFormat="1" applyFont="1"/>
    <xf numFmtId="164" fontId="0" fillId="0" borderId="0" xfId="1" applyFont="1" applyBorder="1"/>
    <xf numFmtId="0" fontId="0" fillId="0" borderId="49" xfId="0" applyBorder="1"/>
    <xf numFmtId="9" fontId="0" fillId="0" borderId="43" xfId="2" applyFont="1" applyBorder="1"/>
    <xf numFmtId="167" fontId="0" fillId="0" borderId="43" xfId="2" applyNumberFormat="1" applyFont="1" applyBorder="1"/>
    <xf numFmtId="9" fontId="0" fillId="0" borderId="42" xfId="2" applyFont="1" applyBorder="1"/>
    <xf numFmtId="166" fontId="0" fillId="0" borderId="0" xfId="1" applyNumberFormat="1" applyFont="1" applyFill="1"/>
    <xf numFmtId="164" fontId="0" fillId="0" borderId="2" xfId="1" applyFont="1" applyBorder="1"/>
    <xf numFmtId="0" fontId="0" fillId="0" borderId="11" xfId="0" applyBorder="1" applyAlignment="1">
      <alignment horizontal="left"/>
    </xf>
    <xf numFmtId="0" fontId="0" fillId="0" borderId="12" xfId="0" applyBorder="1"/>
    <xf numFmtId="0" fontId="1" fillId="0" borderId="10" xfId="0" applyFont="1" applyBorder="1" applyAlignment="1">
      <alignment horizontal="left"/>
    </xf>
    <xf numFmtId="166" fontId="0" fillId="0" borderId="0" xfId="1" applyNumberFormat="1" applyFont="1" applyFill="1" applyAlignment="1">
      <alignment horizontal="right"/>
    </xf>
    <xf numFmtId="166" fontId="0" fillId="0" borderId="4" xfId="1" applyNumberFormat="1" applyFont="1" applyFill="1" applyBorder="1" applyAlignment="1">
      <alignment horizontal="right"/>
    </xf>
    <xf numFmtId="9" fontId="0" fillId="0" borderId="2" xfId="2" applyFont="1" applyFill="1" applyBorder="1" applyAlignment="1">
      <alignment horizontal="left" indent="2"/>
    </xf>
    <xf numFmtId="164" fontId="0" fillId="0" borderId="0" xfId="1" applyFont="1" applyFill="1"/>
    <xf numFmtId="165" fontId="0" fillId="0" borderId="4" xfId="1" applyNumberFormat="1" applyFont="1" applyFill="1" applyBorder="1"/>
    <xf numFmtId="166" fontId="1" fillId="0" borderId="4" xfId="1" applyNumberFormat="1" applyFont="1" applyFill="1" applyBorder="1"/>
    <xf numFmtId="166" fontId="1" fillId="0" borderId="7" xfId="1" applyNumberFormat="1" applyFont="1" applyFill="1" applyBorder="1"/>
    <xf numFmtId="0" fontId="4" fillId="0" borderId="5" xfId="0" applyFont="1" applyBorder="1" applyAlignment="1">
      <alignment horizontal="left" indent="2"/>
    </xf>
    <xf numFmtId="166" fontId="0" fillId="0" borderId="41" xfId="1" applyNumberFormat="1" applyFont="1" applyBorder="1" applyAlignment="1">
      <alignment horizontal="right"/>
    </xf>
    <xf numFmtId="166" fontId="0" fillId="0" borderId="41" xfId="1" applyNumberFormat="1" applyFont="1" applyFill="1" applyBorder="1"/>
    <xf numFmtId="166" fontId="0" fillId="0" borderId="0" xfId="1" applyNumberFormat="1" applyFont="1" applyFill="1" applyBorder="1"/>
    <xf numFmtId="166" fontId="3" fillId="0" borderId="4" xfId="1" applyNumberFormat="1" applyFont="1" applyFill="1" applyBorder="1"/>
    <xf numFmtId="164" fontId="0" fillId="0" borderId="41" xfId="1" applyFont="1" applyBorder="1"/>
    <xf numFmtId="164" fontId="4" fillId="0" borderId="39" xfId="1" applyFont="1" applyBorder="1" applyAlignment="1">
      <alignment horizontal="center"/>
    </xf>
    <xf numFmtId="164" fontId="4" fillId="0" borderId="39" xfId="1" applyFont="1" applyFill="1" applyBorder="1" applyAlignment="1">
      <alignment horizontal="center"/>
    </xf>
    <xf numFmtId="166" fontId="0" fillId="0" borderId="43" xfId="1" applyNumberFormat="1" applyFont="1" applyBorder="1"/>
    <xf numFmtId="9" fontId="0" fillId="0" borderId="43" xfId="1" applyNumberFormat="1" applyFont="1" applyBorder="1"/>
    <xf numFmtId="9" fontId="0" fillId="0" borderId="42" xfId="1" applyNumberFormat="1" applyFont="1" applyBorder="1"/>
    <xf numFmtId="166" fontId="3" fillId="0" borderId="12" xfId="1" applyNumberFormat="1" applyFont="1" applyBorder="1"/>
    <xf numFmtId="0" fontId="11" fillId="0" borderId="2" xfId="0" applyFont="1" applyBorder="1"/>
    <xf numFmtId="166" fontId="4" fillId="0" borderId="0" xfId="1" applyNumberFormat="1" applyFont="1" applyFill="1"/>
    <xf numFmtId="166" fontId="5" fillId="0" borderId="28" xfId="1" applyNumberFormat="1" applyFont="1" applyFill="1" applyBorder="1"/>
    <xf numFmtId="166" fontId="5" fillId="0" borderId="0" xfId="1" applyNumberFormat="1" applyFont="1" applyFill="1"/>
    <xf numFmtId="166" fontId="5" fillId="0" borderId="1" xfId="1" applyNumberFormat="1" applyFont="1" applyFill="1" applyBorder="1"/>
    <xf numFmtId="166" fontId="0" fillId="0" borderId="4" xfId="1" applyNumberFormat="1" applyFont="1" applyFill="1" applyBorder="1"/>
    <xf numFmtId="166" fontId="0" fillId="0" borderId="1" xfId="1" applyNumberFormat="1" applyFont="1" applyFill="1" applyBorder="1"/>
    <xf numFmtId="166" fontId="5" fillId="0" borderId="43" xfId="1" applyNumberFormat="1" applyFont="1" applyFill="1" applyBorder="1"/>
    <xf numFmtId="9" fontId="0" fillId="0" borderId="1" xfId="0" applyNumberFormat="1" applyBorder="1"/>
    <xf numFmtId="9" fontId="0" fillId="0" borderId="3" xfId="0" applyNumberFormat="1" applyBorder="1"/>
    <xf numFmtId="166" fontId="0" fillId="0" borderId="2" xfId="1" applyNumberFormat="1" applyFont="1" applyFill="1" applyBorder="1"/>
    <xf numFmtId="0" fontId="4" fillId="0" borderId="2" xfId="0" applyFont="1" applyBorder="1" applyAlignment="1">
      <alignment horizontal="left" wrapText="1" indent="2"/>
    </xf>
    <xf numFmtId="0" fontId="4" fillId="0" borderId="2" xfId="0" applyFont="1" applyBorder="1" applyAlignment="1">
      <alignment horizontal="left" indent="4"/>
    </xf>
    <xf numFmtId="169" fontId="0" fillId="0" borderId="0" xfId="0" applyNumberFormat="1"/>
    <xf numFmtId="1" fontId="3" fillId="0" borderId="0" xfId="2" applyNumberFormat="1" applyFont="1" applyFill="1" applyBorder="1"/>
    <xf numFmtId="1" fontId="3" fillId="0" borderId="13" xfId="2" applyNumberFormat="1" applyFont="1" applyFill="1" applyBorder="1"/>
    <xf numFmtId="1" fontId="3" fillId="0" borderId="2" xfId="2" applyNumberFormat="1" applyFont="1" applyFill="1" applyBorder="1"/>
    <xf numFmtId="164" fontId="0" fillId="0" borderId="13" xfId="0" applyNumberFormat="1" applyBorder="1"/>
    <xf numFmtId="164" fontId="0" fillId="0" borderId="2" xfId="0" applyNumberFormat="1" applyBorder="1"/>
    <xf numFmtId="166" fontId="3" fillId="0" borderId="13" xfId="2" applyNumberFormat="1" applyFont="1" applyBorder="1"/>
    <xf numFmtId="9" fontId="0" fillId="0" borderId="13" xfId="2" applyFont="1" applyFill="1" applyBorder="1"/>
    <xf numFmtId="9" fontId="0" fillId="0" borderId="0" xfId="2" applyFont="1" applyFill="1" applyBorder="1"/>
    <xf numFmtId="9" fontId="0" fillId="0" borderId="2" xfId="2" applyFont="1" applyFill="1" applyBorder="1"/>
    <xf numFmtId="166" fontId="3" fillId="0" borderId="0" xfId="2" applyNumberFormat="1" applyFont="1" applyBorder="1"/>
    <xf numFmtId="1" fontId="0" fillId="0" borderId="13" xfId="0" applyNumberFormat="1" applyBorder="1"/>
    <xf numFmtId="1" fontId="0" fillId="0" borderId="6" xfId="0" applyNumberFormat="1" applyBorder="1"/>
    <xf numFmtId="1" fontId="0" fillId="0" borderId="0" xfId="0" applyNumberFormat="1"/>
    <xf numFmtId="1" fontId="0" fillId="0" borderId="2" xfId="0" applyNumberFormat="1" applyBorder="1"/>
    <xf numFmtId="1" fontId="0" fillId="0" borderId="1" xfId="0" applyNumberFormat="1" applyBorder="1"/>
    <xf numFmtId="1" fontId="0" fillId="0" borderId="3" xfId="0" applyNumberFormat="1" applyBorder="1"/>
    <xf numFmtId="170" fontId="0" fillId="0" borderId="0" xfId="0" applyNumberFormat="1"/>
    <xf numFmtId="171" fontId="0" fillId="0" borderId="0" xfId="0" applyNumberFormat="1"/>
    <xf numFmtId="0" fontId="0" fillId="0" borderId="0" xfId="0" quotePrefix="1"/>
    <xf numFmtId="9" fontId="0" fillId="0" borderId="0" xfId="0" applyNumberFormat="1" applyAlignment="1">
      <alignment horizontal="center"/>
    </xf>
    <xf numFmtId="170" fontId="0" fillId="0" borderId="0" xfId="1" applyNumberFormat="1" applyFont="1"/>
    <xf numFmtId="10" fontId="0" fillId="0" borderId="2" xfId="2" applyNumberFormat="1" applyFont="1" applyBorder="1"/>
    <xf numFmtId="172" fontId="0" fillId="0" borderId="0" xfId="0" applyNumberFormat="1"/>
    <xf numFmtId="172" fontId="0" fillId="0" borderId="0" xfId="0" applyNumberFormat="1" applyAlignment="1">
      <alignment horizontal="center"/>
    </xf>
    <xf numFmtId="172" fontId="0" fillId="2" borderId="0" xfId="0" applyNumberFormat="1" applyFill="1" applyAlignment="1">
      <alignment horizontal="center"/>
    </xf>
    <xf numFmtId="9" fontId="4" fillId="0" borderId="0" xfId="2" applyFont="1" applyBorder="1"/>
    <xf numFmtId="9" fontId="4" fillId="0" borderId="0" xfId="2" applyFont="1" applyFill="1" applyBorder="1"/>
    <xf numFmtId="9" fontId="4" fillId="0" borderId="2" xfId="2" applyFont="1" applyBorder="1"/>
    <xf numFmtId="9" fontId="4" fillId="0" borderId="1" xfId="2" applyFont="1" applyBorder="1"/>
    <xf numFmtId="9" fontId="4" fillId="0" borderId="1" xfId="2" applyFont="1" applyFill="1" applyBorder="1"/>
    <xf numFmtId="9" fontId="4" fillId="0" borderId="3" xfId="2" applyFont="1" applyBorder="1"/>
    <xf numFmtId="0" fontId="1" fillId="0" borderId="0" xfId="0" applyFont="1" applyAlignment="1">
      <alignment horizontal="left"/>
    </xf>
    <xf numFmtId="166" fontId="1" fillId="0" borderId="0" xfId="1" applyNumberFormat="1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6" fontId="5" fillId="0" borderId="46" xfId="1" applyNumberFormat="1" applyFont="1" applyBorder="1" applyAlignment="1">
      <alignment horizontal="center"/>
    </xf>
    <xf numFmtId="166" fontId="9" fillId="0" borderId="47" xfId="1" applyNumberFormat="1" applyFont="1" applyBorder="1"/>
    <xf numFmtId="166" fontId="9" fillId="0" borderId="48" xfId="1" applyNumberFormat="1" applyFont="1" applyBorder="1"/>
    <xf numFmtId="0" fontId="5" fillId="0" borderId="14" xfId="0" applyFont="1" applyBorder="1" applyAlignment="1">
      <alignment horizontal="left" vertical="center"/>
    </xf>
    <xf numFmtId="0" fontId="9" fillId="0" borderId="18" xfId="0" applyFont="1" applyBorder="1"/>
    <xf numFmtId="17" fontId="5" fillId="0" borderId="15" xfId="0" applyNumberFormat="1" applyFont="1" applyBorder="1" applyAlignment="1">
      <alignment horizontal="center"/>
    </xf>
    <xf numFmtId="0" fontId="9" fillId="0" borderId="16" xfId="0" applyFont="1" applyBorder="1"/>
    <xf numFmtId="0" fontId="9" fillId="0" borderId="17" xfId="0" applyFont="1" applyBorder="1"/>
    <xf numFmtId="166" fontId="5" fillId="0" borderId="15" xfId="1" applyNumberFormat="1" applyFont="1" applyBorder="1" applyAlignment="1">
      <alignment horizontal="center"/>
    </xf>
    <xf numFmtId="166" fontId="9" fillId="0" borderId="16" xfId="1" applyNumberFormat="1" applyFont="1" applyBorder="1"/>
    <xf numFmtId="166" fontId="9" fillId="0" borderId="17" xfId="1" applyNumberFormat="1" applyFont="1" applyBorder="1"/>
    <xf numFmtId="166" fontId="5" fillId="0" borderId="19" xfId="1" applyNumberFormat="1" applyFont="1" applyBorder="1" applyAlignment="1">
      <alignment horizontal="center"/>
    </xf>
    <xf numFmtId="166" fontId="9" fillId="0" borderId="20" xfId="1" applyNumberFormat="1" applyFont="1" applyBorder="1"/>
    <xf numFmtId="0" fontId="1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26" xfId="0" applyFont="1" applyBorder="1"/>
    <xf numFmtId="0" fontId="4" fillId="0" borderId="14" xfId="0" applyFont="1" applyBorder="1" applyAlignment="1">
      <alignment horizontal="left" vertical="center"/>
    </xf>
    <xf numFmtId="0" fontId="8" fillId="0" borderId="18" xfId="0" applyFont="1" applyBorder="1"/>
  </cellXfs>
  <cellStyles count="6">
    <cellStyle name="Comma" xfId="1" builtinId="3"/>
    <cellStyle name="Comma 2" xfId="4" xr:uid="{00000000-0005-0000-0000-000001000000}"/>
    <cellStyle name="Normal" xfId="0" builtinId="0"/>
    <cellStyle name="Normal 2" xfId="3" xr:uid="{00000000-0005-0000-0000-000003000000}"/>
    <cellStyle name="Percent" xfId="2" builtinId="5"/>
    <cellStyle name="Percent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upta\Downloads\Annual%20Cash%20Flow%20Statement%20Excel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Canberg_Dubai%20Business%20Plan_V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eetings"/>
      <sheetName val="Advertising"/>
      <sheetName val="Cover"/>
      <sheetName val="TimeSeries"/>
      <sheetName val="Summary"/>
      <sheetName val="TS_LU"/>
      <sheetName val="OO_LU"/>
    </sheetNames>
    <sheetDataSet>
      <sheetData sheetId="0"/>
      <sheetData sheetId="1"/>
      <sheetData sheetId="2">
        <row r="10">
          <cell r="C10" t="str">
            <v>Annual Cash Flow</v>
          </cell>
        </row>
      </sheetData>
      <sheetData sheetId="3">
        <row r="7">
          <cell r="H7">
            <v>2020</v>
          </cell>
        </row>
        <row r="8">
          <cell r="H8">
            <v>43831</v>
          </cell>
        </row>
        <row r="10">
          <cell r="H10">
            <v>1000</v>
          </cell>
        </row>
        <row r="11">
          <cell r="H11" t="str">
            <v>$</v>
          </cell>
        </row>
        <row r="12">
          <cell r="H12" t="str">
            <v>$</v>
          </cell>
        </row>
        <row r="13">
          <cell r="H13" t="str">
            <v>$'000</v>
          </cell>
        </row>
        <row r="15">
          <cell r="H15">
            <v>12</v>
          </cell>
        </row>
      </sheetData>
      <sheetData sheetId="4"/>
      <sheetData sheetId="5">
        <row r="46">
          <cell r="D46" t="str">
            <v>January</v>
          </cell>
        </row>
        <row r="47">
          <cell r="D47" t="str">
            <v>February</v>
          </cell>
        </row>
        <row r="48">
          <cell r="D48" t="str">
            <v>March</v>
          </cell>
        </row>
        <row r="49">
          <cell r="D49" t="str">
            <v>April</v>
          </cell>
        </row>
        <row r="50">
          <cell r="D50" t="str">
            <v>May</v>
          </cell>
        </row>
        <row r="51">
          <cell r="D51" t="str">
            <v>June</v>
          </cell>
        </row>
        <row r="52">
          <cell r="D52" t="str">
            <v>July</v>
          </cell>
        </row>
        <row r="53">
          <cell r="D53" t="str">
            <v>August</v>
          </cell>
        </row>
        <row r="54">
          <cell r="D54" t="str">
            <v>September</v>
          </cell>
        </row>
        <row r="55">
          <cell r="D55" t="str">
            <v>October</v>
          </cell>
        </row>
        <row r="56">
          <cell r="D56" t="str">
            <v>November</v>
          </cell>
        </row>
        <row r="57">
          <cell r="D57" t="str">
            <v>December</v>
          </cell>
        </row>
        <row r="68">
          <cell r="D68">
            <v>12</v>
          </cell>
        </row>
        <row r="76">
          <cell r="D76" t="str">
            <v>$</v>
          </cell>
        </row>
        <row r="77">
          <cell r="D77" t="str">
            <v>$'000</v>
          </cell>
        </row>
        <row r="78">
          <cell r="D78" t="str">
            <v>$Millions</v>
          </cell>
        </row>
        <row r="79">
          <cell r="D79" t="str">
            <v>$Billions</v>
          </cell>
        </row>
        <row r="84">
          <cell r="D84">
            <v>1</v>
          </cell>
        </row>
        <row r="85">
          <cell r="D85">
            <v>1000</v>
          </cell>
        </row>
        <row r="86">
          <cell r="D86">
            <v>1000000</v>
          </cell>
        </row>
        <row r="87">
          <cell r="D87">
            <v>1000000000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-CONS"/>
      <sheetName val="PL-Corp"/>
      <sheetName val="PL-B2B"/>
      <sheetName val="PL-D2C"/>
      <sheetName val="Corporate PL Assumption"/>
      <sheetName val="Ppl Cost"/>
      <sheetName val="COGS"/>
      <sheetName val="Revenue Summary"/>
      <sheetName val="Revenue-B2B"/>
      <sheetName val="Revenue-D2C"/>
      <sheetName val="FA"/>
      <sheetName val="BS Assumption"/>
      <sheetName val="BS"/>
      <sheetName val="CFS"/>
      <sheetName val="People Cost"/>
    </sheetNames>
    <sheetDataSet>
      <sheetData sheetId="0"/>
      <sheetData sheetId="1"/>
      <sheetData sheetId="2">
        <row r="8">
          <cell r="D8">
            <v>144000</v>
          </cell>
          <cell r="E8">
            <v>560000</v>
          </cell>
          <cell r="F8">
            <v>840000</v>
          </cell>
          <cell r="G8">
            <v>1000000</v>
          </cell>
          <cell r="H8">
            <v>1400000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35"/>
  <sheetViews>
    <sheetView showGridLines="0" topLeftCell="A8" workbookViewId="0">
      <selection activeCell="B7" sqref="B7"/>
    </sheetView>
  </sheetViews>
  <sheetFormatPr defaultRowHeight="14.4" x14ac:dyDescent="0.3"/>
  <cols>
    <col min="1" max="1" width="21.6640625" bestFit="1" customWidth="1"/>
    <col min="3" max="10" width="14.88671875" bestFit="1" customWidth="1"/>
  </cols>
  <sheetData>
    <row r="3" spans="1:10" x14ac:dyDescent="0.3">
      <c r="A3" t="s">
        <v>423</v>
      </c>
      <c r="B3" s="67">
        <v>0</v>
      </c>
      <c r="E3" s="295"/>
    </row>
    <row r="4" spans="1:10" x14ac:dyDescent="0.3">
      <c r="A4" t="s">
        <v>36</v>
      </c>
      <c r="B4" s="67">
        <v>0</v>
      </c>
      <c r="E4" s="295"/>
    </row>
    <row r="5" spans="1:10" x14ac:dyDescent="0.3">
      <c r="A5" t="s">
        <v>424</v>
      </c>
      <c r="B5" s="67">
        <v>0</v>
      </c>
      <c r="E5" s="295"/>
    </row>
    <row r="6" spans="1:10" hidden="1" x14ac:dyDescent="0.3">
      <c r="A6" t="s">
        <v>228</v>
      </c>
      <c r="B6" s="67">
        <v>0</v>
      </c>
      <c r="E6" s="295"/>
    </row>
    <row r="7" spans="1:10" x14ac:dyDescent="0.3">
      <c r="A7" t="s">
        <v>240</v>
      </c>
      <c r="B7" s="67">
        <v>0</v>
      </c>
      <c r="E7" s="295"/>
    </row>
    <row r="10" spans="1:10" x14ac:dyDescent="0.3">
      <c r="C10" s="81" t="s">
        <v>427</v>
      </c>
    </row>
    <row r="11" spans="1:10" x14ac:dyDescent="0.3">
      <c r="C11" s="81"/>
    </row>
    <row r="12" spans="1:10" x14ac:dyDescent="0.3">
      <c r="D12" s="310" t="s">
        <v>425</v>
      </c>
      <c r="E12" s="310"/>
      <c r="F12" s="310"/>
      <c r="G12" s="310"/>
      <c r="H12" s="310"/>
      <c r="I12" s="310"/>
      <c r="J12" s="310"/>
    </row>
    <row r="13" spans="1:10" x14ac:dyDescent="0.3">
      <c r="C13" s="299">
        <f>SUM('PL-CONS'!D22:E22)/10^7</f>
        <v>0.78111666666666646</v>
      </c>
      <c r="D13" s="296">
        <v>-0.3</v>
      </c>
      <c r="E13" s="296">
        <v>-0.2</v>
      </c>
      <c r="F13" s="296">
        <v>-0.1</v>
      </c>
      <c r="G13" s="296">
        <v>0</v>
      </c>
      <c r="H13" s="296">
        <v>0.1</v>
      </c>
      <c r="I13" s="296">
        <v>0.2</v>
      </c>
      <c r="J13" s="296">
        <v>0.3</v>
      </c>
    </row>
    <row r="14" spans="1:10" x14ac:dyDescent="0.3">
      <c r="B14" s="311" t="s">
        <v>426</v>
      </c>
      <c r="C14" s="67">
        <v>-0.03</v>
      </c>
      <c r="D14" s="300">
        <f t="dataTable" ref="D14:J20" dt2D="1" dtr="1" r1="B3" r2="B4"/>
        <v>0.70191666666666674</v>
      </c>
      <c r="E14" s="300">
        <v>0.86431666666666684</v>
      </c>
      <c r="F14" s="300">
        <v>1.0267166666666667</v>
      </c>
      <c r="G14" s="300">
        <v>1.1891166666666668</v>
      </c>
      <c r="H14" s="300">
        <v>1.3515166666666654</v>
      </c>
      <c r="I14" s="300">
        <v>1.5139166666666668</v>
      </c>
      <c r="J14" s="300">
        <v>1.6763166666666669</v>
      </c>
    </row>
    <row r="15" spans="1:10" x14ac:dyDescent="0.3">
      <c r="B15" s="311"/>
      <c r="C15" s="67">
        <f>C14+1%</f>
        <v>-1.9999999999999997E-2</v>
      </c>
      <c r="D15" s="300">
        <v>0.60671666666666679</v>
      </c>
      <c r="E15" s="300">
        <v>0.75551666666666684</v>
      </c>
      <c r="F15" s="300">
        <v>0.90431666666666677</v>
      </c>
      <c r="G15" s="300">
        <v>1.0531166666666667</v>
      </c>
      <c r="H15" s="300">
        <v>1.2019166666666652</v>
      </c>
      <c r="I15" s="300">
        <v>1.3507166666666668</v>
      </c>
      <c r="J15" s="300">
        <v>1.4995166666666668</v>
      </c>
    </row>
    <row r="16" spans="1:10" x14ac:dyDescent="0.3">
      <c r="B16" s="311"/>
      <c r="C16" s="67">
        <f t="shared" ref="C16:C20" si="0">C15+1%</f>
        <v>-9.9999999999999967E-3</v>
      </c>
      <c r="D16" s="300">
        <v>0.51151666666666684</v>
      </c>
      <c r="E16" s="300">
        <v>0.64671666666666683</v>
      </c>
      <c r="F16" s="300">
        <v>0.78191666666666682</v>
      </c>
      <c r="G16" s="300">
        <v>0.9171166666666668</v>
      </c>
      <c r="H16" s="300">
        <v>1.0523166666666652</v>
      </c>
      <c r="I16" s="300">
        <v>1.1875166666666663</v>
      </c>
      <c r="J16" s="300">
        <v>1.3227166666666668</v>
      </c>
    </row>
    <row r="17" spans="2:12" x14ac:dyDescent="0.3">
      <c r="B17" s="311"/>
      <c r="C17" s="67">
        <f t="shared" si="0"/>
        <v>0</v>
      </c>
      <c r="D17" s="300">
        <v>0.41631666666666678</v>
      </c>
      <c r="E17" s="300">
        <v>0.53791666666666682</v>
      </c>
      <c r="F17" s="300">
        <v>0.65951666666666675</v>
      </c>
      <c r="G17" s="301">
        <v>0.78111666666666646</v>
      </c>
      <c r="H17" s="300">
        <v>0.90271666666666495</v>
      </c>
      <c r="I17" s="300">
        <v>1.0243166666666663</v>
      </c>
      <c r="J17" s="300">
        <v>1.1459166666666667</v>
      </c>
      <c r="L17" s="297"/>
    </row>
    <row r="18" spans="2:12" x14ac:dyDescent="0.3">
      <c r="B18" s="311"/>
      <c r="C18" s="67">
        <f t="shared" si="0"/>
        <v>0.01</v>
      </c>
      <c r="D18" s="300">
        <v>0.32111666666666677</v>
      </c>
      <c r="E18" s="300">
        <v>0.42911666666666681</v>
      </c>
      <c r="F18" s="300">
        <v>0.53711666666666646</v>
      </c>
      <c r="G18" s="300">
        <v>0.64511666666666645</v>
      </c>
      <c r="H18" s="300">
        <v>0.75311666666666488</v>
      </c>
      <c r="I18" s="300">
        <v>0.86111666666666642</v>
      </c>
      <c r="J18" s="300">
        <v>0.96911666666666674</v>
      </c>
    </row>
    <row r="19" spans="2:12" x14ac:dyDescent="0.3">
      <c r="B19" s="311"/>
      <c r="C19" s="67">
        <f t="shared" si="0"/>
        <v>0.02</v>
      </c>
      <c r="D19" s="300">
        <v>0.22591666666666568</v>
      </c>
      <c r="E19" s="300">
        <v>0.32031666666666642</v>
      </c>
      <c r="F19" s="300">
        <v>0.4147166666666664</v>
      </c>
      <c r="G19" s="300">
        <v>0.50911666666666644</v>
      </c>
      <c r="H19" s="300">
        <v>0.60351666666666492</v>
      </c>
      <c r="I19" s="300">
        <v>0.69791666666666674</v>
      </c>
      <c r="J19" s="300">
        <v>0.79231666666666678</v>
      </c>
    </row>
    <row r="20" spans="2:12" x14ac:dyDescent="0.3">
      <c r="B20" s="311"/>
      <c r="C20" s="67">
        <f t="shared" si="0"/>
        <v>0.03</v>
      </c>
      <c r="D20" s="300">
        <v>0.13071666666666568</v>
      </c>
      <c r="E20" s="300">
        <v>0.21151666666666641</v>
      </c>
      <c r="F20" s="300">
        <v>0.29231666666666639</v>
      </c>
      <c r="G20" s="300">
        <v>0.37311666666666643</v>
      </c>
      <c r="H20" s="300">
        <v>0.45391666666666491</v>
      </c>
      <c r="I20" s="300">
        <v>0.53471666666666529</v>
      </c>
      <c r="J20" s="300">
        <v>0.6155166666666646</v>
      </c>
    </row>
    <row r="25" spans="2:12" x14ac:dyDescent="0.3">
      <c r="C25" s="81" t="s">
        <v>428</v>
      </c>
    </row>
    <row r="26" spans="2:12" x14ac:dyDescent="0.3">
      <c r="C26" s="81"/>
    </row>
    <row r="27" spans="2:12" x14ac:dyDescent="0.3">
      <c r="D27" s="310" t="s">
        <v>429</v>
      </c>
      <c r="E27" s="310"/>
      <c r="F27" s="310"/>
      <c r="G27" s="310"/>
      <c r="H27" s="310"/>
      <c r="I27" s="310"/>
      <c r="J27" s="310"/>
    </row>
    <row r="28" spans="2:12" x14ac:dyDescent="0.3">
      <c r="C28" s="299">
        <f>SUM('PL-CONS'!D22:E22)/10^7</f>
        <v>0.78111666666666646</v>
      </c>
      <c r="D28" s="296">
        <f t="shared" ref="D28:E28" si="1">E28-10%</f>
        <v>-0.30000000000000004</v>
      </c>
      <c r="E28" s="296">
        <f t="shared" si="1"/>
        <v>-0.2</v>
      </c>
      <c r="F28" s="296">
        <f>G28-10%</f>
        <v>-0.1</v>
      </c>
      <c r="G28" s="296">
        <v>0</v>
      </c>
      <c r="H28" s="296">
        <f>G28+10%</f>
        <v>0.1</v>
      </c>
      <c r="I28" s="296">
        <f t="shared" ref="I28:J28" si="2">H28+10%</f>
        <v>0.2</v>
      </c>
      <c r="J28" s="296">
        <f t="shared" si="2"/>
        <v>0.30000000000000004</v>
      </c>
    </row>
    <row r="29" spans="2:12" x14ac:dyDescent="0.3">
      <c r="B29" s="311" t="s">
        <v>430</v>
      </c>
      <c r="C29" s="67">
        <f t="shared" ref="C29:C30" si="3">C30-10%</f>
        <v>-0.30000000000000004</v>
      </c>
      <c r="D29" s="300">
        <f t="dataTable" ref="D29:J35" dt2D="1" dtr="1" r1="B5" r2="B7" ca="1"/>
        <v>2.5261816666666665</v>
      </c>
      <c r="E29" s="300">
        <v>2.2438933333333329</v>
      </c>
      <c r="F29" s="300">
        <v>1.9616049999999996</v>
      </c>
      <c r="G29" s="300">
        <v>1.6793166666666663</v>
      </c>
      <c r="H29" s="300">
        <v>1.3970283333333329</v>
      </c>
      <c r="I29" s="300">
        <v>1.1147399999999996</v>
      </c>
      <c r="J29" s="300">
        <v>0.83245166666666603</v>
      </c>
    </row>
    <row r="30" spans="2:12" x14ac:dyDescent="0.3">
      <c r="B30" s="311"/>
      <c r="C30" s="67">
        <f t="shared" si="3"/>
        <v>-0.2</v>
      </c>
      <c r="D30" s="300">
        <v>2.2267816666666662</v>
      </c>
      <c r="E30" s="300">
        <v>1.9444933333333327</v>
      </c>
      <c r="F30" s="300">
        <v>1.6622049999999997</v>
      </c>
      <c r="G30" s="300">
        <v>1.3799166666666665</v>
      </c>
      <c r="H30" s="300">
        <v>1.0976283333333328</v>
      </c>
      <c r="I30" s="300">
        <v>0.81533999999999962</v>
      </c>
      <c r="J30" s="300">
        <v>0.53305166666666604</v>
      </c>
    </row>
    <row r="31" spans="2:12" x14ac:dyDescent="0.3">
      <c r="B31" s="311"/>
      <c r="C31" s="67">
        <f>C32-10%</f>
        <v>-0.1</v>
      </c>
      <c r="D31" s="300">
        <v>1.9273816666666663</v>
      </c>
      <c r="E31" s="300">
        <v>1.6450933333333329</v>
      </c>
      <c r="F31" s="300">
        <v>1.3628049999999996</v>
      </c>
      <c r="G31" s="300">
        <v>1.0805166666666663</v>
      </c>
      <c r="H31" s="300">
        <v>0.79822833333333287</v>
      </c>
      <c r="I31" s="300">
        <v>0.51593999999999962</v>
      </c>
      <c r="J31" s="300">
        <v>0.23365166666666604</v>
      </c>
    </row>
    <row r="32" spans="2:12" x14ac:dyDescent="0.3">
      <c r="B32" s="311"/>
      <c r="C32" s="67">
        <v>0</v>
      </c>
      <c r="D32" s="300">
        <v>1.6279816666666664</v>
      </c>
      <c r="E32" s="300">
        <v>1.3456933333333327</v>
      </c>
      <c r="F32" s="300">
        <v>1.0634049999999997</v>
      </c>
      <c r="G32" s="301">
        <v>0.78111666666666646</v>
      </c>
      <c r="H32" s="300">
        <v>0.49882833333333282</v>
      </c>
      <c r="I32" s="300">
        <v>0.21653999999999962</v>
      </c>
      <c r="J32" s="300">
        <v>-6.574833333333395E-2</v>
      </c>
    </row>
    <row r="33" spans="2:10" x14ac:dyDescent="0.3">
      <c r="B33" s="311"/>
      <c r="C33" s="67">
        <f>C32+10%</f>
        <v>0.1</v>
      </c>
      <c r="D33" s="300">
        <v>1.3285816666666661</v>
      </c>
      <c r="E33" s="300">
        <v>1.0462933333333324</v>
      </c>
      <c r="F33" s="300">
        <v>0.7640049999999996</v>
      </c>
      <c r="G33" s="300">
        <v>0.48171666666666607</v>
      </c>
      <c r="H33" s="300">
        <v>0.19942833333333246</v>
      </c>
      <c r="I33" s="300">
        <v>-8.2860000000000378E-2</v>
      </c>
      <c r="J33" s="300">
        <v>-0.36514833333333396</v>
      </c>
    </row>
    <row r="34" spans="2:10" x14ac:dyDescent="0.3">
      <c r="B34" s="311"/>
      <c r="C34" s="67">
        <f t="shared" ref="C34:C35" si="4">C33+10%</f>
        <v>0.2</v>
      </c>
      <c r="D34" s="300">
        <v>1.0291816666666664</v>
      </c>
      <c r="E34" s="300">
        <v>0.74689333333333285</v>
      </c>
      <c r="F34" s="300">
        <v>0.4646049999999996</v>
      </c>
      <c r="G34" s="300">
        <v>0.1823166666666664</v>
      </c>
      <c r="H34" s="300">
        <v>-9.9971666666667167E-2</v>
      </c>
      <c r="I34" s="300">
        <v>-0.38226000000000038</v>
      </c>
      <c r="J34" s="300">
        <v>-0.66454833333333396</v>
      </c>
    </row>
    <row r="35" spans="2:10" x14ac:dyDescent="0.3">
      <c r="B35" s="311"/>
      <c r="C35" s="67">
        <f t="shared" si="4"/>
        <v>0.30000000000000004</v>
      </c>
      <c r="D35" s="300">
        <v>0.72978166666666644</v>
      </c>
      <c r="E35" s="300">
        <v>0.44749333333333285</v>
      </c>
      <c r="F35" s="300">
        <v>0.16520499999999963</v>
      </c>
      <c r="G35" s="300">
        <v>-0.11708333333333358</v>
      </c>
      <c r="H35" s="300">
        <v>-0.39937166666666718</v>
      </c>
      <c r="I35" s="300">
        <v>-0.68166000000000038</v>
      </c>
      <c r="J35" s="300">
        <v>-0.96394833333333396</v>
      </c>
    </row>
  </sheetData>
  <mergeCells count="4">
    <mergeCell ref="D12:J12"/>
    <mergeCell ref="B14:B20"/>
    <mergeCell ref="D27:J27"/>
    <mergeCell ref="B29:B3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workbookViewId="0">
      <pane xSplit="2" ySplit="2" topLeftCell="F3" activePane="bottomRight" state="frozen"/>
      <selection activeCell="B13" sqref="B13"/>
      <selection pane="topRight" activeCell="B13" sqref="B13"/>
      <selection pane="bottomLeft" activeCell="B13" sqref="B13"/>
      <selection pane="bottomRight" activeCell="D31" sqref="D31:H32"/>
    </sheetView>
  </sheetViews>
  <sheetFormatPr defaultRowHeight="14.4" x14ac:dyDescent="0.3"/>
  <cols>
    <col min="1" max="1" width="4.88671875" customWidth="1"/>
    <col min="2" max="2" width="35.88671875" style="3" customWidth="1"/>
    <col min="3" max="3" width="11" customWidth="1"/>
    <col min="4" max="4" width="13.6640625" customWidth="1"/>
    <col min="5" max="5" width="13" customWidth="1"/>
    <col min="6" max="6" width="12.5546875" customWidth="1"/>
    <col min="7" max="7" width="14" customWidth="1"/>
    <col min="8" max="8" width="12.44140625" customWidth="1"/>
    <col min="9" max="9" width="9.88671875" bestFit="1" customWidth="1"/>
    <col min="10" max="13" width="13" customWidth="1"/>
    <col min="14" max="14" width="14.33203125" customWidth="1"/>
  </cols>
  <sheetData>
    <row r="1" spans="1:19" x14ac:dyDescent="0.3">
      <c r="B1" s="3" t="s">
        <v>385</v>
      </c>
      <c r="J1" s="312" t="s">
        <v>276</v>
      </c>
      <c r="K1" s="312"/>
      <c r="L1" s="312"/>
      <c r="M1" s="312"/>
      <c r="O1" s="313" t="s">
        <v>277</v>
      </c>
      <c r="P1" s="314"/>
      <c r="Q1" s="314"/>
      <c r="R1" s="314"/>
      <c r="S1" s="315"/>
    </row>
    <row r="2" spans="1:19" s="2" customFormat="1" x14ac:dyDescent="0.3">
      <c r="A2"/>
      <c r="B2" s="6"/>
      <c r="C2" s="2" t="s">
        <v>111</v>
      </c>
      <c r="D2" s="2" t="s">
        <v>112</v>
      </c>
      <c r="E2" s="2" t="s">
        <v>70</v>
      </c>
      <c r="F2" s="2" t="s">
        <v>71</v>
      </c>
      <c r="G2" s="2" t="s">
        <v>72</v>
      </c>
      <c r="H2" s="2" t="s">
        <v>73</v>
      </c>
      <c r="J2" s="177" t="s">
        <v>70</v>
      </c>
      <c r="K2" s="72" t="s">
        <v>71</v>
      </c>
      <c r="L2" s="72" t="s">
        <v>72</v>
      </c>
      <c r="M2" s="73" t="s">
        <v>73</v>
      </c>
      <c r="O2" s="178" t="s">
        <v>112</v>
      </c>
      <c r="P2" s="8" t="s">
        <v>70</v>
      </c>
      <c r="Q2" s="8" t="s">
        <v>71</v>
      </c>
      <c r="R2" s="8" t="s">
        <v>72</v>
      </c>
      <c r="S2" s="23" t="s">
        <v>73</v>
      </c>
    </row>
    <row r="3" spans="1:19" s="8" customFormat="1" x14ac:dyDescent="0.3">
      <c r="B3" s="3" t="s">
        <v>120</v>
      </c>
      <c r="C3" s="79"/>
      <c r="D3" s="79">
        <f>SUM('PL-Corp:PL-D2C'!D3)</f>
        <v>40000000</v>
      </c>
      <c r="E3" s="79">
        <f>SUM('PL-Corp:PL-D2C'!E3)</f>
        <v>96000000</v>
      </c>
      <c r="F3" s="79">
        <f>SUM('PL-Corp:PL-D2C'!F3)</f>
        <v>129999999.99999999</v>
      </c>
      <c r="G3" s="79">
        <f>SUM('PL-Corp:PL-D2C'!G3)</f>
        <v>208000000</v>
      </c>
      <c r="H3" s="79">
        <f>SUM('PL-Corp:PL-D2C'!H3)</f>
        <v>291200000</v>
      </c>
      <c r="J3" s="181">
        <f>E3/D3</f>
        <v>2.4</v>
      </c>
      <c r="K3" s="182">
        <f t="shared" ref="K3:M3" si="0">F3/E3</f>
        <v>1.3541666666666665</v>
      </c>
      <c r="L3" s="182">
        <f t="shared" si="0"/>
        <v>1.6</v>
      </c>
      <c r="M3" s="183">
        <f t="shared" si="0"/>
        <v>1.4</v>
      </c>
      <c r="O3" s="118">
        <v>100</v>
      </c>
      <c r="P3" s="101">
        <v>100</v>
      </c>
      <c r="Q3" s="101">
        <v>100</v>
      </c>
      <c r="R3" s="101">
        <v>100</v>
      </c>
      <c r="S3" s="186">
        <v>100</v>
      </c>
    </row>
    <row r="4" spans="1:19" s="8" customFormat="1" x14ac:dyDescent="0.3">
      <c r="B4" t="s">
        <v>228</v>
      </c>
      <c r="C4" s="79"/>
      <c r="D4" s="79">
        <f>SUM('PL-Corp:PL-D2C'!D4)</f>
        <v>11520000</v>
      </c>
      <c r="E4" s="79">
        <f>SUM('PL-Corp:PL-D2C'!E4)</f>
        <v>44800000</v>
      </c>
      <c r="F4" s="79">
        <f>SUM('PL-Corp:PL-D2C'!F4)</f>
        <v>67200000</v>
      </c>
      <c r="G4" s="79">
        <f>SUM('PL-Corp:PL-D2C'!G4)</f>
        <v>80000000</v>
      </c>
      <c r="H4" s="79">
        <f>SUM('PL-Corp:PL-D2C'!H4)</f>
        <v>112000000</v>
      </c>
      <c r="J4" s="181">
        <f>E4/D4</f>
        <v>3.8888888888888888</v>
      </c>
      <c r="K4" s="182">
        <f t="shared" ref="K4" si="1">F4/E4</f>
        <v>1.5</v>
      </c>
      <c r="L4" s="182">
        <f t="shared" ref="L4" si="2">G4/F4</f>
        <v>1.1904761904761905</v>
      </c>
      <c r="M4" s="183">
        <f t="shared" ref="M4" si="3">H4/G4</f>
        <v>1.4</v>
      </c>
      <c r="O4" s="287">
        <f>O3*D36</f>
        <v>28.799999999999997</v>
      </c>
      <c r="P4" s="289">
        <f t="shared" ref="P4:S4" si="4">P3*E36</f>
        <v>46.666666666666664</v>
      </c>
      <c r="Q4" s="289">
        <f t="shared" si="4"/>
        <v>51.692307692307693</v>
      </c>
      <c r="R4" s="289">
        <f t="shared" si="4"/>
        <v>38.461538461538467</v>
      </c>
      <c r="S4" s="290">
        <f t="shared" si="4"/>
        <v>38.461538461538467</v>
      </c>
    </row>
    <row r="5" spans="1:19" s="8" customFormat="1" x14ac:dyDescent="0.3">
      <c r="B5" s="72" t="s">
        <v>5</v>
      </c>
      <c r="C5" s="85">
        <f t="shared" ref="C5" si="5">SUM(C3:C3)</f>
        <v>0</v>
      </c>
      <c r="D5" s="85">
        <f>SUM(D3:D4)</f>
        <v>51520000</v>
      </c>
      <c r="E5" s="85">
        <f t="shared" ref="E5:H5" si="6">SUM(E3:E4)</f>
        <v>140800000</v>
      </c>
      <c r="F5" s="85">
        <f t="shared" si="6"/>
        <v>197200000</v>
      </c>
      <c r="G5" s="85">
        <f t="shared" si="6"/>
        <v>288000000</v>
      </c>
      <c r="H5" s="85">
        <f t="shared" si="6"/>
        <v>403200000</v>
      </c>
      <c r="I5" s="96"/>
      <c r="J5" s="181">
        <f t="shared" ref="J5:J30" si="7">E5/D5</f>
        <v>2.7329192546583849</v>
      </c>
      <c r="K5" s="182">
        <f t="shared" ref="K5:K30" si="8">F5/E5</f>
        <v>1.4005681818181819</v>
      </c>
      <c r="L5" s="182">
        <f t="shared" ref="L5:L30" si="9">G5/F5</f>
        <v>1.460446247464503</v>
      </c>
      <c r="M5" s="183">
        <f t="shared" ref="M5:M30" si="10">H5/G5</f>
        <v>1.4</v>
      </c>
      <c r="O5" s="178"/>
      <c r="S5" s="23"/>
    </row>
    <row r="6" spans="1:19" x14ac:dyDescent="0.3">
      <c r="C6" s="8"/>
      <c r="D6" s="8"/>
      <c r="E6" s="8"/>
      <c r="F6" s="8"/>
      <c r="G6" s="8"/>
      <c r="H6" s="8"/>
      <c r="J6" s="181"/>
      <c r="K6" s="182"/>
      <c r="L6" s="182"/>
      <c r="M6" s="183"/>
      <c r="O6" s="118"/>
      <c r="S6" s="3"/>
    </row>
    <row r="7" spans="1:19" x14ac:dyDescent="0.3">
      <c r="B7" s="3" t="s">
        <v>36</v>
      </c>
      <c r="C7" s="79"/>
      <c r="D7" s="79">
        <f>SUM('PL-Corp:PL-D2C'!D7)</f>
        <v>27200000.000000004</v>
      </c>
      <c r="E7" s="79">
        <f>SUM('PL-Corp:PL-D2C'!E7)</f>
        <v>64320000.000000007</v>
      </c>
      <c r="F7" s="79">
        <f>SUM('PL-Corp:PL-D2C'!F7)</f>
        <v>85800000</v>
      </c>
      <c r="G7" s="79">
        <f>SUM('PL-Corp:PL-D2C'!G7)</f>
        <v>133120000.00000003</v>
      </c>
      <c r="H7" s="79">
        <f>SUM('PL-Corp:PL-D2C'!H7)</f>
        <v>183456000.00000003</v>
      </c>
      <c r="J7" s="181">
        <f t="shared" si="7"/>
        <v>2.3647058823529412</v>
      </c>
      <c r="K7" s="182">
        <f t="shared" si="8"/>
        <v>1.333955223880597</v>
      </c>
      <c r="L7" s="182">
        <f t="shared" si="9"/>
        <v>1.551515151515152</v>
      </c>
      <c r="M7" s="183">
        <f t="shared" si="10"/>
        <v>1.3781249999999998</v>
      </c>
      <c r="N7" s="66"/>
      <c r="O7" s="187">
        <f>O3*D35</f>
        <v>68</v>
      </c>
      <c r="P7" s="184">
        <f t="shared" ref="P7:S7" si="11">P3*E35</f>
        <v>67</v>
      </c>
      <c r="Q7" s="184">
        <f t="shared" si="11"/>
        <v>66</v>
      </c>
      <c r="R7" s="184">
        <f t="shared" si="11"/>
        <v>64.000000000000014</v>
      </c>
      <c r="S7" s="188">
        <f t="shared" si="11"/>
        <v>63.000000000000014</v>
      </c>
    </row>
    <row r="8" spans="1:19" x14ac:dyDescent="0.3">
      <c r="B8" s="3" t="s">
        <v>381</v>
      </c>
      <c r="C8" s="79"/>
      <c r="D8" s="79">
        <f>SUM('PL-Corp:PL-D2C'!D8)</f>
        <v>0</v>
      </c>
      <c r="E8" s="79">
        <f>SUM('PL-Corp:PL-D2C'!E8)</f>
        <v>4800000</v>
      </c>
      <c r="F8" s="79">
        <f>SUM('PL-Corp:PL-D2C'!F8)</f>
        <v>5849999.9999999991</v>
      </c>
      <c r="G8" s="79">
        <f>SUM('PL-Corp:PL-D2C'!G8)</f>
        <v>9360000</v>
      </c>
      <c r="H8" s="79">
        <f>SUM('PL-Corp:PL-D2C'!H8)</f>
        <v>11648000</v>
      </c>
      <c r="J8" s="181"/>
      <c r="K8" s="182">
        <f t="shared" ref="K8" si="12">F8/E8</f>
        <v>1.2187499999999998</v>
      </c>
      <c r="L8" s="182">
        <f t="shared" ref="L8" si="13">G8/F8</f>
        <v>1.6000000000000003</v>
      </c>
      <c r="M8" s="183">
        <f t="shared" ref="M8" si="14">H8/G8</f>
        <v>1.2444444444444445</v>
      </c>
      <c r="N8" s="66"/>
      <c r="O8" s="187">
        <f>O3*D37</f>
        <v>0</v>
      </c>
      <c r="P8" s="184">
        <f t="shared" ref="P8:S8" si="15">P3*E37</f>
        <v>5</v>
      </c>
      <c r="Q8" s="184">
        <f t="shared" si="15"/>
        <v>4.5</v>
      </c>
      <c r="R8" s="184">
        <f t="shared" si="15"/>
        <v>4.5</v>
      </c>
      <c r="S8" s="188">
        <f t="shared" si="15"/>
        <v>4</v>
      </c>
    </row>
    <row r="9" spans="1:19" x14ac:dyDescent="0.3">
      <c r="B9" s="73" t="s">
        <v>37</v>
      </c>
      <c r="C9" s="95">
        <f>C5-C7</f>
        <v>0</v>
      </c>
      <c r="D9" s="95">
        <f>D5-D7-D8</f>
        <v>24319999.999999996</v>
      </c>
      <c r="E9" s="95">
        <f t="shared" ref="E9:H9" si="16">E5-E7-E8</f>
        <v>71680000</v>
      </c>
      <c r="F9" s="95">
        <f t="shared" si="16"/>
        <v>105550000</v>
      </c>
      <c r="G9" s="95">
        <f t="shared" si="16"/>
        <v>145519999.99999997</v>
      </c>
      <c r="H9" s="95">
        <f t="shared" si="16"/>
        <v>208095999.99999997</v>
      </c>
      <c r="J9" s="181">
        <f t="shared" si="7"/>
        <v>2.9473684210526319</v>
      </c>
      <c r="K9" s="182">
        <f t="shared" si="8"/>
        <v>1.4725167410714286</v>
      </c>
      <c r="L9" s="182">
        <f t="shared" si="9"/>
        <v>1.3786830885836094</v>
      </c>
      <c r="M9" s="183">
        <f t="shared" si="10"/>
        <v>1.4300164925783398</v>
      </c>
      <c r="O9" s="192">
        <f>O3*D38</f>
        <v>60.79999999999999</v>
      </c>
      <c r="P9" s="99">
        <f t="shared" ref="P9:S9" si="17">P3*E38</f>
        <v>74.666666666666671</v>
      </c>
      <c r="Q9" s="99">
        <f t="shared" si="17"/>
        <v>81.192307692307693</v>
      </c>
      <c r="R9" s="99">
        <f t="shared" si="17"/>
        <v>69.961538461538439</v>
      </c>
      <c r="S9" s="131">
        <f t="shared" si="17"/>
        <v>71.461538461538453</v>
      </c>
    </row>
    <row r="10" spans="1:19" x14ac:dyDescent="0.3">
      <c r="J10" s="181"/>
      <c r="K10" s="182"/>
      <c r="L10" s="182"/>
      <c r="M10" s="183"/>
      <c r="O10" s="118"/>
      <c r="S10" s="3"/>
    </row>
    <row r="11" spans="1:19" x14ac:dyDescent="0.3">
      <c r="B11" s="3" t="s">
        <v>38</v>
      </c>
      <c r="D11" s="79">
        <f>SUM('PL-Corp:PL-D2C'!D11)*(1+'sensitivity analysis'!$B$5)</f>
        <v>7123333.333333333</v>
      </c>
      <c r="E11" s="79">
        <f>SUM('PL-Corp:PL-D2C'!E11)*(1+'sensitivity analysis'!$B$5)</f>
        <v>21105500</v>
      </c>
      <c r="F11" s="79">
        <f>SUM('PL-Corp:PL-D2C'!F11)*(1+'sensitivity analysis'!$B$5)</f>
        <v>29648800</v>
      </c>
      <c r="G11" s="79">
        <f>SUM('PL-Corp:PL-D2C'!G11)*(1+'sensitivity analysis'!$B$5)</f>
        <v>36137355</v>
      </c>
      <c r="H11" s="79">
        <f>SUM('PL-Corp:PL-D2C'!H11)*(1+'sensitivity analysis'!$B$5)</f>
        <v>43247206.75</v>
      </c>
      <c r="J11" s="181">
        <f t="shared" si="7"/>
        <v>2.9628685072531589</v>
      </c>
      <c r="K11" s="182">
        <f t="shared" si="8"/>
        <v>1.4047902205586222</v>
      </c>
      <c r="L11" s="182">
        <f t="shared" si="9"/>
        <v>1.2188471371522624</v>
      </c>
      <c r="M11" s="183">
        <f t="shared" si="10"/>
        <v>1.1967452169645509</v>
      </c>
      <c r="O11" s="187">
        <f>O3*D39</f>
        <v>13.82634575569358</v>
      </c>
      <c r="P11" s="184">
        <f t="shared" ref="P11:S11" si="18">P3*E39</f>
        <v>14.989701704545455</v>
      </c>
      <c r="Q11" s="184">
        <f t="shared" si="18"/>
        <v>15.034888438133876</v>
      </c>
      <c r="R11" s="184">
        <f t="shared" si="18"/>
        <v>12.547692708333333</v>
      </c>
      <c r="S11" s="188">
        <f t="shared" si="18"/>
        <v>10.725993737599206</v>
      </c>
    </row>
    <row r="12" spans="1:19" x14ac:dyDescent="0.3">
      <c r="B12" s="3" t="s">
        <v>408</v>
      </c>
      <c r="D12" s="79">
        <f>SUM('PL-Corp:PL-D2C'!D12)</f>
        <v>400000</v>
      </c>
      <c r="E12" s="79">
        <f>SUM('PL-Corp:PL-D2C'!E12)</f>
        <v>960000</v>
      </c>
      <c r="F12" s="79">
        <f>SUM('PL-Corp:PL-D2C'!F12)</f>
        <v>1299999.9999999998</v>
      </c>
      <c r="G12" s="79">
        <f>SUM('PL-Corp:PL-D2C'!G12)</f>
        <v>2080000</v>
      </c>
      <c r="H12" s="79">
        <f>SUM('PL-Corp:PL-D2C'!H12)</f>
        <v>2912000</v>
      </c>
      <c r="J12" s="181">
        <f t="shared" ref="J12:J13" si="19">E12/D12</f>
        <v>2.4</v>
      </c>
      <c r="K12" s="182">
        <f t="shared" ref="K12:K13" si="20">F12/E12</f>
        <v>1.3541666666666665</v>
      </c>
      <c r="L12" s="182">
        <f t="shared" ref="L12:L13" si="21">G12/F12</f>
        <v>1.6000000000000003</v>
      </c>
      <c r="M12" s="183">
        <f t="shared" ref="M12:M13" si="22">H12/G12</f>
        <v>1.4</v>
      </c>
      <c r="O12" s="187">
        <f>O3*D40</f>
        <v>1</v>
      </c>
      <c r="P12" s="184">
        <f t="shared" ref="P12:S12" si="23">P3*E40</f>
        <v>1</v>
      </c>
      <c r="Q12" s="184">
        <f t="shared" si="23"/>
        <v>1</v>
      </c>
      <c r="R12" s="184">
        <f t="shared" si="23"/>
        <v>1</v>
      </c>
      <c r="S12" s="188">
        <f t="shared" si="23"/>
        <v>1</v>
      </c>
    </row>
    <row r="13" spans="1:19" x14ac:dyDescent="0.3">
      <c r="B13" s="3" t="s">
        <v>377</v>
      </c>
      <c r="D13" s="79">
        <f>SUM('PL-Corp:PL-D2C'!D13)</f>
        <v>2000000</v>
      </c>
      <c r="E13" s="79">
        <f>SUM('PL-Corp:PL-D2C'!E13)</f>
        <v>5500000</v>
      </c>
      <c r="F13" s="79">
        <f>SUM('PL-Corp:PL-D2C'!F13)</f>
        <v>6050000.0000000009</v>
      </c>
      <c r="G13" s="79">
        <f>SUM('PL-Corp:PL-D2C'!G13)</f>
        <v>6655000.0000000019</v>
      </c>
      <c r="H13" s="79">
        <f>SUM('PL-Corp:PL-D2C'!H13)</f>
        <v>7320500.0000000028</v>
      </c>
      <c r="J13" s="181">
        <f t="shared" si="19"/>
        <v>2.75</v>
      </c>
      <c r="K13" s="182">
        <f t="shared" si="20"/>
        <v>1.1000000000000001</v>
      </c>
      <c r="L13" s="182">
        <f t="shared" si="21"/>
        <v>1.1000000000000001</v>
      </c>
      <c r="M13" s="183">
        <f t="shared" si="22"/>
        <v>1.1000000000000001</v>
      </c>
      <c r="O13" s="187">
        <f>O3*D41</f>
        <v>5</v>
      </c>
      <c r="P13" s="184">
        <f t="shared" ref="P13:S13" si="24">P3*E41</f>
        <v>5.7291666666666661</v>
      </c>
      <c r="Q13" s="184">
        <f t="shared" si="24"/>
        <v>4.6538461538461551</v>
      </c>
      <c r="R13" s="184">
        <f t="shared" si="24"/>
        <v>3.1995192307692313</v>
      </c>
      <c r="S13" s="188">
        <f t="shared" si="24"/>
        <v>2.513907967032968</v>
      </c>
    </row>
    <row r="14" spans="1:19" x14ac:dyDescent="0.3">
      <c r="B14" s="3" t="s">
        <v>239</v>
      </c>
      <c r="D14" s="79"/>
      <c r="E14" s="79"/>
      <c r="F14" s="79"/>
      <c r="G14" s="79"/>
      <c r="H14" s="79"/>
      <c r="J14" s="181"/>
      <c r="K14" s="182"/>
      <c r="L14" s="182"/>
      <c r="M14" s="182"/>
      <c r="N14" s="181"/>
      <c r="O14" s="187">
        <f>O3*D42</f>
        <v>6</v>
      </c>
      <c r="P14" s="184">
        <f t="shared" ref="P14:S14" si="25">P3*E42</f>
        <v>8.75</v>
      </c>
      <c r="Q14" s="184">
        <f t="shared" si="25"/>
        <v>9.0769227692307712</v>
      </c>
      <c r="R14" s="184">
        <f t="shared" si="25"/>
        <v>9.2307692307692317</v>
      </c>
      <c r="S14" s="188">
        <f t="shared" si="25"/>
        <v>9.6153844780219782</v>
      </c>
    </row>
    <row r="15" spans="1:19" x14ac:dyDescent="0.3">
      <c r="B15" s="246" t="s">
        <v>237</v>
      </c>
      <c r="D15" s="79">
        <f>SUM('PL-Corp:PL-D2C'!D15)</f>
        <v>600000</v>
      </c>
      <c r="E15" s="79">
        <f>SUM('PL-Corp:PL-D2C'!E15)</f>
        <v>1200000</v>
      </c>
      <c r="F15" s="79">
        <f>SUM('PL-Corp:PL-D2C'!F15)</f>
        <v>1800000</v>
      </c>
      <c r="G15" s="79">
        <f>SUM('PL-Corp:PL-D2C'!G15)</f>
        <v>2400000</v>
      </c>
      <c r="H15" s="79">
        <f>SUM('PL-Corp:PL-D2C'!H15)</f>
        <v>3000000</v>
      </c>
      <c r="J15" s="181">
        <f t="shared" si="7"/>
        <v>2</v>
      </c>
      <c r="K15" s="182">
        <f t="shared" si="8"/>
        <v>1.5</v>
      </c>
      <c r="L15" s="182">
        <f t="shared" si="9"/>
        <v>1.3333333333333333</v>
      </c>
      <c r="M15" s="183">
        <f t="shared" si="10"/>
        <v>1.25</v>
      </c>
      <c r="N15" s="71"/>
      <c r="O15" s="118"/>
      <c r="S15" s="3"/>
    </row>
    <row r="16" spans="1:19" x14ac:dyDescent="0.3">
      <c r="B16" s="246" t="s">
        <v>238</v>
      </c>
      <c r="D16" s="79">
        <f>SUM('PL-Corp:PL-D2C'!D16)</f>
        <v>1800000</v>
      </c>
      <c r="E16" s="79">
        <f>SUM('PL-Corp:PL-D2C'!E16)</f>
        <v>7200000</v>
      </c>
      <c r="F16" s="79">
        <f>SUM('PL-Corp:PL-D2C'!F16)</f>
        <v>9999999.6000000015</v>
      </c>
      <c r="G16" s="79">
        <f>SUM('PL-Corp:PL-D2C'!G16)</f>
        <v>16800000</v>
      </c>
      <c r="H16" s="79">
        <f>SUM('PL-Corp:PL-D2C'!H16)</f>
        <v>24999999.600000001</v>
      </c>
      <c r="J16" s="181">
        <f t="shared" si="7"/>
        <v>4</v>
      </c>
      <c r="K16" s="182">
        <f t="shared" si="8"/>
        <v>1.3888888333333336</v>
      </c>
      <c r="L16" s="182">
        <f t="shared" si="9"/>
        <v>1.6800000672000024</v>
      </c>
      <c r="M16" s="183">
        <f t="shared" si="10"/>
        <v>1.4880952142857145</v>
      </c>
      <c r="N16" s="71"/>
      <c r="O16" s="118"/>
      <c r="S16" s="3"/>
    </row>
    <row r="17" spans="2:19" x14ac:dyDescent="0.3">
      <c r="B17" s="3" t="s">
        <v>324</v>
      </c>
      <c r="D17" s="79">
        <f>SUM('PL-Corp:PL-D2C'!D17)</f>
        <v>0</v>
      </c>
      <c r="E17" s="79">
        <f>SUM('PL-Corp:PL-D2C'!E17)</f>
        <v>6720000.0000000009</v>
      </c>
      <c r="F17" s="79">
        <f>SUM('PL-Corp:PL-D2C'!F17)</f>
        <v>9100000</v>
      </c>
      <c r="G17" s="79">
        <f>SUM('PL-Corp:PL-D2C'!G17)</f>
        <v>14560000.000000002</v>
      </c>
      <c r="H17" s="79">
        <f>SUM('PL-Corp:PL-D2C'!H17)</f>
        <v>20384000.000000004</v>
      </c>
      <c r="J17" s="181"/>
      <c r="K17" s="182">
        <f t="shared" si="8"/>
        <v>1.3541666666666665</v>
      </c>
      <c r="L17" s="182">
        <f t="shared" si="9"/>
        <v>1.6000000000000003</v>
      </c>
      <c r="M17" s="183">
        <f t="shared" si="10"/>
        <v>1.4000000000000001</v>
      </c>
      <c r="N17" s="71"/>
      <c r="O17" s="118">
        <f>O3*D45</f>
        <v>0</v>
      </c>
      <c r="P17">
        <f t="shared" ref="P17:S17" si="26">P3*E45</f>
        <v>7.0000000000000009</v>
      </c>
      <c r="Q17">
        <f t="shared" si="26"/>
        <v>7.0000000000000009</v>
      </c>
      <c r="R17">
        <f t="shared" si="26"/>
        <v>7.0000000000000009</v>
      </c>
      <c r="S17" s="3">
        <f t="shared" si="26"/>
        <v>7.0000000000000009</v>
      </c>
    </row>
    <row r="18" spans="2:19" x14ac:dyDescent="0.3">
      <c r="B18" s="140" t="s">
        <v>240</v>
      </c>
      <c r="D18" s="79">
        <f>SUM('PL-Corp:PL-D2C'!D18)</f>
        <v>9500000</v>
      </c>
      <c r="E18" s="79">
        <f>SUM('PL-Corp:PL-D2C'!E18)</f>
        <v>20440000</v>
      </c>
      <c r="F18" s="79">
        <f>SUM('PL-Corp:PL-D2C'!F18)</f>
        <v>23300000</v>
      </c>
      <c r="G18" s="79">
        <f>SUM('PL-Corp:PL-D2C'!G18)</f>
        <v>31350000</v>
      </c>
      <c r="H18" s="79">
        <f>SUM('PL-Corp:PL-D2C'!H18)</f>
        <v>38437000</v>
      </c>
      <c r="J18" s="181">
        <f t="shared" si="7"/>
        <v>2.1515789473684213</v>
      </c>
      <c r="K18" s="182">
        <f t="shared" si="8"/>
        <v>1.139921722113503</v>
      </c>
      <c r="L18" s="182">
        <f t="shared" si="9"/>
        <v>1.3454935622317596</v>
      </c>
      <c r="M18" s="183">
        <f t="shared" si="10"/>
        <v>1.2260606060606061</v>
      </c>
      <c r="N18" s="71"/>
      <c r="O18" s="287">
        <f>O3*D46</f>
        <v>18.439440993788818</v>
      </c>
      <c r="P18" s="289">
        <f t="shared" ref="P18:S18" si="27">P3*E46</f>
        <v>14.517045454545455</v>
      </c>
      <c r="Q18" s="289">
        <f t="shared" si="27"/>
        <v>11.815415821501015</v>
      </c>
      <c r="R18" s="289">
        <f t="shared" si="27"/>
        <v>10.885416666666666</v>
      </c>
      <c r="S18" s="290">
        <f t="shared" si="27"/>
        <v>9.5329861111111107</v>
      </c>
    </row>
    <row r="19" spans="2:19" x14ac:dyDescent="0.3">
      <c r="B19" s="140" t="s">
        <v>278</v>
      </c>
      <c r="C19" s="79"/>
      <c r="D19" s="79">
        <f>SUM('PL-Corp:PL-D2C'!D19)</f>
        <v>1000000</v>
      </c>
      <c r="E19" s="79">
        <f>SUM('PL-Corp:PL-D2C'!E19)</f>
        <v>2640000</v>
      </c>
      <c r="F19" s="79">
        <f>SUM('PL-Corp:PL-D2C'!F19)</f>
        <v>5000000</v>
      </c>
      <c r="G19" s="79">
        <f>SUM('PL-Corp:PL-D2C'!G19)</f>
        <v>5320000</v>
      </c>
      <c r="H19" s="79">
        <f>SUM('PL-Corp:PL-D2C'!H19)</f>
        <v>5663000</v>
      </c>
      <c r="J19" s="181">
        <f t="shared" si="7"/>
        <v>2.64</v>
      </c>
      <c r="K19" s="182">
        <f t="shared" si="8"/>
        <v>1.893939393939394</v>
      </c>
      <c r="L19" s="182">
        <f t="shared" si="9"/>
        <v>1.0640000000000001</v>
      </c>
      <c r="M19" s="183">
        <f t="shared" si="10"/>
        <v>1.0644736842105262</v>
      </c>
      <c r="O19" s="287">
        <f>O3*D47</f>
        <v>1.9409937888198756</v>
      </c>
      <c r="P19" s="289">
        <f t="shared" ref="P19:S19" si="28">P3*E47</f>
        <v>1.875</v>
      </c>
      <c r="Q19" s="289">
        <f t="shared" si="28"/>
        <v>2.5354969574036512</v>
      </c>
      <c r="R19" s="289">
        <f t="shared" si="28"/>
        <v>1.8472222222222223</v>
      </c>
      <c r="S19" s="290">
        <f t="shared" si="28"/>
        <v>1.4045138888888888</v>
      </c>
    </row>
    <row r="20" spans="2:19" x14ac:dyDescent="0.3">
      <c r="B20" s="14" t="s">
        <v>178</v>
      </c>
      <c r="C20" s="86"/>
      <c r="D20" s="86">
        <f>SUM(D11:D19)-D14</f>
        <v>22423333.333333332</v>
      </c>
      <c r="E20" s="86">
        <f>SUM(E11:E19)-E14</f>
        <v>65765500</v>
      </c>
      <c r="F20" s="86">
        <f>SUM(F11:F19)-F14</f>
        <v>86198799.599999994</v>
      </c>
      <c r="G20" s="86">
        <f>SUM(G11:G19)-G14</f>
        <v>115302355</v>
      </c>
      <c r="H20" s="86">
        <f>SUM(H11:H19)-H14</f>
        <v>145963706.34999999</v>
      </c>
      <c r="J20" s="181">
        <f t="shared" si="7"/>
        <v>2.9329047123532037</v>
      </c>
      <c r="K20" s="182">
        <f t="shared" si="8"/>
        <v>1.3106993727714378</v>
      </c>
      <c r="L20" s="182">
        <f t="shared" si="9"/>
        <v>1.3376329546937218</v>
      </c>
      <c r="M20" s="183">
        <f t="shared" si="10"/>
        <v>1.2659212931947486</v>
      </c>
      <c r="O20" s="187">
        <f>O3*D48</f>
        <v>56.05833333333333</v>
      </c>
      <c r="P20" s="184">
        <f t="shared" ref="P20:S20" si="29">P3*E48</f>
        <v>68.505729166666669</v>
      </c>
      <c r="Q20" s="184">
        <f t="shared" si="29"/>
        <v>66.30676892307693</v>
      </c>
      <c r="R20" s="184">
        <f t="shared" si="29"/>
        <v>55.433824519230768</v>
      </c>
      <c r="S20" s="188">
        <f t="shared" si="29"/>
        <v>50.124899158653847</v>
      </c>
    </row>
    <row r="21" spans="2:19" x14ac:dyDescent="0.3">
      <c r="J21" s="181"/>
      <c r="K21" s="182"/>
      <c r="L21" s="182"/>
      <c r="M21" s="183"/>
      <c r="O21" s="118"/>
      <c r="S21" s="3"/>
    </row>
    <row r="22" spans="2:19" s="8" customFormat="1" x14ac:dyDescent="0.3">
      <c r="B22" s="73" t="s">
        <v>39</v>
      </c>
      <c r="C22" s="85"/>
      <c r="D22" s="95">
        <f>D9-D20</f>
        <v>1896666.6666666642</v>
      </c>
      <c r="E22" s="95">
        <f t="shared" ref="E22:H22" si="30">E9-E20</f>
        <v>5914500</v>
      </c>
      <c r="F22" s="95">
        <f t="shared" si="30"/>
        <v>19351200.400000006</v>
      </c>
      <c r="G22" s="95">
        <f t="shared" si="30"/>
        <v>30217644.99999997</v>
      </c>
      <c r="H22" s="95">
        <f t="shared" si="30"/>
        <v>62132293.649999976</v>
      </c>
      <c r="J22" s="181">
        <f t="shared" si="7"/>
        <v>3.1183655536028159</v>
      </c>
      <c r="K22" s="182">
        <f t="shared" si="8"/>
        <v>3.271823552286754</v>
      </c>
      <c r="L22" s="182">
        <f t="shared" si="9"/>
        <v>1.5615385286382524</v>
      </c>
      <c r="M22" s="183">
        <f t="shared" si="10"/>
        <v>2.0561593615253617</v>
      </c>
      <c r="O22" s="189">
        <f>O3*D49</f>
        <v>4.7416666666666609</v>
      </c>
      <c r="P22" s="101">
        <f t="shared" ref="P22:S22" si="31">P3*E49</f>
        <v>6.1609375000000002</v>
      </c>
      <c r="Q22" s="101">
        <f t="shared" si="31"/>
        <v>14.885538769230774</v>
      </c>
      <c r="R22" s="101">
        <f t="shared" si="31"/>
        <v>14.527713942307678</v>
      </c>
      <c r="S22" s="186">
        <f t="shared" si="31"/>
        <v>21.336639302884606</v>
      </c>
    </row>
    <row r="23" spans="2:19" x14ac:dyDescent="0.3">
      <c r="B23" s="3" t="s">
        <v>40</v>
      </c>
      <c r="C23" s="79"/>
      <c r="D23" s="79">
        <f>FA!D13+FA!D14</f>
        <v>665472.86609999998</v>
      </c>
      <c r="E23" s="79">
        <f>FA!E13+FA!E14</f>
        <v>1097472.9311000002</v>
      </c>
      <c r="F23" s="79">
        <f>FA!F13+FA!F14</f>
        <v>1803839.1148000001</v>
      </c>
      <c r="G23" s="79">
        <f>FA!G13+FA!G14</f>
        <v>3986399.3048</v>
      </c>
      <c r="H23" s="79">
        <f>FA!H13+FA!H14</f>
        <v>5013470.8108000001</v>
      </c>
      <c r="J23" s="181"/>
      <c r="K23" s="182"/>
      <c r="L23" s="182"/>
      <c r="M23" s="183"/>
      <c r="O23" s="190"/>
      <c r="P23" s="185"/>
      <c r="Q23" s="185"/>
      <c r="R23" s="185"/>
      <c r="S23" s="191"/>
    </row>
    <row r="24" spans="2:19" s="8" customFormat="1" x14ac:dyDescent="0.3">
      <c r="B24" s="73" t="s">
        <v>41</v>
      </c>
      <c r="C24" s="85"/>
      <c r="D24" s="95">
        <f>D22-D23</f>
        <v>1231193.8005666642</v>
      </c>
      <c r="E24" s="95">
        <f t="shared" ref="E24:H24" si="32">E22-E23</f>
        <v>4817027.0689000003</v>
      </c>
      <c r="F24" s="95">
        <f t="shared" si="32"/>
        <v>17547361.285200007</v>
      </c>
      <c r="G24" s="95">
        <f t="shared" si="32"/>
        <v>26231245.69519997</v>
      </c>
      <c r="H24" s="95">
        <f t="shared" si="32"/>
        <v>57118822.839199975</v>
      </c>
      <c r="J24" s="181">
        <f t="shared" si="7"/>
        <v>3.9124848311313256</v>
      </c>
      <c r="K24" s="182">
        <f t="shared" si="8"/>
        <v>3.6427782186424502</v>
      </c>
      <c r="L24" s="182">
        <f t="shared" si="9"/>
        <v>1.494882636133116</v>
      </c>
      <c r="M24" s="183">
        <f t="shared" si="10"/>
        <v>2.1775108777869474</v>
      </c>
      <c r="O24" s="178"/>
      <c r="S24" s="23"/>
    </row>
    <row r="25" spans="2:19" s="8" customFormat="1" x14ac:dyDescent="0.3">
      <c r="B25" s="3" t="s">
        <v>421</v>
      </c>
      <c r="C25" s="96"/>
      <c r="D25" s="100"/>
      <c r="E25" s="100"/>
      <c r="F25" s="101">
        <f>SUM('FA Loan '!C7:C12)</f>
        <v>580412.85474170803</v>
      </c>
      <c r="G25" s="101">
        <f>SUM('FA Loan '!C13:C24)+SUM('FA Loan '!H19:H24)</f>
        <v>1738461.1691694064</v>
      </c>
      <c r="H25" s="101">
        <f>SUM('FA Loan '!C25:C36)+SUM('FA Loan '!H25:H36)</f>
        <v>2064817.6408062489</v>
      </c>
      <c r="J25" s="181"/>
      <c r="K25" s="182"/>
      <c r="L25" s="182"/>
      <c r="M25" s="183"/>
      <c r="O25" s="178"/>
      <c r="S25" s="23"/>
    </row>
    <row r="26" spans="2:19" x14ac:dyDescent="0.3">
      <c r="B26" s="3" t="s">
        <v>279</v>
      </c>
      <c r="C26" s="79"/>
      <c r="D26" s="79">
        <f>SUM('PL-Corp:PL-D2C'!D25)</f>
        <v>0</v>
      </c>
      <c r="E26" s="79">
        <f>SUM('PL-Corp:PL-D2C'!E25)</f>
        <v>0</v>
      </c>
      <c r="F26" s="79">
        <f>SUM('PL-Corp:PL-D2C'!F25)</f>
        <v>0</v>
      </c>
      <c r="G26" s="79">
        <f>SUM('PL-Corp:PL-D2C'!G25)</f>
        <v>706031.83455596061</v>
      </c>
      <c r="H26" s="79">
        <f>SUM('PL-Corp:PL-D2C'!H25)</f>
        <v>3511101.5445589833</v>
      </c>
      <c r="J26" s="181"/>
      <c r="K26" s="182"/>
      <c r="L26" s="182"/>
      <c r="M26" s="183"/>
      <c r="O26" s="118"/>
      <c r="S26" s="3"/>
    </row>
    <row r="27" spans="2:19" x14ac:dyDescent="0.3">
      <c r="B27" s="3" t="s">
        <v>281</v>
      </c>
      <c r="C27" s="79"/>
      <c r="D27" s="79"/>
      <c r="E27" s="79"/>
      <c r="F27" s="79"/>
      <c r="G27" s="79"/>
      <c r="H27" s="79"/>
      <c r="J27" s="181"/>
      <c r="K27" s="182"/>
      <c r="L27" s="182"/>
      <c r="M27" s="183"/>
      <c r="O27" s="118"/>
      <c r="S27" s="3"/>
    </row>
    <row r="28" spans="2:19" x14ac:dyDescent="0.3">
      <c r="B28" s="73" t="s">
        <v>69</v>
      </c>
      <c r="C28" s="95"/>
      <c r="D28" s="85">
        <f>D24+D26+D27</f>
        <v>1231193.8005666642</v>
      </c>
      <c r="E28" s="85">
        <f t="shared" ref="E28" si="33">E24+E26+E27</f>
        <v>4817027.0689000003</v>
      </c>
      <c r="F28" s="85">
        <f>F24+F26+F27-F25</f>
        <v>16966948.4304583</v>
      </c>
      <c r="G28" s="85">
        <f>G24+G26+G27-G25</f>
        <v>25198816.360586524</v>
      </c>
      <c r="H28" s="85">
        <f>H24+H26+H27-H25</f>
        <v>58565106.742952712</v>
      </c>
      <c r="J28" s="181">
        <f t="shared" si="7"/>
        <v>3.9124848311313256</v>
      </c>
      <c r="K28" s="182">
        <f t="shared" si="8"/>
        <v>3.5222862956285637</v>
      </c>
      <c r="L28" s="182">
        <f t="shared" si="9"/>
        <v>1.4851707992081089</v>
      </c>
      <c r="M28" s="183">
        <f t="shared" si="10"/>
        <v>2.3241213358955388</v>
      </c>
      <c r="O28" s="187">
        <f>O3*D51</f>
        <v>3.0779845014166605</v>
      </c>
      <c r="P28" s="184">
        <f>P3*E51</f>
        <v>3.713125032277083</v>
      </c>
      <c r="Q28" s="184">
        <f>Q3*F51</f>
        <v>9.6581091065685722</v>
      </c>
      <c r="R28" s="184">
        <f>R3*G51</f>
        <v>8.9649635129009759</v>
      </c>
      <c r="S28" s="188">
        <f>S3*H51</f>
        <v>14.882616411327268</v>
      </c>
    </row>
    <row r="29" spans="2:19" x14ac:dyDescent="0.3">
      <c r="B29" s="3" t="s">
        <v>42</v>
      </c>
      <c r="C29" s="79"/>
      <c r="D29" s="79"/>
      <c r="E29" s="79">
        <f>E28*'PL Assumption'!E46</f>
        <v>1252427.0379140002</v>
      </c>
      <c r="F29" s="79">
        <f>F28*'PL Assumption'!F46</f>
        <v>4411406.5919191577</v>
      </c>
      <c r="G29" s="79">
        <f>G28*'PL Assumption'!G46</f>
        <v>6551692.2537524961</v>
      </c>
      <c r="H29" s="79">
        <f>H28*'PL Assumption'!H46</f>
        <v>15226927.753167706</v>
      </c>
      <c r="J29" s="181"/>
      <c r="K29" s="182"/>
      <c r="L29" s="182"/>
      <c r="M29" s="183"/>
      <c r="O29" s="118"/>
      <c r="S29" s="3"/>
    </row>
    <row r="30" spans="2:19" s="8" customFormat="1" ht="15" thickBot="1" x14ac:dyDescent="0.35">
      <c r="B30" s="9" t="s">
        <v>43</v>
      </c>
      <c r="C30" s="10"/>
      <c r="D30" s="69">
        <f>D28-D29</f>
        <v>1231193.8005666642</v>
      </c>
      <c r="E30" s="69">
        <f t="shared" ref="E30:H30" si="34">E28-E29</f>
        <v>3564600.0309859999</v>
      </c>
      <c r="F30" s="69">
        <f t="shared" si="34"/>
        <v>12555541.838539142</v>
      </c>
      <c r="G30" s="69">
        <f t="shared" si="34"/>
        <v>18647124.106834028</v>
      </c>
      <c r="H30" s="69">
        <f t="shared" si="34"/>
        <v>43338178.989785008</v>
      </c>
      <c r="I30" s="98"/>
      <c r="J30" s="230">
        <f t="shared" si="7"/>
        <v>2.8952387750371806</v>
      </c>
      <c r="K30" s="231">
        <f t="shared" si="8"/>
        <v>3.5222862956285641</v>
      </c>
      <c r="L30" s="231">
        <f t="shared" si="9"/>
        <v>1.4851707992081089</v>
      </c>
      <c r="M30" s="232">
        <f t="shared" si="10"/>
        <v>2.3241213358955388</v>
      </c>
      <c r="O30" s="288">
        <f>O3*D51</f>
        <v>3.0779845014166605</v>
      </c>
      <c r="P30" s="291">
        <f t="shared" ref="P30:S30" si="35">P3*E51</f>
        <v>3.713125032277083</v>
      </c>
      <c r="Q30" s="291">
        <f t="shared" si="35"/>
        <v>9.6581091065685722</v>
      </c>
      <c r="R30" s="291">
        <f t="shared" si="35"/>
        <v>8.9649635129009759</v>
      </c>
      <c r="S30" s="292">
        <f t="shared" si="35"/>
        <v>14.882616411327268</v>
      </c>
    </row>
    <row r="31" spans="2:19" ht="15" thickTop="1" x14ac:dyDescent="0.3">
      <c r="D31" s="66"/>
      <c r="E31" s="66"/>
      <c r="F31" s="66"/>
      <c r="G31" s="66"/>
      <c r="H31" s="66"/>
    </row>
    <row r="32" spans="2:19" x14ac:dyDescent="0.3">
      <c r="D32" s="66"/>
      <c r="E32" s="66"/>
      <c r="F32" s="66"/>
      <c r="G32" s="66"/>
      <c r="H32" s="66"/>
    </row>
    <row r="33" spans="2:8" x14ac:dyDescent="0.3">
      <c r="D33" s="138"/>
      <c r="E33" s="138"/>
      <c r="F33" s="138"/>
      <c r="G33" s="138"/>
      <c r="H33" s="138"/>
    </row>
    <row r="34" spans="2:8" x14ac:dyDescent="0.3">
      <c r="B34" s="177" t="s">
        <v>255</v>
      </c>
      <c r="C34" s="7"/>
      <c r="D34" s="86"/>
      <c r="E34" s="86"/>
      <c r="F34" s="86"/>
      <c r="G34" s="86"/>
      <c r="H34" s="152"/>
    </row>
    <row r="35" spans="2:8" x14ac:dyDescent="0.3">
      <c r="B35" s="118" t="s">
        <v>257</v>
      </c>
      <c r="C35" s="154"/>
      <c r="D35" s="155">
        <f>D7/D3</f>
        <v>0.68</v>
      </c>
      <c r="E35" s="155">
        <f t="shared" ref="E35:H35" si="36">E7/E3</f>
        <v>0.67</v>
      </c>
      <c r="F35" s="155">
        <f t="shared" si="36"/>
        <v>0.66</v>
      </c>
      <c r="G35" s="155">
        <f t="shared" si="36"/>
        <v>0.64000000000000012</v>
      </c>
      <c r="H35" s="156">
        <f t="shared" si="36"/>
        <v>0.63000000000000012</v>
      </c>
    </row>
    <row r="36" spans="2:8" x14ac:dyDescent="0.3">
      <c r="B36" s="118" t="s">
        <v>258</v>
      </c>
      <c r="C36" s="154"/>
      <c r="D36" s="155">
        <f>D4/D3</f>
        <v>0.28799999999999998</v>
      </c>
      <c r="E36" s="155">
        <f t="shared" ref="E36:H36" si="37">E4/E3</f>
        <v>0.46666666666666667</v>
      </c>
      <c r="F36" s="155">
        <f t="shared" si="37"/>
        <v>0.51692307692307693</v>
      </c>
      <c r="G36" s="155">
        <f t="shared" si="37"/>
        <v>0.38461538461538464</v>
      </c>
      <c r="H36" s="156">
        <f t="shared" si="37"/>
        <v>0.38461538461538464</v>
      </c>
    </row>
    <row r="37" spans="2:8" x14ac:dyDescent="0.3">
      <c r="B37" s="118" t="s">
        <v>381</v>
      </c>
      <c r="C37" s="154"/>
      <c r="D37" s="155">
        <f>D8/D3</f>
        <v>0</v>
      </c>
      <c r="E37" s="155">
        <f t="shared" ref="E37:H37" si="38">E8/E3</f>
        <v>0.05</v>
      </c>
      <c r="F37" s="155">
        <f t="shared" si="38"/>
        <v>4.4999999999999998E-2</v>
      </c>
      <c r="G37" s="155">
        <f t="shared" si="38"/>
        <v>4.4999999999999998E-2</v>
      </c>
      <c r="H37" s="156">
        <f t="shared" si="38"/>
        <v>0.04</v>
      </c>
    </row>
    <row r="38" spans="2:8" x14ac:dyDescent="0.3">
      <c r="B38" s="118" t="s">
        <v>256</v>
      </c>
      <c r="C38" s="154"/>
      <c r="D38" s="155">
        <f>D9/D3</f>
        <v>0.60799999999999987</v>
      </c>
      <c r="E38" s="155">
        <f t="shared" ref="E38:H38" si="39">E9/E3</f>
        <v>0.7466666666666667</v>
      </c>
      <c r="F38" s="155">
        <f t="shared" si="39"/>
        <v>0.81192307692307697</v>
      </c>
      <c r="G38" s="155">
        <f t="shared" si="39"/>
        <v>0.69961538461538442</v>
      </c>
      <c r="H38" s="156">
        <f t="shared" si="39"/>
        <v>0.71461538461538454</v>
      </c>
    </row>
    <row r="39" spans="2:8" x14ac:dyDescent="0.3">
      <c r="B39" s="118" t="s">
        <v>38</v>
      </c>
      <c r="D39" s="155">
        <f>D11/D5</f>
        <v>0.13826345755693581</v>
      </c>
      <c r="E39" s="155">
        <f t="shared" ref="E39:H39" si="40">E11/E5</f>
        <v>0.14989701704545455</v>
      </c>
      <c r="F39" s="155">
        <f t="shared" si="40"/>
        <v>0.15034888438133875</v>
      </c>
      <c r="G39" s="155">
        <f t="shared" si="40"/>
        <v>0.12547692708333333</v>
      </c>
      <c r="H39" s="156">
        <f t="shared" si="40"/>
        <v>0.10725993737599206</v>
      </c>
    </row>
    <row r="40" spans="2:8" x14ac:dyDescent="0.3">
      <c r="B40" s="118" t="s">
        <v>408</v>
      </c>
      <c r="D40" s="155">
        <f>D12/D3</f>
        <v>0.01</v>
      </c>
      <c r="E40" s="155">
        <f t="shared" ref="E40:H40" si="41">E12/E3</f>
        <v>0.01</v>
      </c>
      <c r="F40" s="155">
        <f t="shared" si="41"/>
        <v>0.01</v>
      </c>
      <c r="G40" s="155">
        <f t="shared" si="41"/>
        <v>0.01</v>
      </c>
      <c r="H40" s="156">
        <f t="shared" si="41"/>
        <v>0.01</v>
      </c>
    </row>
    <row r="41" spans="2:8" x14ac:dyDescent="0.3">
      <c r="B41" s="118" t="s">
        <v>377</v>
      </c>
      <c r="D41" s="155">
        <f>D13/D3</f>
        <v>0.05</v>
      </c>
      <c r="E41" s="155">
        <f t="shared" ref="E41:H41" si="42">E13/E3</f>
        <v>5.7291666666666664E-2</v>
      </c>
      <c r="F41" s="155">
        <f t="shared" si="42"/>
        <v>4.6538461538461549E-2</v>
      </c>
      <c r="G41" s="155">
        <f t="shared" si="42"/>
        <v>3.1995192307692315E-2</v>
      </c>
      <c r="H41" s="156">
        <f t="shared" si="42"/>
        <v>2.5139079670329679E-2</v>
      </c>
    </row>
    <row r="42" spans="2:8" s="8" customFormat="1" x14ac:dyDescent="0.3">
      <c r="B42" s="178" t="s">
        <v>239</v>
      </c>
      <c r="D42" s="169">
        <f>(D15+D16)/D3</f>
        <v>0.06</v>
      </c>
      <c r="E42" s="169">
        <f t="shared" ref="E42:H42" si="43">(E15+E16)/E3</f>
        <v>8.7499999999999994E-2</v>
      </c>
      <c r="F42" s="169">
        <f t="shared" si="43"/>
        <v>9.0769227692307719E-2</v>
      </c>
      <c r="G42" s="169">
        <f t="shared" si="43"/>
        <v>9.2307692307692313E-2</v>
      </c>
      <c r="H42" s="170">
        <f t="shared" si="43"/>
        <v>9.615384478021978E-2</v>
      </c>
    </row>
    <row r="43" spans="2:8" x14ac:dyDescent="0.3">
      <c r="B43" s="179" t="s">
        <v>237</v>
      </c>
      <c r="D43" s="155">
        <f>D15/D3</f>
        <v>1.4999999999999999E-2</v>
      </c>
      <c r="E43" s="155">
        <f t="shared" ref="E43:H43" si="44">E15/E3</f>
        <v>1.2500000000000001E-2</v>
      </c>
      <c r="F43" s="155">
        <f t="shared" si="44"/>
        <v>1.3846153846153848E-2</v>
      </c>
      <c r="G43" s="155">
        <f t="shared" si="44"/>
        <v>1.1538461538461539E-2</v>
      </c>
      <c r="H43" s="156">
        <f t="shared" si="44"/>
        <v>1.0302197802197802E-2</v>
      </c>
    </row>
    <row r="44" spans="2:8" x14ac:dyDescent="0.3">
      <c r="B44" s="179" t="s">
        <v>238</v>
      </c>
      <c r="D44" s="155">
        <f>D16/D3</f>
        <v>4.4999999999999998E-2</v>
      </c>
      <c r="E44" s="155">
        <f t="shared" ref="E44:H44" si="45">E16/E3</f>
        <v>7.4999999999999997E-2</v>
      </c>
      <c r="F44" s="155">
        <f t="shared" si="45"/>
        <v>7.6923073846153864E-2</v>
      </c>
      <c r="G44" s="155">
        <f t="shared" si="45"/>
        <v>8.0769230769230774E-2</v>
      </c>
      <c r="H44" s="156">
        <f t="shared" si="45"/>
        <v>8.5851646978021987E-2</v>
      </c>
    </row>
    <row r="45" spans="2:8" x14ac:dyDescent="0.3">
      <c r="B45" s="118" t="s">
        <v>324</v>
      </c>
      <c r="D45" s="154">
        <f>D17/D3</f>
        <v>0</v>
      </c>
      <c r="E45" s="154">
        <f t="shared" ref="E45:H45" si="46">E17/E3</f>
        <v>7.0000000000000007E-2</v>
      </c>
      <c r="F45" s="154">
        <f t="shared" si="46"/>
        <v>7.0000000000000007E-2</v>
      </c>
      <c r="G45" s="154">
        <f t="shared" si="46"/>
        <v>7.0000000000000007E-2</v>
      </c>
      <c r="H45" s="165">
        <f t="shared" si="46"/>
        <v>7.0000000000000007E-2</v>
      </c>
    </row>
    <row r="46" spans="2:8" x14ac:dyDescent="0.3">
      <c r="B46" s="167" t="s">
        <v>240</v>
      </c>
      <c r="D46" s="154">
        <f>D18/D5</f>
        <v>0.18439440993788819</v>
      </c>
      <c r="E46" s="154">
        <f t="shared" ref="E46:H46" si="47">E18/E5</f>
        <v>0.14517045454545455</v>
      </c>
      <c r="F46" s="154">
        <f t="shared" si="47"/>
        <v>0.11815415821501014</v>
      </c>
      <c r="G46" s="154">
        <f t="shared" si="47"/>
        <v>0.10885416666666667</v>
      </c>
      <c r="H46" s="165">
        <f t="shared" si="47"/>
        <v>9.5329861111111108E-2</v>
      </c>
    </row>
    <row r="47" spans="2:8" x14ac:dyDescent="0.3">
      <c r="B47" s="167" t="s">
        <v>278</v>
      </c>
      <c r="D47" s="155">
        <f>D19/D5</f>
        <v>1.9409937888198756E-2</v>
      </c>
      <c r="E47" s="155">
        <f t="shared" ref="E47:H47" si="48">E19/E5</f>
        <v>1.8749999999999999E-2</v>
      </c>
      <c r="F47" s="155">
        <f t="shared" si="48"/>
        <v>2.5354969574036511E-2</v>
      </c>
      <c r="G47" s="155">
        <f t="shared" si="48"/>
        <v>1.8472222222222223E-2</v>
      </c>
      <c r="H47" s="156">
        <f t="shared" si="48"/>
        <v>1.4045138888888888E-2</v>
      </c>
    </row>
    <row r="48" spans="2:8" x14ac:dyDescent="0.3">
      <c r="B48" s="167" t="s">
        <v>227</v>
      </c>
      <c r="D48" s="154">
        <f>D20/D3</f>
        <v>0.56058333333333332</v>
      </c>
      <c r="E48" s="154">
        <f t="shared" ref="E48:H48" si="49">E20/E3</f>
        <v>0.68505729166666662</v>
      </c>
      <c r="F48" s="154">
        <f t="shared" si="49"/>
        <v>0.66306768923076931</v>
      </c>
      <c r="G48" s="154">
        <f t="shared" si="49"/>
        <v>0.55433824519230768</v>
      </c>
      <c r="H48" s="165">
        <f t="shared" si="49"/>
        <v>0.50124899158653846</v>
      </c>
    </row>
    <row r="49" spans="2:8" x14ac:dyDescent="0.3">
      <c r="B49" s="118" t="s">
        <v>39</v>
      </c>
      <c r="D49" s="154">
        <f>D22/D3</f>
        <v>4.7416666666666607E-2</v>
      </c>
      <c r="E49" s="154">
        <f t="shared" ref="E49:H49" si="50">E22/E3</f>
        <v>6.1609375000000001E-2</v>
      </c>
      <c r="F49" s="154">
        <f t="shared" si="50"/>
        <v>0.14885538769230774</v>
      </c>
      <c r="G49" s="154">
        <f t="shared" si="50"/>
        <v>0.14527713942307677</v>
      </c>
      <c r="H49" s="298">
        <f t="shared" si="50"/>
        <v>0.21336639302884608</v>
      </c>
    </row>
    <row r="50" spans="2:8" x14ac:dyDescent="0.3">
      <c r="B50" s="118" t="s">
        <v>41</v>
      </c>
      <c r="D50" s="154">
        <f>D24/D3</f>
        <v>3.0779845014166606E-2</v>
      </c>
      <c r="E50" s="154">
        <f t="shared" ref="E50:H50" si="51">E24/E3</f>
        <v>5.0177365301041672E-2</v>
      </c>
      <c r="F50" s="154">
        <f t="shared" si="51"/>
        <v>0.13497970219384622</v>
      </c>
      <c r="G50" s="154">
        <f t="shared" si="51"/>
        <v>0.12611175814999986</v>
      </c>
      <c r="H50" s="165">
        <f t="shared" si="51"/>
        <v>0.19614980370604387</v>
      </c>
    </row>
    <row r="51" spans="2:8" x14ac:dyDescent="0.3">
      <c r="B51" s="137" t="s">
        <v>422</v>
      </c>
      <c r="C51" s="1"/>
      <c r="D51" s="193">
        <f>D30/D3</f>
        <v>3.0779845014166606E-2</v>
      </c>
      <c r="E51" s="193">
        <f t="shared" ref="E51:H51" si="52">E30/E3</f>
        <v>3.7131250322770828E-2</v>
      </c>
      <c r="F51" s="193">
        <f t="shared" si="52"/>
        <v>9.6581091065685715E-2</v>
      </c>
      <c r="G51" s="193">
        <f t="shared" si="52"/>
        <v>8.9649635129009753E-2</v>
      </c>
      <c r="H51" s="194">
        <f t="shared" si="52"/>
        <v>0.14882616411327268</v>
      </c>
    </row>
  </sheetData>
  <mergeCells count="2">
    <mergeCell ref="J1:M1"/>
    <mergeCell ref="O1:S1"/>
  </mergeCells>
  <pageMargins left="0.7" right="0.7" top="0.75" bottom="0.75" header="0.3" footer="0.3"/>
  <pageSetup orientation="portrait" r:id="rId1"/>
  <ignoredErrors>
    <ignoredError sqref="D4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"/>
  <sheetViews>
    <sheetView workbookViewId="0">
      <pane xSplit="2" ySplit="2" topLeftCell="C3" activePane="bottomRight" state="frozen"/>
      <selection activeCell="B13" sqref="B13"/>
      <selection pane="topRight" activeCell="B13" sqref="B13"/>
      <selection pane="bottomLeft" activeCell="B13" sqref="B13"/>
      <selection pane="bottomRight" activeCell="D11" sqref="D11"/>
    </sheetView>
  </sheetViews>
  <sheetFormatPr defaultColWidth="9.109375" defaultRowHeight="14.4" x14ac:dyDescent="0.3"/>
  <cols>
    <col min="1" max="1" width="4.88671875" customWidth="1"/>
    <col min="2" max="2" width="36.5546875" style="3" customWidth="1"/>
    <col min="3" max="3" width="13.6640625" customWidth="1"/>
    <col min="4" max="4" width="15.5546875" customWidth="1"/>
    <col min="5" max="5" width="13" customWidth="1"/>
    <col min="6" max="6" width="12.5546875" customWidth="1"/>
    <col min="7" max="7" width="13.88671875" customWidth="1"/>
    <col min="8" max="8" width="12.44140625" customWidth="1"/>
  </cols>
  <sheetData>
    <row r="1" spans="1:13" x14ac:dyDescent="0.3">
      <c r="B1" s="3" t="s">
        <v>385</v>
      </c>
      <c r="J1" s="313" t="s">
        <v>276</v>
      </c>
      <c r="K1" s="314"/>
      <c r="L1" s="314"/>
      <c r="M1" s="315"/>
    </row>
    <row r="2" spans="1:13" s="2" customFormat="1" x14ac:dyDescent="0.3">
      <c r="A2"/>
      <c r="B2" s="6"/>
      <c r="C2" s="2" t="s">
        <v>111</v>
      </c>
      <c r="D2" s="2" t="s">
        <v>112</v>
      </c>
      <c r="E2" s="2" t="s">
        <v>70</v>
      </c>
      <c r="F2" s="2" t="s">
        <v>71</v>
      </c>
      <c r="G2" s="2" t="s">
        <v>72</v>
      </c>
      <c r="H2" s="2" t="s">
        <v>73</v>
      </c>
      <c r="J2" s="178" t="s">
        <v>70</v>
      </c>
      <c r="K2" s="8" t="s">
        <v>71</v>
      </c>
      <c r="L2" s="8" t="s">
        <v>72</v>
      </c>
      <c r="M2" s="23" t="s">
        <v>73</v>
      </c>
    </row>
    <row r="3" spans="1:13" x14ac:dyDescent="0.3">
      <c r="B3" s="3" t="s">
        <v>120</v>
      </c>
      <c r="C3" s="244">
        <v>0</v>
      </c>
      <c r="D3" s="244">
        <v>0</v>
      </c>
      <c r="E3" s="244">
        <v>0</v>
      </c>
      <c r="F3" s="244">
        <v>0</v>
      </c>
      <c r="G3" s="244">
        <v>0</v>
      </c>
      <c r="H3" s="244">
        <v>0</v>
      </c>
      <c r="J3" s="118"/>
      <c r="M3" s="3"/>
    </row>
    <row r="4" spans="1:13" x14ac:dyDescent="0.3">
      <c r="B4" t="s">
        <v>228</v>
      </c>
      <c r="C4" s="244"/>
      <c r="D4" s="244">
        <f>COGS!C14</f>
        <v>11520000</v>
      </c>
      <c r="E4" s="244">
        <f>COGS!D14</f>
        <v>44800000</v>
      </c>
      <c r="F4" s="244">
        <f>COGS!E14</f>
        <v>67200000</v>
      </c>
      <c r="G4" s="244">
        <f>COGS!F14</f>
        <v>80000000</v>
      </c>
      <c r="H4" s="244">
        <f>COGS!G14</f>
        <v>112000000</v>
      </c>
      <c r="J4" s="283">
        <f>E4/D4</f>
        <v>3.8888888888888888</v>
      </c>
      <c r="K4" s="284">
        <f t="shared" ref="K4:M4" si="0">F4/E4</f>
        <v>1.5</v>
      </c>
      <c r="L4" s="284">
        <f t="shared" si="0"/>
        <v>1.1904761904761905</v>
      </c>
      <c r="M4" s="285">
        <f t="shared" si="0"/>
        <v>1.4</v>
      </c>
    </row>
    <row r="5" spans="1:13" x14ac:dyDescent="0.3">
      <c r="B5" s="72" t="s">
        <v>5</v>
      </c>
      <c r="C5" s="245">
        <v>0</v>
      </c>
      <c r="D5" s="245">
        <f>SUM(D3:D4)</f>
        <v>11520000</v>
      </c>
      <c r="E5" s="245">
        <f t="shared" ref="E5:H5" si="1">SUM(E3:E4)</f>
        <v>44800000</v>
      </c>
      <c r="F5" s="245">
        <f t="shared" si="1"/>
        <v>67200000</v>
      </c>
      <c r="G5" s="245">
        <f t="shared" si="1"/>
        <v>80000000</v>
      </c>
      <c r="H5" s="245">
        <f t="shared" si="1"/>
        <v>112000000</v>
      </c>
      <c r="J5" s="118"/>
      <c r="M5" s="3"/>
    </row>
    <row r="6" spans="1:13" x14ac:dyDescent="0.3">
      <c r="C6" s="8"/>
      <c r="D6" s="8"/>
      <c r="E6" s="8"/>
      <c r="F6" s="8"/>
      <c r="G6" s="8"/>
      <c r="H6" s="8"/>
      <c r="J6" s="118"/>
      <c r="M6" s="3"/>
    </row>
    <row r="7" spans="1:13" x14ac:dyDescent="0.3">
      <c r="B7" s="3" t="s">
        <v>36</v>
      </c>
      <c r="C7" s="244">
        <v>0</v>
      </c>
      <c r="D7" s="244">
        <v>0</v>
      </c>
      <c r="E7" s="244">
        <v>0</v>
      </c>
      <c r="F7" s="244">
        <v>0</v>
      </c>
      <c r="G7" s="244">
        <v>0</v>
      </c>
      <c r="H7" s="244">
        <v>0</v>
      </c>
      <c r="J7" s="118"/>
      <c r="M7" s="3"/>
    </row>
    <row r="8" spans="1:13" x14ac:dyDescent="0.3">
      <c r="B8" s="3" t="s">
        <v>381</v>
      </c>
      <c r="C8" s="244"/>
      <c r="D8" s="244"/>
      <c r="E8" s="244"/>
      <c r="F8" s="244"/>
      <c r="G8" s="244"/>
      <c r="H8" s="244"/>
      <c r="J8" s="118"/>
      <c r="M8" s="3"/>
    </row>
    <row r="9" spans="1:13" x14ac:dyDescent="0.3">
      <c r="B9" s="72" t="s">
        <v>37</v>
      </c>
      <c r="C9" s="245">
        <v>0</v>
      </c>
      <c r="D9" s="245">
        <f>D5-D7-D8</f>
        <v>11520000</v>
      </c>
      <c r="E9" s="245">
        <f t="shared" ref="E9:H9" si="2">E5-E7-E8</f>
        <v>44800000</v>
      </c>
      <c r="F9" s="245">
        <f t="shared" si="2"/>
        <v>67200000</v>
      </c>
      <c r="G9" s="245">
        <f t="shared" si="2"/>
        <v>80000000</v>
      </c>
      <c r="H9" s="245">
        <f t="shared" si="2"/>
        <v>112000000</v>
      </c>
      <c r="I9" s="8"/>
      <c r="J9" s="118"/>
      <c r="M9" s="3"/>
    </row>
    <row r="10" spans="1:13" x14ac:dyDescent="0.3">
      <c r="J10" s="118"/>
      <c r="M10" s="3"/>
    </row>
    <row r="11" spans="1:13" x14ac:dyDescent="0.3">
      <c r="B11" s="3" t="s">
        <v>38</v>
      </c>
      <c r="D11" s="239">
        <f>'Ppl Cost (D2C &amp; Corp.)'!F133+'Ppl Cost (D2C &amp; Corp.)'!F137</f>
        <v>4274000</v>
      </c>
      <c r="E11" s="239">
        <f>'Ppl Cost (D2C &amp; Corp.)'!I57</f>
        <v>11608025</v>
      </c>
      <c r="F11" s="239">
        <f>'Ppl Cost (D2C &amp; Corp.)'!L57</f>
        <v>14824400</v>
      </c>
      <c r="G11" s="239">
        <f>'Ppl Cost (D2C &amp; Corp.)'!O57</f>
        <v>16261809.75</v>
      </c>
      <c r="H11" s="239">
        <f>'Ppl Cost (D2C &amp; Corp.)'!R57</f>
        <v>17298882.700000003</v>
      </c>
      <c r="J11" s="283">
        <f>(E11:E12)/(D11:D12)</f>
        <v>2.7159627983153953</v>
      </c>
      <c r="K11" s="284">
        <f t="shared" ref="K11:M11" si="3">(F11:F12)/(E11:E12)</f>
        <v>1.2770820186896565</v>
      </c>
      <c r="L11" s="284">
        <f t="shared" si="3"/>
        <v>1.0969624234370363</v>
      </c>
      <c r="M11" s="285">
        <f t="shared" si="3"/>
        <v>1.0637735261907122</v>
      </c>
    </row>
    <row r="12" spans="1:13" x14ac:dyDescent="0.3">
      <c r="B12" s="3" t="s">
        <v>408</v>
      </c>
      <c r="D12" s="239">
        <f>'PL-D2C'!D3*'PL Assumption'!D62</f>
        <v>400000</v>
      </c>
      <c r="E12" s="239">
        <f>'PL-D2C'!E3*'PL Assumption'!E62</f>
        <v>960000</v>
      </c>
      <c r="F12" s="239">
        <f>'PL-D2C'!F3*'PL Assumption'!F62</f>
        <v>1299999.9999999998</v>
      </c>
      <c r="G12" s="239">
        <f>'PL-D2C'!G3*'PL Assumption'!G62</f>
        <v>2080000</v>
      </c>
      <c r="H12" s="239">
        <f>'PL-D2C'!H3*'PL Assumption'!H62</f>
        <v>2912000</v>
      </c>
      <c r="J12" s="118"/>
      <c r="M12" s="3"/>
    </row>
    <row r="13" spans="1:13" x14ac:dyDescent="0.3">
      <c r="B13" s="3" t="s">
        <v>377</v>
      </c>
      <c r="D13" s="239">
        <f>'PL Assumption'!D43</f>
        <v>2000000</v>
      </c>
      <c r="E13" s="239">
        <f>'PL Assumption'!E43</f>
        <v>5500000</v>
      </c>
      <c r="F13" s="239">
        <f>'PL Assumption'!F43</f>
        <v>6050000.0000000009</v>
      </c>
      <c r="G13" s="239">
        <f>'PL Assumption'!G43</f>
        <v>6655000.0000000019</v>
      </c>
      <c r="H13" s="239">
        <f>'PL Assumption'!H43</f>
        <v>7320500.0000000028</v>
      </c>
      <c r="J13" s="283">
        <f>E13/D13</f>
        <v>2.75</v>
      </c>
      <c r="K13" s="284">
        <f t="shared" ref="K13:M13" si="4">F13/E13</f>
        <v>1.1000000000000001</v>
      </c>
      <c r="L13" s="284">
        <f t="shared" si="4"/>
        <v>1.1000000000000001</v>
      </c>
      <c r="M13" s="285">
        <f t="shared" si="4"/>
        <v>1.1000000000000001</v>
      </c>
    </row>
    <row r="14" spans="1:13" x14ac:dyDescent="0.3">
      <c r="B14" s="3" t="s">
        <v>239</v>
      </c>
      <c r="J14" s="118"/>
      <c r="M14" s="3"/>
    </row>
    <row r="15" spans="1:13" x14ac:dyDescent="0.3">
      <c r="B15" s="246" t="s">
        <v>237</v>
      </c>
      <c r="C15" s="247">
        <v>0</v>
      </c>
      <c r="D15" s="247">
        <v>0</v>
      </c>
      <c r="E15" s="247">
        <v>0</v>
      </c>
      <c r="F15" s="247">
        <v>0</v>
      </c>
      <c r="G15" s="247">
        <v>0</v>
      </c>
      <c r="H15" s="247">
        <v>0</v>
      </c>
      <c r="J15" s="118"/>
      <c r="M15" s="3"/>
    </row>
    <row r="16" spans="1:13" x14ac:dyDescent="0.3">
      <c r="B16" s="246" t="s">
        <v>238</v>
      </c>
      <c r="C16" s="247">
        <v>0</v>
      </c>
      <c r="D16" s="247">
        <v>0</v>
      </c>
      <c r="E16" s="247">
        <v>0</v>
      </c>
      <c r="F16" s="247">
        <v>0</v>
      </c>
      <c r="G16" s="247">
        <v>0</v>
      </c>
      <c r="H16" s="247">
        <v>0</v>
      </c>
      <c r="J16" s="118"/>
      <c r="M16" s="3"/>
    </row>
    <row r="17" spans="2:13" x14ac:dyDescent="0.3">
      <c r="B17" s="3" t="s">
        <v>324</v>
      </c>
      <c r="C17" s="247">
        <v>0</v>
      </c>
      <c r="D17" s="247">
        <v>0</v>
      </c>
      <c r="E17" s="247">
        <v>0</v>
      </c>
      <c r="F17" s="247">
        <v>0</v>
      </c>
      <c r="G17" s="247">
        <v>0</v>
      </c>
      <c r="H17" s="247">
        <v>0</v>
      </c>
      <c r="J17" s="118"/>
      <c r="M17" s="3"/>
    </row>
    <row r="18" spans="2:13" x14ac:dyDescent="0.3">
      <c r="B18" s="140" t="s">
        <v>240</v>
      </c>
      <c r="C18" s="247">
        <v>0</v>
      </c>
      <c r="D18" s="239">
        <f>'PL-D2C'!D3*'PL Assumption'!D27*(1+'sensitivity analysis'!$B$7)</f>
        <v>6000000</v>
      </c>
      <c r="E18" s="239">
        <f>'PL-D2C'!E3*'PL Assumption'!E27*(1+'sensitivity analysis'!$B$7)</f>
        <v>13440000.000000002</v>
      </c>
      <c r="F18" s="239">
        <f>'PL-D2C'!F3*'PL Assumption'!F27*(1+'sensitivity analysis'!$B$7)</f>
        <v>15599999.999999998</v>
      </c>
      <c r="G18" s="239">
        <f>'PL-D2C'!G3*'PL Assumption'!G27*(1+'sensitivity analysis'!$B$7)</f>
        <v>22880000</v>
      </c>
      <c r="H18" s="239">
        <f>'PL-D2C'!H3*'PL Assumption'!H27*(1+'sensitivity analysis'!$B$7)</f>
        <v>29120000</v>
      </c>
      <c r="J18" s="283">
        <f>E18/D18</f>
        <v>2.2400000000000002</v>
      </c>
      <c r="K18" s="284">
        <f t="shared" ref="K18:M18" si="5">F18/E18</f>
        <v>1.1607142857142854</v>
      </c>
      <c r="L18" s="284">
        <f t="shared" si="5"/>
        <v>1.4666666666666668</v>
      </c>
      <c r="M18" s="285">
        <f t="shared" si="5"/>
        <v>1.2727272727272727</v>
      </c>
    </row>
    <row r="19" spans="2:13" x14ac:dyDescent="0.3">
      <c r="B19" s="140" t="s">
        <v>278</v>
      </c>
      <c r="C19" s="247">
        <v>0</v>
      </c>
      <c r="D19" s="247">
        <v>0</v>
      </c>
      <c r="E19" s="247">
        <v>0</v>
      </c>
      <c r="F19" s="247">
        <v>0</v>
      </c>
      <c r="G19" s="247">
        <v>0</v>
      </c>
      <c r="H19" s="247">
        <v>0</v>
      </c>
      <c r="J19" s="118"/>
      <c r="M19" s="3"/>
    </row>
    <row r="20" spans="2:13" x14ac:dyDescent="0.3">
      <c r="B20" s="14" t="s">
        <v>178</v>
      </c>
      <c r="C20" s="248"/>
      <c r="D20" s="86">
        <f>SUM(D11:D19)</f>
        <v>12674000</v>
      </c>
      <c r="E20" s="86">
        <f t="shared" ref="E20:H20" si="6">SUM(E11:E19)</f>
        <v>31508025</v>
      </c>
      <c r="F20" s="86">
        <f t="shared" si="6"/>
        <v>37774400</v>
      </c>
      <c r="G20" s="86">
        <f t="shared" si="6"/>
        <v>47876809.75</v>
      </c>
      <c r="H20" s="86">
        <f t="shared" si="6"/>
        <v>56651382.700000003</v>
      </c>
      <c r="J20" s="283">
        <f>E20/D20</f>
        <v>2.4860363736783966</v>
      </c>
      <c r="K20" s="284">
        <f t="shared" ref="K20" si="7">F20/E20</f>
        <v>1.1988818721579662</v>
      </c>
      <c r="L20" s="284">
        <f t="shared" ref="L20" si="8">G20/F20</f>
        <v>1.2674406410161378</v>
      </c>
      <c r="M20" s="285">
        <f t="shared" ref="M20" si="9">H20/G20</f>
        <v>1.1832739690847927</v>
      </c>
    </row>
    <row r="21" spans="2:13" x14ac:dyDescent="0.3">
      <c r="J21" s="118"/>
      <c r="M21" s="3"/>
    </row>
    <row r="22" spans="2:13" s="8" customFormat="1" x14ac:dyDescent="0.3">
      <c r="B22" s="73" t="s">
        <v>39</v>
      </c>
      <c r="C22" s="72">
        <v>0</v>
      </c>
      <c r="D22" s="249">
        <f>D9-D20</f>
        <v>-1154000</v>
      </c>
      <c r="E22" s="249">
        <f>E9-E20</f>
        <v>13291975</v>
      </c>
      <c r="F22" s="249">
        <f>F9-F20</f>
        <v>29425600</v>
      </c>
      <c r="G22" s="249">
        <f>G9-G20</f>
        <v>32123190.25</v>
      </c>
      <c r="H22" s="249">
        <f>H9-H20</f>
        <v>55348617.299999997</v>
      </c>
      <c r="J22" s="283">
        <f>E22/D22</f>
        <v>-11.518175909878682</v>
      </c>
      <c r="K22" s="284">
        <f t="shared" ref="K22" si="10">F22/E22</f>
        <v>2.2137868902100704</v>
      </c>
      <c r="L22" s="284">
        <f t="shared" ref="L22" si="11">G22/F22</f>
        <v>1.0916749446060574</v>
      </c>
      <c r="M22" s="285">
        <f t="shared" ref="M22" si="12">H22/G22</f>
        <v>1.7230112223987466</v>
      </c>
    </row>
    <row r="23" spans="2:13" x14ac:dyDescent="0.3">
      <c r="B23" s="3" t="s">
        <v>40</v>
      </c>
      <c r="J23" s="118"/>
      <c r="M23" s="3"/>
    </row>
    <row r="24" spans="2:13" s="8" customFormat="1" x14ac:dyDescent="0.3">
      <c r="B24" s="73" t="s">
        <v>41</v>
      </c>
      <c r="C24" s="72">
        <f t="shared" ref="C24:H24" si="13">C22-C23</f>
        <v>0</v>
      </c>
      <c r="D24" s="249">
        <f t="shared" si="13"/>
        <v>-1154000</v>
      </c>
      <c r="E24" s="249">
        <f t="shared" si="13"/>
        <v>13291975</v>
      </c>
      <c r="F24" s="249">
        <f t="shared" si="13"/>
        <v>29425600</v>
      </c>
      <c r="G24" s="249">
        <f t="shared" si="13"/>
        <v>32123190.25</v>
      </c>
      <c r="H24" s="249">
        <f t="shared" si="13"/>
        <v>55348617.299999997</v>
      </c>
      <c r="J24" s="178"/>
      <c r="M24" s="23"/>
    </row>
    <row r="25" spans="2:13" x14ac:dyDescent="0.3">
      <c r="B25" s="3" t="s">
        <v>279</v>
      </c>
      <c r="D25" s="239">
        <f>'PL Assumption'!D49</f>
        <v>0</v>
      </c>
      <c r="E25" s="239">
        <f>'PL Assumption'!E49</f>
        <v>0</v>
      </c>
      <c r="F25" s="239">
        <f>'PL Assumption'!F49</f>
        <v>0</v>
      </c>
      <c r="G25" s="239">
        <f>'PL Assumption'!G49</f>
        <v>706031.83455596061</v>
      </c>
      <c r="H25" s="239">
        <f>'PL Assumption'!H49</f>
        <v>3511101.5445589833</v>
      </c>
      <c r="J25" s="118"/>
      <c r="M25" s="3"/>
    </row>
    <row r="26" spans="2:13" x14ac:dyDescent="0.3">
      <c r="B26" s="3" t="s">
        <v>281</v>
      </c>
      <c r="D26" s="239"/>
      <c r="E26" s="239"/>
      <c r="F26" s="239"/>
      <c r="G26" s="239"/>
      <c r="H26" s="239"/>
      <c r="J26" s="118"/>
      <c r="M26" s="3"/>
    </row>
    <row r="27" spans="2:13" x14ac:dyDescent="0.3">
      <c r="B27" s="73" t="s">
        <v>69</v>
      </c>
      <c r="C27" s="72">
        <f>C24-C25</f>
        <v>0</v>
      </c>
      <c r="D27" s="85">
        <f>D24+D25+D26</f>
        <v>-1154000</v>
      </c>
      <c r="E27" s="85">
        <f t="shared" ref="E27:H27" si="14">E24+E25+E26</f>
        <v>13291975</v>
      </c>
      <c r="F27" s="85">
        <f t="shared" si="14"/>
        <v>29425600</v>
      </c>
      <c r="G27" s="85">
        <f t="shared" si="14"/>
        <v>32829222.084555961</v>
      </c>
      <c r="H27" s="85">
        <f t="shared" si="14"/>
        <v>58859718.844558984</v>
      </c>
      <c r="J27" s="118"/>
      <c r="M27" s="3"/>
    </row>
    <row r="28" spans="2:13" x14ac:dyDescent="0.3">
      <c r="B28" s="3" t="s">
        <v>42</v>
      </c>
      <c r="D28" s="239"/>
      <c r="E28" s="239"/>
      <c r="F28" s="239"/>
      <c r="G28" s="239"/>
      <c r="H28" s="239"/>
      <c r="J28" s="118"/>
      <c r="M28" s="3"/>
    </row>
    <row r="29" spans="2:13" s="8" customFormat="1" ht="15" thickBot="1" x14ac:dyDescent="0.35">
      <c r="B29" s="9" t="s">
        <v>43</v>
      </c>
      <c r="C29" s="10">
        <f t="shared" ref="C29" si="15">C27-C28</f>
        <v>0</v>
      </c>
      <c r="D29" s="250">
        <f>D27-D28</f>
        <v>-1154000</v>
      </c>
      <c r="E29" s="250">
        <f t="shared" ref="E29:H29" si="16">E27-E28</f>
        <v>13291975</v>
      </c>
      <c r="F29" s="250">
        <f t="shared" si="16"/>
        <v>29425600</v>
      </c>
      <c r="G29" s="250">
        <f t="shared" si="16"/>
        <v>32829222.084555961</v>
      </c>
      <c r="H29" s="250">
        <f t="shared" si="16"/>
        <v>58859718.844558984</v>
      </c>
      <c r="J29" s="180"/>
      <c r="K29" s="2"/>
      <c r="L29" s="2"/>
      <c r="M29" s="6"/>
    </row>
    <row r="30" spans="2:13" ht="15" thickTop="1" x14ac:dyDescent="0.3"/>
  </sheetData>
  <mergeCells count="1"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RowHeight="14.4" x14ac:dyDescent="0.3"/>
  <cols>
    <col min="1" max="1" width="4.88671875" customWidth="1"/>
    <col min="2" max="2" width="36.33203125" style="3" customWidth="1"/>
    <col min="3" max="4" width="13.6640625" customWidth="1"/>
    <col min="5" max="5" width="13" customWidth="1"/>
    <col min="6" max="6" width="12.5546875" customWidth="1"/>
    <col min="7" max="7" width="14.88671875" customWidth="1"/>
    <col min="8" max="8" width="12.44140625" customWidth="1"/>
    <col min="10" max="13" width="13" customWidth="1"/>
    <col min="14" max="14" width="13.44140625" customWidth="1"/>
  </cols>
  <sheetData>
    <row r="1" spans="1:19" x14ac:dyDescent="0.3">
      <c r="B1" s="3" t="s">
        <v>385</v>
      </c>
      <c r="J1" s="313" t="s">
        <v>276</v>
      </c>
      <c r="K1" s="314"/>
      <c r="L1" s="314"/>
      <c r="M1" s="315"/>
      <c r="O1" s="313" t="s">
        <v>277</v>
      </c>
      <c r="P1" s="314"/>
      <c r="Q1" s="314"/>
      <c r="R1" s="314"/>
      <c r="S1" s="315"/>
    </row>
    <row r="2" spans="1:19" s="2" customFormat="1" x14ac:dyDescent="0.3">
      <c r="A2"/>
      <c r="B2" s="6"/>
      <c r="C2" s="2" t="s">
        <v>111</v>
      </c>
      <c r="D2" s="2" t="s">
        <v>112</v>
      </c>
      <c r="E2" s="2" t="s">
        <v>70</v>
      </c>
      <c r="F2" s="2" t="s">
        <v>71</v>
      </c>
      <c r="G2" s="2" t="s">
        <v>72</v>
      </c>
      <c r="H2" s="2" t="s">
        <v>73</v>
      </c>
      <c r="J2" s="178" t="s">
        <v>70</v>
      </c>
      <c r="K2" s="8" t="s">
        <v>71</v>
      </c>
      <c r="L2" s="8" t="s">
        <v>72</v>
      </c>
      <c r="M2" s="23" t="s">
        <v>73</v>
      </c>
      <c r="O2" s="178" t="s">
        <v>112</v>
      </c>
      <c r="P2" s="8" t="s">
        <v>70</v>
      </c>
      <c r="Q2" s="8" t="s">
        <v>71</v>
      </c>
      <c r="R2" s="8" t="s">
        <v>72</v>
      </c>
      <c r="S2" s="23" t="s">
        <v>73</v>
      </c>
    </row>
    <row r="3" spans="1:19" s="8" customFormat="1" x14ac:dyDescent="0.3">
      <c r="B3" s="3" t="s">
        <v>120</v>
      </c>
      <c r="C3" s="79"/>
      <c r="D3" s="79">
        <f>'Revenue-D2C'!C16</f>
        <v>40000000</v>
      </c>
      <c r="E3" s="79">
        <f>'Revenue-D2C'!D16</f>
        <v>96000000</v>
      </c>
      <c r="F3" s="79">
        <f>'Revenue-D2C'!E16</f>
        <v>129999999.99999999</v>
      </c>
      <c r="G3" s="79">
        <f>'Revenue-D2C'!F16</f>
        <v>208000000</v>
      </c>
      <c r="H3" s="79">
        <f>'Revenue-D2C'!G16</f>
        <v>291200000</v>
      </c>
      <c r="J3" s="181">
        <f>IFERROR(E3/D3,0)</f>
        <v>2.4</v>
      </c>
      <c r="K3" s="182">
        <f t="shared" ref="K3:M3" si="0">IFERROR(F3/E3,0)</f>
        <v>1.3541666666666665</v>
      </c>
      <c r="L3" s="182">
        <f t="shared" si="0"/>
        <v>1.6</v>
      </c>
      <c r="M3" s="183">
        <f t="shared" si="0"/>
        <v>1.4</v>
      </c>
      <c r="O3" s="118">
        <v>100</v>
      </c>
      <c r="P3" s="101">
        <v>100</v>
      </c>
      <c r="Q3" s="101">
        <v>100</v>
      </c>
      <c r="R3" s="101">
        <v>100</v>
      </c>
      <c r="S3" s="186">
        <v>100</v>
      </c>
    </row>
    <row r="4" spans="1:19" s="8" customFormat="1" x14ac:dyDescent="0.3">
      <c r="B4" t="s">
        <v>228</v>
      </c>
      <c r="C4" s="79"/>
      <c r="D4" s="79">
        <v>0</v>
      </c>
      <c r="E4" s="79">
        <v>0</v>
      </c>
      <c r="F4" s="79">
        <v>0</v>
      </c>
      <c r="G4" s="79">
        <v>0</v>
      </c>
      <c r="H4" s="79">
        <v>0</v>
      </c>
      <c r="J4" s="181"/>
      <c r="K4" s="182"/>
      <c r="L4" s="182"/>
      <c r="M4" s="183"/>
      <c r="O4" s="118"/>
      <c r="P4" s="101"/>
      <c r="Q4" s="101"/>
      <c r="R4" s="101"/>
      <c r="S4" s="186"/>
    </row>
    <row r="5" spans="1:19" s="8" customFormat="1" x14ac:dyDescent="0.3">
      <c r="B5" s="72" t="s">
        <v>5</v>
      </c>
      <c r="C5" s="85">
        <v>0</v>
      </c>
      <c r="D5" s="85">
        <f>SUM(D3:D4)</f>
        <v>40000000</v>
      </c>
      <c r="E5" s="85">
        <f t="shared" ref="E5:H5" si="1">SUM(E3:E4)</f>
        <v>96000000</v>
      </c>
      <c r="F5" s="85">
        <f t="shared" si="1"/>
        <v>129999999.99999999</v>
      </c>
      <c r="G5" s="85">
        <f t="shared" si="1"/>
        <v>208000000</v>
      </c>
      <c r="H5" s="85">
        <f t="shared" si="1"/>
        <v>291200000</v>
      </c>
      <c r="J5" s="181">
        <f t="shared" ref="J5:J20" si="2">IFERROR(E5/D5,0)</f>
        <v>2.4</v>
      </c>
      <c r="K5" s="182">
        <f t="shared" ref="K5:K20" si="3">IFERROR(F5/E5,0)</f>
        <v>1.3541666666666665</v>
      </c>
      <c r="L5" s="182">
        <f t="shared" ref="L5:L20" si="4">IFERROR(G5/F5,0)</f>
        <v>1.6</v>
      </c>
      <c r="M5" s="183">
        <f t="shared" ref="M5:M20" si="5">IFERROR(H5/G5,0)</f>
        <v>1.4</v>
      </c>
      <c r="O5" s="178"/>
      <c r="S5" s="23"/>
    </row>
    <row r="6" spans="1:19" x14ac:dyDescent="0.3">
      <c r="C6" s="8"/>
      <c r="D6" s="8"/>
      <c r="E6" s="8"/>
      <c r="F6" s="8"/>
      <c r="G6" s="8"/>
      <c r="H6" s="8"/>
      <c r="J6" s="181"/>
      <c r="K6" s="182"/>
      <c r="L6" s="182"/>
      <c r="M6" s="183"/>
      <c r="O6" s="118"/>
      <c r="S6" s="3"/>
    </row>
    <row r="7" spans="1:19" x14ac:dyDescent="0.3">
      <c r="B7" s="3" t="s">
        <v>36</v>
      </c>
      <c r="C7" s="79"/>
      <c r="D7" s="79">
        <f>D5*COGS!C9</f>
        <v>27200000.000000004</v>
      </c>
      <c r="E7" s="79">
        <f>E5*COGS!D9</f>
        <v>64320000.000000007</v>
      </c>
      <c r="F7" s="79">
        <f>F5*COGS!E9</f>
        <v>85800000</v>
      </c>
      <c r="G7" s="79">
        <f>G5*COGS!F9</f>
        <v>133120000.00000003</v>
      </c>
      <c r="H7" s="79">
        <f>H5*COGS!G9</f>
        <v>183456000.00000003</v>
      </c>
      <c r="J7" s="181">
        <f t="shared" si="2"/>
        <v>2.3647058823529412</v>
      </c>
      <c r="K7" s="182">
        <f t="shared" si="3"/>
        <v>1.333955223880597</v>
      </c>
      <c r="L7" s="182">
        <f t="shared" si="4"/>
        <v>1.551515151515152</v>
      </c>
      <c r="M7" s="183">
        <f t="shared" si="5"/>
        <v>1.3781249999999998</v>
      </c>
      <c r="O7" s="192">
        <f t="shared" ref="O7" si="6">O3*D34</f>
        <v>68</v>
      </c>
      <c r="P7" s="99">
        <f t="shared" ref="P7" si="7">P3*E34</f>
        <v>67</v>
      </c>
      <c r="Q7" s="99">
        <f t="shared" ref="Q7" si="8">Q3*F34</f>
        <v>66</v>
      </c>
      <c r="R7" s="99">
        <f t="shared" ref="R7" si="9">R3*G34</f>
        <v>64.000000000000014</v>
      </c>
      <c r="S7" s="131">
        <f t="shared" ref="S7" si="10">S3*H34</f>
        <v>63.000000000000014</v>
      </c>
    </row>
    <row r="8" spans="1:19" x14ac:dyDescent="0.3">
      <c r="B8" s="3" t="s">
        <v>381</v>
      </c>
      <c r="C8" s="79"/>
      <c r="D8" s="79">
        <f>D3*'PL Assumption'!D41</f>
        <v>0</v>
      </c>
      <c r="E8" s="79">
        <f>E3*'PL Assumption'!E41</f>
        <v>4800000</v>
      </c>
      <c r="F8" s="79">
        <f>F3*'PL Assumption'!F41</f>
        <v>5849999.9999999991</v>
      </c>
      <c r="G8" s="79">
        <f>G3*'PL Assumption'!G41</f>
        <v>9360000</v>
      </c>
      <c r="H8" s="79">
        <f>H3*'PL Assumption'!H41</f>
        <v>11648000</v>
      </c>
      <c r="J8" s="181">
        <f t="shared" si="2"/>
        <v>0</v>
      </c>
      <c r="K8" s="182">
        <f t="shared" si="3"/>
        <v>1.2187499999999998</v>
      </c>
      <c r="L8" s="182">
        <f t="shared" si="4"/>
        <v>1.6000000000000003</v>
      </c>
      <c r="M8" s="183">
        <f t="shared" si="5"/>
        <v>1.2444444444444445</v>
      </c>
      <c r="O8" s="192">
        <f>O3*D35</f>
        <v>0</v>
      </c>
      <c r="P8" s="99">
        <f t="shared" ref="P8:S8" si="11">P3*E35</f>
        <v>5</v>
      </c>
      <c r="Q8" s="99">
        <f t="shared" si="11"/>
        <v>4.5</v>
      </c>
      <c r="R8" s="99">
        <f t="shared" si="11"/>
        <v>4.5</v>
      </c>
      <c r="S8" s="131">
        <f t="shared" si="11"/>
        <v>4</v>
      </c>
    </row>
    <row r="9" spans="1:19" s="8" customFormat="1" x14ac:dyDescent="0.3">
      <c r="B9" s="73" t="s">
        <v>37</v>
      </c>
      <c r="C9" s="85">
        <v>0</v>
      </c>
      <c r="D9" s="85">
        <f>D5-D7-D8</f>
        <v>12799999.999999996</v>
      </c>
      <c r="E9" s="85">
        <f t="shared" ref="E9:H9" si="12">E5-E7-E8</f>
        <v>26879999.999999993</v>
      </c>
      <c r="F9" s="85">
        <f t="shared" si="12"/>
        <v>38349999.999999985</v>
      </c>
      <c r="G9" s="85">
        <f t="shared" si="12"/>
        <v>65519999.99999997</v>
      </c>
      <c r="H9" s="85">
        <f t="shared" si="12"/>
        <v>96095999.99999997</v>
      </c>
      <c r="J9" s="181">
        <f t="shared" si="2"/>
        <v>2.1</v>
      </c>
      <c r="K9" s="182">
        <f t="shared" si="3"/>
        <v>1.4267113095238093</v>
      </c>
      <c r="L9" s="182">
        <f t="shared" si="4"/>
        <v>1.7084745762711864</v>
      </c>
      <c r="M9" s="183">
        <f t="shared" si="5"/>
        <v>1.4666666666666668</v>
      </c>
      <c r="O9" s="189">
        <f t="shared" ref="O9" si="13">O3*D36</f>
        <v>31.999999999999989</v>
      </c>
      <c r="P9" s="101">
        <f t="shared" ref="P9" si="14">P3*E36</f>
        <v>27.999999999999993</v>
      </c>
      <c r="Q9" s="101">
        <f t="shared" ref="Q9" si="15">Q3*F36</f>
        <v>29.499999999999993</v>
      </c>
      <c r="R9" s="101">
        <f t="shared" ref="R9" si="16">R3*G36</f>
        <v>31.499999999999982</v>
      </c>
      <c r="S9" s="186">
        <f t="shared" ref="S9" si="17">S3*H36</f>
        <v>32.999999999999993</v>
      </c>
    </row>
    <row r="10" spans="1:19" x14ac:dyDescent="0.3">
      <c r="J10" s="181"/>
      <c r="K10" s="182"/>
      <c r="L10" s="182"/>
      <c r="M10" s="183"/>
      <c r="O10" s="118"/>
      <c r="S10" s="3"/>
    </row>
    <row r="11" spans="1:19" x14ac:dyDescent="0.3">
      <c r="B11" s="3" t="s">
        <v>38</v>
      </c>
      <c r="D11" s="239">
        <f>'Ppl Cost (D2C &amp; Corp.)'!F134+'Ppl Cost (D2C &amp; Corp.)'!F138</f>
        <v>2849333.333333333</v>
      </c>
      <c r="E11" s="239">
        <f>'Ppl Cost (D2C &amp; Corp.)'!I114</f>
        <v>9497475</v>
      </c>
      <c r="F11" s="239">
        <f>'Ppl Cost (D2C &amp; Corp.)'!L114</f>
        <v>14824400</v>
      </c>
      <c r="G11" s="239">
        <f>'Ppl Cost (D2C &amp; Corp.)'!O114</f>
        <v>19875545.25</v>
      </c>
      <c r="H11" s="239">
        <f>'Ppl Cost (D2C &amp; Corp.)'!R114</f>
        <v>25948324.050000001</v>
      </c>
      <c r="J11" s="181"/>
      <c r="K11" s="182"/>
      <c r="L11" s="182"/>
      <c r="M11" s="183"/>
      <c r="O11" s="192">
        <f t="shared" ref="O11" si="18">O3*D37</f>
        <v>0</v>
      </c>
      <c r="P11" s="99">
        <f>P3*E37</f>
        <v>0</v>
      </c>
      <c r="Q11" s="99">
        <f>Q3*F37</f>
        <v>0</v>
      </c>
      <c r="R11" s="99">
        <f>R3*G37</f>
        <v>0</v>
      </c>
      <c r="S11" s="131">
        <f>S3*H37</f>
        <v>0</v>
      </c>
    </row>
    <row r="12" spans="1:19" x14ac:dyDescent="0.3">
      <c r="B12" s="3" t="s">
        <v>408</v>
      </c>
      <c r="D12" s="239"/>
      <c r="E12" s="239"/>
      <c r="F12" s="239"/>
      <c r="G12" s="239"/>
      <c r="H12" s="239"/>
      <c r="J12" s="282"/>
      <c r="K12" s="286"/>
      <c r="L12" s="286"/>
      <c r="M12" s="286"/>
      <c r="N12" s="282"/>
      <c r="O12" s="192"/>
      <c r="P12" s="99"/>
      <c r="Q12" s="99"/>
      <c r="R12" s="99"/>
      <c r="S12" s="131"/>
    </row>
    <row r="13" spans="1:19" x14ac:dyDescent="0.3">
      <c r="B13" s="3" t="s">
        <v>377</v>
      </c>
      <c r="D13" s="239">
        <v>0</v>
      </c>
      <c r="E13" s="239">
        <v>0</v>
      </c>
      <c r="F13" s="239">
        <v>0</v>
      </c>
      <c r="G13" s="239">
        <v>0</v>
      </c>
      <c r="H13" s="239">
        <v>0</v>
      </c>
      <c r="J13" s="181"/>
      <c r="K13" s="182"/>
      <c r="L13" s="182"/>
      <c r="M13" s="182"/>
      <c r="N13" s="181"/>
      <c r="O13" s="192"/>
      <c r="P13" s="99"/>
      <c r="Q13" s="99"/>
      <c r="R13" s="99"/>
      <c r="S13" s="131"/>
    </row>
    <row r="14" spans="1:19" x14ac:dyDescent="0.3">
      <c r="B14" s="3" t="s">
        <v>239</v>
      </c>
      <c r="D14" s="71"/>
      <c r="E14" s="71"/>
      <c r="F14" s="71"/>
      <c r="G14" s="71"/>
      <c r="H14" s="71"/>
      <c r="J14" s="181"/>
      <c r="K14" s="182"/>
      <c r="L14" s="182"/>
      <c r="M14" s="183"/>
      <c r="O14" s="192">
        <f t="shared" ref="O14" si="19">O3*D38</f>
        <v>6</v>
      </c>
      <c r="P14" s="99">
        <f t="shared" ref="P14" si="20">P3*E38</f>
        <v>8.75</v>
      </c>
      <c r="Q14" s="99">
        <f t="shared" ref="Q14" si="21">Q3*F38</f>
        <v>9.0769227692307712</v>
      </c>
      <c r="R14" s="99">
        <f t="shared" ref="R14" si="22">R3*G38</f>
        <v>9.2307692307692317</v>
      </c>
      <c r="S14" s="131">
        <f t="shared" ref="S14" si="23">S3*H38</f>
        <v>9.6153844780219782</v>
      </c>
    </row>
    <row r="15" spans="1:19" x14ac:dyDescent="0.3">
      <c r="B15" s="139" t="s">
        <v>237</v>
      </c>
      <c r="D15" s="239">
        <f>'PL Assumption'!D18</f>
        <v>600000</v>
      </c>
      <c r="E15" s="239">
        <f>'PL Assumption'!E18</f>
        <v>1200000</v>
      </c>
      <c r="F15" s="239">
        <f>'PL Assumption'!F18</f>
        <v>1800000</v>
      </c>
      <c r="G15" s="239">
        <f>'PL Assumption'!G18</f>
        <v>2400000</v>
      </c>
      <c r="H15" s="239">
        <f>'PL Assumption'!H18</f>
        <v>3000000</v>
      </c>
      <c r="J15" s="181">
        <f t="shared" si="2"/>
        <v>2</v>
      </c>
      <c r="K15" s="182">
        <f t="shared" si="3"/>
        <v>1.5</v>
      </c>
      <c r="L15" s="182">
        <f t="shared" si="4"/>
        <v>1.3333333333333333</v>
      </c>
      <c r="M15" s="183">
        <f t="shared" si="5"/>
        <v>1.25</v>
      </c>
      <c r="O15" s="118"/>
      <c r="S15" s="3"/>
    </row>
    <row r="16" spans="1:19" x14ac:dyDescent="0.3">
      <c r="B16" s="139" t="s">
        <v>238</v>
      </c>
      <c r="D16" s="239">
        <f>'PL Assumption'!D22</f>
        <v>1800000</v>
      </c>
      <c r="E16" s="239">
        <f>'PL Assumption'!E22</f>
        <v>7200000</v>
      </c>
      <c r="F16" s="239">
        <f>'PL Assumption'!F22</f>
        <v>9999999.6000000015</v>
      </c>
      <c r="G16" s="239">
        <f>'PL Assumption'!G22</f>
        <v>16800000</v>
      </c>
      <c r="H16" s="239">
        <f>'PL Assumption'!H22</f>
        <v>24999999.600000001</v>
      </c>
      <c r="J16" s="181">
        <f t="shared" si="2"/>
        <v>4</v>
      </c>
      <c r="K16" s="182">
        <f t="shared" si="3"/>
        <v>1.3888888333333336</v>
      </c>
      <c r="L16" s="182">
        <f t="shared" si="4"/>
        <v>1.6800000672000024</v>
      </c>
      <c r="M16" s="183">
        <f t="shared" si="5"/>
        <v>1.4880952142857145</v>
      </c>
      <c r="O16" s="118"/>
      <c r="S16" s="3"/>
    </row>
    <row r="17" spans="2:19" x14ac:dyDescent="0.3">
      <c r="B17" s="3" t="s">
        <v>324</v>
      </c>
      <c r="D17" s="239">
        <f>'PL Assumption'!D12</f>
        <v>0</v>
      </c>
      <c r="E17" s="239">
        <f>'PL Assumption'!E12</f>
        <v>6720000.0000000009</v>
      </c>
      <c r="F17" s="239">
        <f>'PL Assumption'!F12</f>
        <v>9100000</v>
      </c>
      <c r="G17" s="239">
        <f>'PL Assumption'!G12</f>
        <v>14560000.000000002</v>
      </c>
      <c r="H17" s="239">
        <f>'PL Assumption'!H12</f>
        <v>20384000.000000004</v>
      </c>
      <c r="J17" s="181">
        <f t="shared" si="2"/>
        <v>0</v>
      </c>
      <c r="K17" s="182">
        <f t="shared" si="3"/>
        <v>1.3541666666666665</v>
      </c>
      <c r="L17" s="182">
        <f t="shared" si="4"/>
        <v>1.6000000000000003</v>
      </c>
      <c r="M17" s="183">
        <f t="shared" si="5"/>
        <v>1.4000000000000001</v>
      </c>
      <c r="O17" s="278">
        <f>O3*D41</f>
        <v>0</v>
      </c>
      <c r="P17" s="277">
        <f t="shared" ref="P17:S17" si="24">P3*E41</f>
        <v>7.0000000000000009</v>
      </c>
      <c r="Q17" s="277">
        <f t="shared" si="24"/>
        <v>7.0000000000000009</v>
      </c>
      <c r="R17" s="277">
        <f t="shared" si="24"/>
        <v>7.0000000000000009</v>
      </c>
      <c r="S17" s="279">
        <f t="shared" si="24"/>
        <v>7.0000000000000009</v>
      </c>
    </row>
    <row r="18" spans="2:19" x14ac:dyDescent="0.3">
      <c r="B18" s="140" t="s">
        <v>240</v>
      </c>
      <c r="D18" s="71">
        <f>'PL Assumption'!D30*(1+'sensitivity analysis'!$B$7)</f>
        <v>3500000</v>
      </c>
      <c r="E18" s="71">
        <f>'PL Assumption'!E30*(1+'sensitivity analysis'!$B$7)</f>
        <v>7000000</v>
      </c>
      <c r="F18" s="71">
        <f>'PL Assumption'!F30*(1+'sensitivity analysis'!$B$7)</f>
        <v>7700000.0000000009</v>
      </c>
      <c r="G18" s="71">
        <f>'PL Assumption'!G30*(1+'sensitivity analysis'!$B$7)</f>
        <v>8470000.0000000019</v>
      </c>
      <c r="H18" s="71">
        <f>'PL Assumption'!H30*(1+'sensitivity analysis'!$B$7)</f>
        <v>9317000.0000000037</v>
      </c>
      <c r="J18" s="181">
        <f t="shared" si="2"/>
        <v>2</v>
      </c>
      <c r="K18" s="182">
        <f t="shared" si="3"/>
        <v>1.1000000000000001</v>
      </c>
      <c r="L18" s="182">
        <f t="shared" si="4"/>
        <v>1.1000000000000001</v>
      </c>
      <c r="M18" s="183">
        <f t="shared" si="5"/>
        <v>1.1000000000000001</v>
      </c>
      <c r="O18" s="192">
        <f t="shared" ref="O18" si="25">O3*D42</f>
        <v>8.75</v>
      </c>
      <c r="P18" s="99">
        <f t="shared" ref="P18" si="26">P3*E42</f>
        <v>7.291666666666667</v>
      </c>
      <c r="Q18" s="99">
        <f t="shared" ref="Q18" si="27">Q3*F42</f>
        <v>5.9230769230769242</v>
      </c>
      <c r="R18" s="99">
        <f t="shared" ref="R18" si="28">R3*G42</f>
        <v>4.0721153846153859</v>
      </c>
      <c r="S18" s="131">
        <f t="shared" ref="S18" si="29">S3*H42</f>
        <v>3.1995192307692322</v>
      </c>
    </row>
    <row r="19" spans="2:19" x14ac:dyDescent="0.3">
      <c r="B19" s="140" t="s">
        <v>278</v>
      </c>
      <c r="D19" s="71">
        <f>'PL Assumption'!D36</f>
        <v>1000000</v>
      </c>
      <c r="E19" s="71">
        <f>'PL Assumption'!E36</f>
        <v>2640000</v>
      </c>
      <c r="F19" s="71">
        <f>'PL Assumption'!F36</f>
        <v>5000000</v>
      </c>
      <c r="G19" s="71">
        <f>'PL Assumption'!G36</f>
        <v>5320000</v>
      </c>
      <c r="H19" s="71">
        <f>'PL Assumption'!H36</f>
        <v>5663000</v>
      </c>
      <c r="J19" s="181">
        <f t="shared" si="2"/>
        <v>2.64</v>
      </c>
      <c r="K19" s="182">
        <f t="shared" si="3"/>
        <v>1.893939393939394</v>
      </c>
      <c r="L19" s="182">
        <f t="shared" si="4"/>
        <v>1.0640000000000001</v>
      </c>
      <c r="M19" s="183">
        <f t="shared" si="5"/>
        <v>1.0644736842105262</v>
      </c>
      <c r="O19" s="192">
        <f>O3*D43</f>
        <v>2.5</v>
      </c>
      <c r="P19" s="99">
        <f t="shared" ref="P19:S19" si="30">P3*E43</f>
        <v>2.75</v>
      </c>
      <c r="Q19" s="99">
        <f t="shared" si="30"/>
        <v>3.8461538461538463</v>
      </c>
      <c r="R19" s="99">
        <f t="shared" si="30"/>
        <v>2.5576923076923075</v>
      </c>
      <c r="S19" s="131">
        <f t="shared" si="30"/>
        <v>1.9447115384615385</v>
      </c>
    </row>
    <row r="20" spans="2:19" x14ac:dyDescent="0.3">
      <c r="B20" s="14" t="s">
        <v>178</v>
      </c>
      <c r="C20" s="7"/>
      <c r="D20" s="86">
        <f>SUM(D11:D19)-D14</f>
        <v>9749333.3333333321</v>
      </c>
      <c r="E20" s="86">
        <f t="shared" ref="E20:H20" si="31">SUM(E11:E19)-E14</f>
        <v>34257475</v>
      </c>
      <c r="F20" s="86">
        <f t="shared" si="31"/>
        <v>48424399.600000001</v>
      </c>
      <c r="G20" s="86">
        <f t="shared" si="31"/>
        <v>67425545.25</v>
      </c>
      <c r="H20" s="86">
        <f t="shared" si="31"/>
        <v>89312323.650000006</v>
      </c>
      <c r="J20" s="181">
        <f t="shared" si="2"/>
        <v>3.5138274411925607</v>
      </c>
      <c r="K20" s="182">
        <f t="shared" si="3"/>
        <v>1.4135425801230244</v>
      </c>
      <c r="L20" s="182">
        <f t="shared" si="4"/>
        <v>1.3923878418102265</v>
      </c>
      <c r="M20" s="183">
        <f t="shared" si="5"/>
        <v>1.3246066208118652</v>
      </c>
      <c r="O20" s="192">
        <f t="shared" ref="O20" si="32">O3*D44</f>
        <v>24.373333333333331</v>
      </c>
      <c r="P20" s="99">
        <f t="shared" ref="P20" si="33">P3*E44</f>
        <v>35.684869791666671</v>
      </c>
      <c r="Q20" s="99">
        <f t="shared" ref="Q20" si="34">Q3*F44</f>
        <v>37.24953815384616</v>
      </c>
      <c r="R20" s="99">
        <f t="shared" ref="R20" si="35">R3*G44</f>
        <v>32.416127524038465</v>
      </c>
      <c r="S20" s="131">
        <f t="shared" ref="S20" si="36">S3*H44</f>
        <v>30.670440813873629</v>
      </c>
    </row>
    <row r="21" spans="2:19" x14ac:dyDescent="0.3">
      <c r="C21" s="71"/>
      <c r="D21" s="71"/>
      <c r="E21" s="71"/>
      <c r="F21" s="71"/>
      <c r="G21" s="71"/>
      <c r="H21" s="71"/>
      <c r="J21" s="181"/>
      <c r="K21" s="182"/>
      <c r="L21" s="182"/>
      <c r="M21" s="183"/>
      <c r="O21" s="118"/>
      <c r="S21" s="3"/>
    </row>
    <row r="22" spans="2:19" s="8" customFormat="1" x14ac:dyDescent="0.3">
      <c r="B22" s="73" t="s">
        <v>39</v>
      </c>
      <c r="C22" s="85">
        <v>0</v>
      </c>
      <c r="D22" s="95">
        <f>D9-D20</f>
        <v>3050666.6666666642</v>
      </c>
      <c r="E22" s="95">
        <f t="shared" ref="E22:H22" si="37">E9-E20</f>
        <v>-7377475.0000000075</v>
      </c>
      <c r="F22" s="95">
        <f t="shared" si="37"/>
        <v>-10074399.600000016</v>
      </c>
      <c r="G22" s="95">
        <f t="shared" si="37"/>
        <v>-1905545.2500000298</v>
      </c>
      <c r="H22" s="95">
        <f t="shared" si="37"/>
        <v>6783676.3499999642</v>
      </c>
      <c r="I22" s="98"/>
      <c r="J22" s="181">
        <f t="shared" ref="J22:J29" si="38">IFERROR(E22/D22,0)</f>
        <v>-2.4183156687062981</v>
      </c>
      <c r="K22" s="182">
        <f t="shared" ref="K22:K29" si="39">IFERROR(F22/E22,0)</f>
        <v>1.3655620113927878</v>
      </c>
      <c r="L22" s="182">
        <f t="shared" ref="L22:L29" si="40">IFERROR(G22/F22,0)</f>
        <v>0.18914727682630603</v>
      </c>
      <c r="M22" s="183">
        <f t="shared" ref="M22:M29" si="41">IFERROR(H22/G22,0)</f>
        <v>-3.5599660254721623</v>
      </c>
      <c r="O22" s="192">
        <f t="shared" ref="O22" si="42">O3*D45</f>
        <v>7.6266666666666607</v>
      </c>
      <c r="P22" s="99">
        <f t="shared" ref="P22" si="43">P3*E45</f>
        <v>-7.6848697916666753</v>
      </c>
      <c r="Q22" s="99">
        <f t="shared" ref="Q22" si="44">Q3*F45</f>
        <v>-7.7495381538461681</v>
      </c>
      <c r="R22" s="99">
        <f t="shared" ref="R22" si="45">R3*G45</f>
        <v>-0.91612752403847586</v>
      </c>
      <c r="S22" s="131">
        <f t="shared" ref="S22" si="46">S3*H45</f>
        <v>2.3295591861263611</v>
      </c>
    </row>
    <row r="23" spans="2:19" x14ac:dyDescent="0.3">
      <c r="B23" s="3" t="s">
        <v>40</v>
      </c>
      <c r="J23" s="181">
        <f t="shared" si="38"/>
        <v>0</v>
      </c>
      <c r="K23" s="182">
        <f t="shared" si="39"/>
        <v>0</v>
      </c>
      <c r="L23" s="182">
        <f t="shared" si="40"/>
        <v>0</v>
      </c>
      <c r="M23" s="183">
        <f t="shared" si="41"/>
        <v>0</v>
      </c>
      <c r="O23" s="118"/>
      <c r="S23" s="3"/>
    </row>
    <row r="24" spans="2:19" s="8" customFormat="1" x14ac:dyDescent="0.3">
      <c r="B24" s="73" t="s">
        <v>41</v>
      </c>
      <c r="C24" s="85">
        <v>0</v>
      </c>
      <c r="D24" s="85">
        <f>D22-D23</f>
        <v>3050666.6666666642</v>
      </c>
      <c r="E24" s="85">
        <f t="shared" ref="E24:H24" si="47">E22-E23</f>
        <v>-7377475.0000000075</v>
      </c>
      <c r="F24" s="85">
        <f t="shared" si="47"/>
        <v>-10074399.600000016</v>
      </c>
      <c r="G24" s="85">
        <f t="shared" si="47"/>
        <v>-1905545.2500000298</v>
      </c>
      <c r="H24" s="85">
        <f t="shared" si="47"/>
        <v>6783676.3499999642</v>
      </c>
      <c r="J24" s="181">
        <f t="shared" si="38"/>
        <v>-2.4183156687062981</v>
      </c>
      <c r="K24" s="182">
        <f t="shared" si="39"/>
        <v>1.3655620113927878</v>
      </c>
      <c r="L24" s="182">
        <f t="shared" si="40"/>
        <v>0.18914727682630603</v>
      </c>
      <c r="M24" s="183">
        <f t="shared" si="41"/>
        <v>-3.5599660254721623</v>
      </c>
      <c r="O24" s="178"/>
      <c r="S24" s="23"/>
    </row>
    <row r="25" spans="2:19" x14ac:dyDescent="0.3">
      <c r="B25" s="3" t="s">
        <v>279</v>
      </c>
      <c r="J25" s="181"/>
      <c r="K25" s="182"/>
      <c r="L25" s="182"/>
      <c r="M25" s="183"/>
      <c r="O25" s="118"/>
      <c r="S25" s="3"/>
    </row>
    <row r="26" spans="2:19" x14ac:dyDescent="0.3">
      <c r="B26" s="3" t="s">
        <v>281</v>
      </c>
      <c r="J26" s="181"/>
      <c r="K26" s="182"/>
      <c r="L26" s="182"/>
      <c r="M26" s="183"/>
      <c r="O26" s="118"/>
      <c r="S26" s="3"/>
    </row>
    <row r="27" spans="2:19" s="8" customFormat="1" x14ac:dyDescent="0.3">
      <c r="B27" s="73" t="s">
        <v>69</v>
      </c>
      <c r="C27" s="85">
        <v>0</v>
      </c>
      <c r="D27" s="85">
        <f>D24+D25+D26</f>
        <v>3050666.6666666642</v>
      </c>
      <c r="E27" s="85">
        <f t="shared" ref="E27:H27" si="48">E24+E25+E26</f>
        <v>-7377475.0000000075</v>
      </c>
      <c r="F27" s="85">
        <f t="shared" si="48"/>
        <v>-10074399.600000016</v>
      </c>
      <c r="G27" s="85">
        <f t="shared" si="48"/>
        <v>-1905545.2500000298</v>
      </c>
      <c r="H27" s="85">
        <f t="shared" si="48"/>
        <v>6783676.3499999642</v>
      </c>
      <c r="J27" s="181">
        <f t="shared" si="38"/>
        <v>-2.4183156687062981</v>
      </c>
      <c r="K27" s="182">
        <f t="shared" si="39"/>
        <v>1.3655620113927878</v>
      </c>
      <c r="L27" s="182">
        <f t="shared" si="40"/>
        <v>0.18914727682630603</v>
      </c>
      <c r="M27" s="183">
        <f t="shared" si="41"/>
        <v>-3.5599660254721623</v>
      </c>
      <c r="O27" s="280">
        <f t="shared" ref="O27" si="49">O3*D47</f>
        <v>7.6266666666666607</v>
      </c>
      <c r="P27" s="142">
        <f t="shared" ref="P27" si="50">P3*E47</f>
        <v>-7.6848697916666753</v>
      </c>
      <c r="Q27" s="142">
        <f t="shared" ref="Q27" si="51">Q3*F47</f>
        <v>-7.7495381538461681</v>
      </c>
      <c r="R27" s="142">
        <f t="shared" ref="R27" si="52">R3*G47</f>
        <v>-0.91612752403847586</v>
      </c>
      <c r="S27" s="281">
        <f t="shared" ref="S27" si="53">S3*H47</f>
        <v>2.3295591861263611</v>
      </c>
    </row>
    <row r="28" spans="2:19" x14ac:dyDescent="0.3">
      <c r="B28" s="3" t="s">
        <v>42</v>
      </c>
      <c r="J28" s="181">
        <f t="shared" si="38"/>
        <v>0</v>
      </c>
      <c r="K28" s="182">
        <f t="shared" si="39"/>
        <v>0</v>
      </c>
      <c r="L28" s="182">
        <f t="shared" si="40"/>
        <v>0</v>
      </c>
      <c r="M28" s="183">
        <f t="shared" si="41"/>
        <v>0</v>
      </c>
      <c r="O28" s="118"/>
      <c r="S28" s="3"/>
    </row>
    <row r="29" spans="2:19" s="8" customFormat="1" ht="15" thickBot="1" x14ac:dyDescent="0.35">
      <c r="B29" s="9" t="s">
        <v>43</v>
      </c>
      <c r="C29" s="87">
        <v>0</v>
      </c>
      <c r="D29" s="87">
        <f>D27-D28</f>
        <v>3050666.6666666642</v>
      </c>
      <c r="E29" s="87">
        <f t="shared" ref="E29:H29" si="54">E27-E28</f>
        <v>-7377475.0000000075</v>
      </c>
      <c r="F29" s="87">
        <f t="shared" si="54"/>
        <v>-10074399.600000016</v>
      </c>
      <c r="G29" s="87">
        <f t="shared" si="54"/>
        <v>-1905545.2500000298</v>
      </c>
      <c r="H29" s="87">
        <f t="shared" si="54"/>
        <v>6783676.3499999642</v>
      </c>
      <c r="J29" s="230">
        <f t="shared" si="38"/>
        <v>-2.4183156687062981</v>
      </c>
      <c r="K29" s="231">
        <f t="shared" si="39"/>
        <v>1.3655620113927878</v>
      </c>
      <c r="L29" s="231">
        <f t="shared" si="40"/>
        <v>0.18914727682630603</v>
      </c>
      <c r="M29" s="232">
        <f t="shared" si="41"/>
        <v>-3.5599660254721623</v>
      </c>
      <c r="O29" s="180"/>
      <c r="P29" s="2"/>
      <c r="Q29" s="2"/>
      <c r="R29" s="2"/>
      <c r="S29" s="6"/>
    </row>
    <row r="30" spans="2:19" ht="15" thickTop="1" x14ac:dyDescent="0.3"/>
    <row r="33" spans="2:8" x14ac:dyDescent="0.3">
      <c r="B33" s="177" t="s">
        <v>255</v>
      </c>
      <c r="C33" s="7"/>
      <c r="D33" s="7"/>
      <c r="E33" s="7"/>
      <c r="F33" s="7"/>
      <c r="G33" s="7"/>
      <c r="H33" s="14"/>
    </row>
    <row r="34" spans="2:8" x14ac:dyDescent="0.3">
      <c r="B34" s="118" t="s">
        <v>257</v>
      </c>
      <c r="D34" s="155">
        <f>D7/D3</f>
        <v>0.68</v>
      </c>
      <c r="E34" s="155">
        <f t="shared" ref="E34:H34" si="55">E7/E3</f>
        <v>0.67</v>
      </c>
      <c r="F34" s="155">
        <f t="shared" si="55"/>
        <v>0.66</v>
      </c>
      <c r="G34" s="155">
        <f t="shared" si="55"/>
        <v>0.64000000000000012</v>
      </c>
      <c r="H34" s="156">
        <f t="shared" si="55"/>
        <v>0.63000000000000012</v>
      </c>
    </row>
    <row r="35" spans="2:8" x14ac:dyDescent="0.3">
      <c r="B35" s="3" t="s">
        <v>381</v>
      </c>
      <c r="D35" s="154">
        <f>D8/D3</f>
        <v>0</v>
      </c>
      <c r="E35" s="154">
        <f t="shared" ref="E35:H35" si="56">E8/E3</f>
        <v>0.05</v>
      </c>
      <c r="F35" s="154">
        <f t="shared" si="56"/>
        <v>4.4999999999999998E-2</v>
      </c>
      <c r="G35" s="154">
        <f t="shared" si="56"/>
        <v>4.4999999999999998E-2</v>
      </c>
      <c r="H35" s="165">
        <f t="shared" si="56"/>
        <v>0.04</v>
      </c>
    </row>
    <row r="36" spans="2:8" x14ac:dyDescent="0.3">
      <c r="B36" s="118" t="s">
        <v>256</v>
      </c>
      <c r="D36" s="155">
        <f>D9/D3</f>
        <v>0.3199999999999999</v>
      </c>
      <c r="E36" s="155">
        <f t="shared" ref="E36:H36" si="57">E9/E3</f>
        <v>0.27999999999999992</v>
      </c>
      <c r="F36" s="155">
        <f t="shared" si="57"/>
        <v>0.29499999999999993</v>
      </c>
      <c r="G36" s="155">
        <f t="shared" si="57"/>
        <v>0.31499999999999984</v>
      </c>
      <c r="H36" s="156">
        <f t="shared" si="57"/>
        <v>0.3299999999999999</v>
      </c>
    </row>
    <row r="37" spans="2:8" x14ac:dyDescent="0.3">
      <c r="B37" s="118" t="s">
        <v>38</v>
      </c>
      <c r="D37" s="234">
        <v>0</v>
      </c>
      <c r="E37" s="234">
        <v>0</v>
      </c>
      <c r="F37" s="234">
        <v>0</v>
      </c>
      <c r="G37" s="234">
        <v>0</v>
      </c>
      <c r="H37" s="240">
        <v>0</v>
      </c>
    </row>
    <row r="38" spans="2:8" x14ac:dyDescent="0.3">
      <c r="B38" s="118" t="s">
        <v>239</v>
      </c>
      <c r="D38" s="155">
        <f>(D15+D16)/D3</f>
        <v>0.06</v>
      </c>
      <c r="E38" s="155">
        <f t="shared" ref="E38:H38" si="58">(E15+E16)/E3</f>
        <v>8.7499999999999994E-2</v>
      </c>
      <c r="F38" s="155">
        <f t="shared" si="58"/>
        <v>9.0769227692307719E-2</v>
      </c>
      <c r="G38" s="155">
        <f t="shared" si="58"/>
        <v>9.2307692307692313E-2</v>
      </c>
      <c r="H38" s="156">
        <f t="shared" si="58"/>
        <v>9.615384478021978E-2</v>
      </c>
    </row>
    <row r="39" spans="2:8" x14ac:dyDescent="0.3">
      <c r="B39" s="179" t="s">
        <v>237</v>
      </c>
      <c r="D39" s="154">
        <f>D15/D3</f>
        <v>1.4999999999999999E-2</v>
      </c>
      <c r="E39" s="154">
        <f t="shared" ref="E39:H39" si="59">E15/E3</f>
        <v>1.2500000000000001E-2</v>
      </c>
      <c r="F39" s="154">
        <f t="shared" si="59"/>
        <v>1.3846153846153848E-2</v>
      </c>
      <c r="G39" s="154">
        <f t="shared" si="59"/>
        <v>1.1538461538461539E-2</v>
      </c>
      <c r="H39" s="165">
        <f t="shared" si="59"/>
        <v>1.0302197802197802E-2</v>
      </c>
    </row>
    <row r="40" spans="2:8" x14ac:dyDescent="0.3">
      <c r="B40" s="179" t="s">
        <v>238</v>
      </c>
      <c r="D40" s="154">
        <f>D16/D3</f>
        <v>4.4999999999999998E-2</v>
      </c>
      <c r="E40" s="154">
        <f t="shared" ref="E40:H40" si="60">E16/E3</f>
        <v>7.4999999999999997E-2</v>
      </c>
      <c r="F40" s="154">
        <f t="shared" si="60"/>
        <v>7.6923073846153864E-2</v>
      </c>
      <c r="G40" s="154">
        <f t="shared" si="60"/>
        <v>8.0769230769230774E-2</v>
      </c>
      <c r="H40" s="165">
        <f t="shared" si="60"/>
        <v>8.5851646978021987E-2</v>
      </c>
    </row>
    <row r="41" spans="2:8" x14ac:dyDescent="0.3">
      <c r="B41" s="125" t="s">
        <v>324</v>
      </c>
      <c r="D41" s="154">
        <f>D17/D3</f>
        <v>0</v>
      </c>
      <c r="E41" s="154">
        <f t="shared" ref="E41:H41" si="61">E17/E3</f>
        <v>7.0000000000000007E-2</v>
      </c>
      <c r="F41" s="154">
        <f t="shared" si="61"/>
        <v>7.0000000000000007E-2</v>
      </c>
      <c r="G41" s="154">
        <f t="shared" si="61"/>
        <v>7.0000000000000007E-2</v>
      </c>
      <c r="H41" s="165">
        <f t="shared" si="61"/>
        <v>7.0000000000000007E-2</v>
      </c>
    </row>
    <row r="42" spans="2:8" x14ac:dyDescent="0.3">
      <c r="B42" s="153" t="s">
        <v>240</v>
      </c>
      <c r="D42" s="154">
        <f>D18/D3</f>
        <v>8.7499999999999994E-2</v>
      </c>
      <c r="E42" s="154">
        <f t="shared" ref="E42:H42" si="62">E18/E3</f>
        <v>7.2916666666666671E-2</v>
      </c>
      <c r="F42" s="154">
        <f t="shared" si="62"/>
        <v>5.9230769230769247E-2</v>
      </c>
      <c r="G42" s="154">
        <f t="shared" si="62"/>
        <v>4.0721153846153858E-2</v>
      </c>
      <c r="H42" s="165">
        <f t="shared" si="62"/>
        <v>3.1995192307692322E-2</v>
      </c>
    </row>
    <row r="43" spans="2:8" x14ac:dyDescent="0.3">
      <c r="B43" s="153" t="s">
        <v>278</v>
      </c>
      <c r="D43" s="154">
        <f>D19/D3</f>
        <v>2.5000000000000001E-2</v>
      </c>
      <c r="E43" s="154">
        <f t="shared" ref="E43:H43" si="63">E19/E3</f>
        <v>2.75E-2</v>
      </c>
      <c r="F43" s="154">
        <f t="shared" si="63"/>
        <v>3.8461538461538464E-2</v>
      </c>
      <c r="G43" s="154">
        <f t="shared" si="63"/>
        <v>2.5576923076923077E-2</v>
      </c>
      <c r="H43" s="165">
        <f t="shared" si="63"/>
        <v>1.9447115384615386E-2</v>
      </c>
    </row>
    <row r="44" spans="2:8" x14ac:dyDescent="0.3">
      <c r="B44" s="167" t="s">
        <v>227</v>
      </c>
      <c r="D44" s="154">
        <f>D20/D3</f>
        <v>0.2437333333333333</v>
      </c>
      <c r="E44" s="154">
        <f t="shared" ref="E44:H44" si="64">E20/E3</f>
        <v>0.35684869791666668</v>
      </c>
      <c r="F44" s="154">
        <f t="shared" si="64"/>
        <v>0.37249538153846157</v>
      </c>
      <c r="G44" s="154">
        <f t="shared" si="64"/>
        <v>0.32416127524038463</v>
      </c>
      <c r="H44" s="165">
        <f t="shared" si="64"/>
        <v>0.30670440813873628</v>
      </c>
    </row>
    <row r="45" spans="2:8" x14ac:dyDescent="0.3">
      <c r="B45" s="118" t="s">
        <v>39</v>
      </c>
      <c r="D45" s="154">
        <f>D22/D3</f>
        <v>7.6266666666666608E-2</v>
      </c>
      <c r="E45" s="154">
        <f t="shared" ref="E45:H45" si="65">E22/E3</f>
        <v>-7.684869791666675E-2</v>
      </c>
      <c r="F45" s="154">
        <f t="shared" si="65"/>
        <v>-7.749538153846168E-2</v>
      </c>
      <c r="G45" s="154">
        <f t="shared" si="65"/>
        <v>-9.1612752403847589E-3</v>
      </c>
      <c r="H45" s="165">
        <f t="shared" si="65"/>
        <v>2.3295591861263613E-2</v>
      </c>
    </row>
    <row r="46" spans="2:8" x14ac:dyDescent="0.3">
      <c r="B46" s="118" t="s">
        <v>41</v>
      </c>
      <c r="D46" s="154">
        <f>D24/D3</f>
        <v>7.6266666666666608E-2</v>
      </c>
      <c r="E46" s="154">
        <f t="shared" ref="E46:H46" si="66">E24/E3</f>
        <v>-7.684869791666675E-2</v>
      </c>
      <c r="F46" s="154">
        <f t="shared" si="66"/>
        <v>-7.749538153846168E-2</v>
      </c>
      <c r="G46" s="154">
        <f t="shared" si="66"/>
        <v>-9.1612752403847589E-3</v>
      </c>
      <c r="H46" s="165">
        <f t="shared" si="66"/>
        <v>2.3295591861263613E-2</v>
      </c>
    </row>
    <row r="47" spans="2:8" x14ac:dyDescent="0.3">
      <c r="B47" s="137" t="s">
        <v>69</v>
      </c>
      <c r="C47" s="1"/>
      <c r="D47" s="193">
        <f>D27/D3</f>
        <v>7.6266666666666608E-2</v>
      </c>
      <c r="E47" s="193">
        <f t="shared" ref="E47:H47" si="67">E27/E3</f>
        <v>-7.684869791666675E-2</v>
      </c>
      <c r="F47" s="193">
        <f t="shared" si="67"/>
        <v>-7.749538153846168E-2</v>
      </c>
      <c r="G47" s="193">
        <f t="shared" si="67"/>
        <v>-9.1612752403847589E-3</v>
      </c>
      <c r="H47" s="194">
        <f t="shared" si="67"/>
        <v>2.3295591861263613E-2</v>
      </c>
    </row>
    <row r="55" spans="7:8" x14ac:dyDescent="0.3">
      <c r="G55" s="66"/>
    </row>
    <row r="56" spans="7:8" x14ac:dyDescent="0.3">
      <c r="G56" s="66"/>
    </row>
    <row r="57" spans="7:8" x14ac:dyDescent="0.3">
      <c r="G57" s="66"/>
      <c r="H57" s="142"/>
    </row>
    <row r="58" spans="7:8" x14ac:dyDescent="0.3">
      <c r="G58" s="66"/>
    </row>
  </sheetData>
  <mergeCells count="2">
    <mergeCell ref="J1:M1"/>
    <mergeCell ref="O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2"/>
  <sheetViews>
    <sheetView workbookViewId="0">
      <pane xSplit="2" ySplit="3" topLeftCell="C52" activePane="bottomRight" state="frozen"/>
      <selection pane="topRight" activeCell="C1" sqref="C1"/>
      <selection pane="bottomLeft" activeCell="A3" sqref="A3"/>
      <selection pane="bottomRight" activeCell="H59" sqref="H59"/>
    </sheetView>
  </sheetViews>
  <sheetFormatPr defaultRowHeight="14.4" x14ac:dyDescent="0.3"/>
  <cols>
    <col min="1" max="1" width="6.5546875" customWidth="1"/>
    <col min="2" max="2" width="40" style="3" customWidth="1"/>
    <col min="3" max="3" width="12.88671875" customWidth="1"/>
    <col min="4" max="4" width="11.6640625" customWidth="1"/>
    <col min="5" max="5" width="11.5546875" customWidth="1"/>
    <col min="6" max="6" width="13" customWidth="1"/>
    <col min="7" max="8" width="12.88671875" customWidth="1"/>
    <col min="10" max="10" width="11.5546875" bestFit="1" customWidth="1"/>
  </cols>
  <sheetData>
    <row r="1" spans="1:14" x14ac:dyDescent="0.3">
      <c r="B1" s="3" t="s">
        <v>385</v>
      </c>
    </row>
    <row r="2" spans="1:14" x14ac:dyDescent="0.3">
      <c r="E2" s="67"/>
      <c r="F2" s="67"/>
      <c r="G2" s="67"/>
      <c r="H2" s="67"/>
    </row>
    <row r="3" spans="1:14" s="2" customFormat="1" x14ac:dyDescent="0.3">
      <c r="B3" s="6" t="s">
        <v>44</v>
      </c>
      <c r="C3" s="2" t="s">
        <v>111</v>
      </c>
      <c r="D3" s="2" t="s">
        <v>112</v>
      </c>
      <c r="E3" s="2" t="s">
        <v>1</v>
      </c>
      <c r="F3" s="2" t="s">
        <v>2</v>
      </c>
      <c r="G3" s="2" t="s">
        <v>3</v>
      </c>
      <c r="H3" s="2" t="s">
        <v>4</v>
      </c>
    </row>
    <row r="5" spans="1:14" x14ac:dyDescent="0.3">
      <c r="B5" s="141" t="s">
        <v>236</v>
      </c>
      <c r="C5" s="7"/>
      <c r="D5" s="132"/>
      <c r="E5" s="132"/>
      <c r="F5" s="132"/>
      <c r="G5" s="132"/>
      <c r="H5" s="133"/>
    </row>
    <row r="6" spans="1:14" x14ac:dyDescent="0.3">
      <c r="B6" s="125" t="s">
        <v>185</v>
      </c>
      <c r="D6" s="67">
        <v>0.05</v>
      </c>
      <c r="E6" s="67">
        <f t="shared" ref="E6:H7" si="0">D6</f>
        <v>0.05</v>
      </c>
      <c r="F6" s="67">
        <f t="shared" si="0"/>
        <v>0.05</v>
      </c>
      <c r="G6" s="67">
        <f t="shared" si="0"/>
        <v>0.05</v>
      </c>
      <c r="H6" s="171">
        <f t="shared" si="0"/>
        <v>0.05</v>
      </c>
    </row>
    <row r="7" spans="1:14" x14ac:dyDescent="0.3">
      <c r="B7" s="125" t="s">
        <v>186</v>
      </c>
      <c r="D7" s="67">
        <v>0.02</v>
      </c>
      <c r="E7" s="67">
        <f t="shared" si="0"/>
        <v>0.02</v>
      </c>
      <c r="F7" s="67">
        <f t="shared" si="0"/>
        <v>0.02</v>
      </c>
      <c r="G7" s="67">
        <f t="shared" si="0"/>
        <v>0.02</v>
      </c>
      <c r="H7" s="171">
        <f t="shared" si="0"/>
        <v>0.02</v>
      </c>
    </row>
    <row r="8" spans="1:14" x14ac:dyDescent="0.3">
      <c r="B8" s="118" t="s">
        <v>26</v>
      </c>
      <c r="D8" s="67">
        <f>SUM(D6:D7)</f>
        <v>7.0000000000000007E-2</v>
      </c>
      <c r="E8" s="67">
        <f>SUM(E6:E7)</f>
        <v>7.0000000000000007E-2</v>
      </c>
      <c r="F8" s="67">
        <f>SUM(F6:F7)</f>
        <v>7.0000000000000007E-2</v>
      </c>
      <c r="G8" s="67">
        <f>SUM(G6:G7)</f>
        <v>7.0000000000000007E-2</v>
      </c>
      <c r="H8" s="171">
        <f>SUM(H6:H7)</f>
        <v>7.0000000000000007E-2</v>
      </c>
    </row>
    <row r="9" spans="1:14" x14ac:dyDescent="0.3">
      <c r="B9" s="125"/>
      <c r="H9" s="3"/>
    </row>
    <row r="10" spans="1:14" x14ac:dyDescent="0.3">
      <c r="B10" s="125"/>
      <c r="H10" s="3"/>
    </row>
    <row r="11" spans="1:14" x14ac:dyDescent="0.3">
      <c r="B11" s="153" t="s">
        <v>380</v>
      </c>
      <c r="D11" s="99">
        <f>'Revenue-D2C'!C16</f>
        <v>40000000</v>
      </c>
      <c r="E11" s="99">
        <f>'Revenue-D2C'!D16</f>
        <v>96000000</v>
      </c>
      <c r="F11" s="99">
        <f>'Revenue-D2C'!E16</f>
        <v>129999999.99999999</v>
      </c>
      <c r="G11" s="99">
        <f>'Revenue-D2C'!F16</f>
        <v>208000000</v>
      </c>
      <c r="H11" s="131">
        <f>'Revenue-D2C'!G16</f>
        <v>291200000</v>
      </c>
    </row>
    <row r="12" spans="1:14" x14ac:dyDescent="0.3">
      <c r="B12" s="151" t="s">
        <v>187</v>
      </c>
      <c r="C12" s="1"/>
      <c r="D12" s="161"/>
      <c r="E12" s="161">
        <f>E11*E8</f>
        <v>6720000.0000000009</v>
      </c>
      <c r="F12" s="161">
        <f>F11*F8</f>
        <v>9100000</v>
      </c>
      <c r="G12" s="161">
        <f>G11*G8</f>
        <v>14560000.000000002</v>
      </c>
      <c r="H12" s="162">
        <f>H11*H8</f>
        <v>20384000.000000004</v>
      </c>
    </row>
    <row r="15" spans="1:14" x14ac:dyDescent="0.3">
      <c r="B15" s="141" t="s">
        <v>239</v>
      </c>
      <c r="C15" s="7"/>
      <c r="D15" s="132"/>
      <c r="E15" s="132"/>
      <c r="F15" s="132"/>
      <c r="G15" s="132"/>
      <c r="H15" s="133"/>
    </row>
    <row r="16" spans="1:14" x14ac:dyDescent="0.3">
      <c r="A16" s="50" t="s">
        <v>272</v>
      </c>
      <c r="B16" s="172" t="s">
        <v>237</v>
      </c>
      <c r="D16" s="79"/>
      <c r="E16" s="79"/>
      <c r="F16" s="79"/>
      <c r="G16" s="79"/>
      <c r="H16" s="121"/>
      <c r="J16" s="71"/>
      <c r="K16" s="71"/>
      <c r="L16" s="71"/>
      <c r="M16" s="71"/>
      <c r="N16" s="71"/>
    </row>
    <row r="17" spans="1:14" x14ac:dyDescent="0.3">
      <c r="A17" s="50"/>
      <c r="B17" s="157" t="s">
        <v>241</v>
      </c>
      <c r="D17" s="79">
        <v>100000</v>
      </c>
      <c r="E17" s="79">
        <v>100000</v>
      </c>
      <c r="F17" s="79">
        <v>150000</v>
      </c>
      <c r="G17" s="79">
        <v>200000</v>
      </c>
      <c r="H17" s="121">
        <v>250000</v>
      </c>
      <c r="J17" s="71"/>
      <c r="K17" s="71"/>
      <c r="L17" s="71"/>
      <c r="M17" s="71"/>
      <c r="N17" s="71"/>
    </row>
    <row r="18" spans="1:14" x14ac:dyDescent="0.3">
      <c r="A18" s="50"/>
      <c r="B18" s="172" t="s">
        <v>242</v>
      </c>
      <c r="D18" s="79">
        <f>D17*6</f>
        <v>600000</v>
      </c>
      <c r="E18" s="79">
        <f>E17*12</f>
        <v>1200000</v>
      </c>
      <c r="F18" s="79">
        <f>F17*12</f>
        <v>1800000</v>
      </c>
      <c r="G18" s="79">
        <f>G17*12</f>
        <v>2400000</v>
      </c>
      <c r="H18" s="121">
        <f>H17*12</f>
        <v>3000000</v>
      </c>
      <c r="J18" s="71"/>
      <c r="K18" s="71"/>
      <c r="L18" s="71"/>
      <c r="M18" s="71"/>
      <c r="N18" s="71"/>
    </row>
    <row r="19" spans="1:14" x14ac:dyDescent="0.3">
      <c r="A19" s="50"/>
      <c r="B19" s="157"/>
      <c r="D19" s="79"/>
      <c r="E19" s="79"/>
      <c r="F19" s="79"/>
      <c r="G19" s="79"/>
      <c r="H19" s="121"/>
      <c r="J19" s="71"/>
      <c r="K19" s="71"/>
      <c r="L19" s="71"/>
      <c r="M19" s="71"/>
      <c r="N19" s="71"/>
    </row>
    <row r="20" spans="1:14" x14ac:dyDescent="0.3">
      <c r="A20" s="50" t="s">
        <v>273</v>
      </c>
      <c r="B20" s="172" t="s">
        <v>238</v>
      </c>
      <c r="D20" s="79"/>
      <c r="E20" s="79"/>
      <c r="F20" s="79"/>
      <c r="G20" s="79"/>
      <c r="H20" s="121"/>
      <c r="J20" s="71"/>
      <c r="K20" s="71"/>
      <c r="L20" s="71"/>
      <c r="M20" s="71"/>
      <c r="N20" s="71"/>
    </row>
    <row r="21" spans="1:14" x14ac:dyDescent="0.3">
      <c r="B21" s="157" t="s">
        <v>241</v>
      </c>
      <c r="D21" s="79">
        <v>300000</v>
      </c>
      <c r="E21" s="79">
        <v>600000</v>
      </c>
      <c r="F21" s="79">
        <v>833333.3</v>
      </c>
      <c r="G21" s="79">
        <v>1400000</v>
      </c>
      <c r="H21" s="121">
        <v>2083333.3</v>
      </c>
      <c r="J21" s="71"/>
      <c r="K21" s="71"/>
      <c r="L21" s="71"/>
      <c r="M21" s="71"/>
      <c r="N21" s="71"/>
    </row>
    <row r="22" spans="1:14" x14ac:dyDescent="0.3">
      <c r="A22" s="47"/>
      <c r="B22" s="223" t="s">
        <v>243</v>
      </c>
      <c r="C22" s="1"/>
      <c r="D22" s="224">
        <f>D21*6</f>
        <v>1800000</v>
      </c>
      <c r="E22" s="224">
        <f>E21*12</f>
        <v>7200000</v>
      </c>
      <c r="F22" s="224">
        <f>F21*12</f>
        <v>9999999.6000000015</v>
      </c>
      <c r="G22" s="224">
        <f t="shared" ref="G22:H22" si="1">G21*12</f>
        <v>16800000</v>
      </c>
      <c r="H22" s="225">
        <f t="shared" si="1"/>
        <v>24999999.600000001</v>
      </c>
    </row>
    <row r="23" spans="1:14" x14ac:dyDescent="0.3">
      <c r="D23" s="70"/>
      <c r="E23" s="70"/>
      <c r="F23" s="70"/>
      <c r="G23" s="70"/>
      <c r="H23" s="70"/>
    </row>
    <row r="24" spans="1:14" x14ac:dyDescent="0.3">
      <c r="D24" s="70"/>
      <c r="E24" s="70"/>
      <c r="F24" s="70"/>
      <c r="G24" s="70"/>
      <c r="H24" s="70"/>
    </row>
    <row r="25" spans="1:14" x14ac:dyDescent="0.3">
      <c r="B25" s="173" t="s">
        <v>240</v>
      </c>
      <c r="C25" s="7"/>
      <c r="D25" s="174"/>
      <c r="E25" s="174"/>
      <c r="F25" s="174"/>
      <c r="G25" s="174"/>
      <c r="H25" s="175"/>
    </row>
    <row r="26" spans="1:14" x14ac:dyDescent="0.3">
      <c r="B26" s="243" t="s">
        <v>384</v>
      </c>
      <c r="D26" s="154"/>
      <c r="E26" s="154"/>
      <c r="F26" s="154"/>
      <c r="G26" s="154"/>
      <c r="H26" s="165"/>
    </row>
    <row r="27" spans="1:14" x14ac:dyDescent="0.3">
      <c r="B27" s="168" t="s">
        <v>331</v>
      </c>
      <c r="D27" s="155">
        <v>0.15</v>
      </c>
      <c r="E27" s="155">
        <v>0.14000000000000001</v>
      </c>
      <c r="F27" s="155">
        <v>0.12</v>
      </c>
      <c r="G27" s="155">
        <v>0.11</v>
      </c>
      <c r="H27" s="156">
        <v>0.1</v>
      </c>
    </row>
    <row r="28" spans="1:14" x14ac:dyDescent="0.3">
      <c r="B28" s="243"/>
      <c r="D28" s="154"/>
      <c r="E28" s="154"/>
      <c r="F28" s="154"/>
      <c r="G28" s="154"/>
      <c r="H28" s="165"/>
    </row>
    <row r="29" spans="1:14" x14ac:dyDescent="0.3">
      <c r="B29" s="125"/>
      <c r="D29" s="154"/>
      <c r="E29" s="154"/>
      <c r="F29" s="154"/>
      <c r="G29" s="154"/>
      <c r="H29" s="165"/>
    </row>
    <row r="30" spans="1:14" x14ac:dyDescent="0.3">
      <c r="B30" s="243" t="s">
        <v>114</v>
      </c>
      <c r="D30" s="71">
        <v>3500000</v>
      </c>
      <c r="E30" s="71">
        <v>7000000</v>
      </c>
      <c r="F30" s="99">
        <f>E30*(1+F31)</f>
        <v>7700000.0000000009</v>
      </c>
      <c r="G30" s="99">
        <f t="shared" ref="G30:H30" si="2">F30*(1+G31)</f>
        <v>8470000.0000000019</v>
      </c>
      <c r="H30" s="131">
        <f t="shared" si="2"/>
        <v>9317000.0000000037</v>
      </c>
    </row>
    <row r="31" spans="1:14" x14ac:dyDescent="0.3">
      <c r="B31" s="241" t="s">
        <v>383</v>
      </c>
      <c r="C31" s="1"/>
      <c r="D31" s="158"/>
      <c r="E31" s="158"/>
      <c r="F31" s="193">
        <v>0.1</v>
      </c>
      <c r="G31" s="193">
        <v>0.1</v>
      </c>
      <c r="H31" s="194">
        <v>0.1</v>
      </c>
    </row>
    <row r="32" spans="1:14" x14ac:dyDescent="0.3">
      <c r="D32" s="66"/>
      <c r="E32" s="66"/>
      <c r="F32" s="66"/>
      <c r="G32" s="66"/>
      <c r="H32" s="66"/>
    </row>
    <row r="33" spans="2:11" x14ac:dyDescent="0.3">
      <c r="B33" s="216" t="s">
        <v>278</v>
      </c>
      <c r="C33" s="7"/>
      <c r="D33" s="132"/>
      <c r="E33" s="132"/>
      <c r="F33" s="132"/>
      <c r="G33" s="132"/>
      <c r="H33" s="133"/>
    </row>
    <row r="34" spans="2:11" x14ac:dyDescent="0.3">
      <c r="B34" s="167" t="s">
        <v>332</v>
      </c>
      <c r="D34" s="99">
        <v>1000000</v>
      </c>
      <c r="E34" s="99">
        <f>D34/5*12*(1+E38)</f>
        <v>2640000</v>
      </c>
      <c r="F34" s="99">
        <v>3600000</v>
      </c>
      <c r="G34" s="99">
        <f>F34*(1+G38)</f>
        <v>3780000</v>
      </c>
      <c r="H34" s="131">
        <f>G34*(1+H38)</f>
        <v>3969000</v>
      </c>
    </row>
    <row r="35" spans="2:11" x14ac:dyDescent="0.3">
      <c r="B35" s="167" t="s">
        <v>378</v>
      </c>
      <c r="D35" s="99"/>
      <c r="E35" s="99"/>
      <c r="F35" s="99">
        <v>1400000</v>
      </c>
      <c r="G35" s="99">
        <f>F35*(1+G39)</f>
        <v>1540000.0000000002</v>
      </c>
      <c r="H35" s="131">
        <f>G35*(1+H39)</f>
        <v>1694000.0000000005</v>
      </c>
      <c r="J35" s="142"/>
      <c r="K35" s="71"/>
    </row>
    <row r="36" spans="2:11" x14ac:dyDescent="0.3">
      <c r="B36" s="217" t="s">
        <v>253</v>
      </c>
      <c r="C36" s="8"/>
      <c r="D36" s="100">
        <f>SUM(D34:D35)</f>
        <v>1000000</v>
      </c>
      <c r="E36" s="100">
        <f t="shared" ref="E36:H36" si="3">SUM(E34:E35)</f>
        <v>2640000</v>
      </c>
      <c r="F36" s="100">
        <f t="shared" si="3"/>
        <v>5000000</v>
      </c>
      <c r="G36" s="100">
        <f t="shared" si="3"/>
        <v>5320000</v>
      </c>
      <c r="H36" s="218">
        <f t="shared" si="3"/>
        <v>5663000</v>
      </c>
    </row>
    <row r="37" spans="2:11" x14ac:dyDescent="0.3">
      <c r="B37" s="217"/>
      <c r="D37" s="99"/>
      <c r="E37" s="99"/>
      <c r="F37" s="99"/>
      <c r="G37" s="99"/>
      <c r="H37" s="131"/>
    </row>
    <row r="38" spans="2:11" x14ac:dyDescent="0.3">
      <c r="B38" s="118" t="s">
        <v>333</v>
      </c>
      <c r="D38" s="99"/>
      <c r="E38" s="154">
        <v>0.1</v>
      </c>
      <c r="F38" s="154"/>
      <c r="G38" s="154">
        <v>0.05</v>
      </c>
      <c r="H38" s="165">
        <v>0.05</v>
      </c>
    </row>
    <row r="39" spans="2:11" x14ac:dyDescent="0.3">
      <c r="B39" s="137"/>
      <c r="C39" s="1"/>
      <c r="D39" s="161"/>
      <c r="E39" s="161"/>
      <c r="F39" s="161"/>
      <c r="G39" s="193">
        <v>0.1</v>
      </c>
      <c r="H39" s="194">
        <v>0.1</v>
      </c>
    </row>
    <row r="40" spans="2:11" x14ac:dyDescent="0.3">
      <c r="B40"/>
      <c r="D40" s="99"/>
      <c r="E40" s="99"/>
      <c r="F40" s="99"/>
      <c r="G40" s="154"/>
      <c r="H40" s="154"/>
    </row>
    <row r="41" spans="2:11" x14ac:dyDescent="0.3">
      <c r="B41" s="235" t="s">
        <v>379</v>
      </c>
      <c r="C41" s="176"/>
      <c r="D41" s="236">
        <v>0</v>
      </c>
      <c r="E41" s="236">
        <v>0.05</v>
      </c>
      <c r="F41" s="237">
        <v>4.4999999999999998E-2</v>
      </c>
      <c r="G41" s="237">
        <v>4.4999999999999998E-2</v>
      </c>
      <c r="H41" s="238">
        <v>0.04</v>
      </c>
    </row>
    <row r="42" spans="2:11" x14ac:dyDescent="0.3">
      <c r="B42"/>
      <c r="D42" s="99"/>
      <c r="E42" s="99"/>
      <c r="F42" s="99"/>
      <c r="G42" s="154"/>
      <c r="H42" s="154"/>
    </row>
    <row r="43" spans="2:11" x14ac:dyDescent="0.3">
      <c r="B43" s="242" t="s">
        <v>382</v>
      </c>
      <c r="C43" s="7"/>
      <c r="D43" s="132">
        <v>2000000</v>
      </c>
      <c r="E43" s="132">
        <v>5500000</v>
      </c>
      <c r="F43" s="132">
        <f>E43*(1+F44)</f>
        <v>6050000.0000000009</v>
      </c>
      <c r="G43" s="132">
        <f t="shared" ref="G43:H43" si="4">F43*(1+G44)</f>
        <v>6655000.0000000019</v>
      </c>
      <c r="H43" s="133">
        <f t="shared" si="4"/>
        <v>7320500.0000000028</v>
      </c>
    </row>
    <row r="44" spans="2:11" x14ac:dyDescent="0.3">
      <c r="B44" s="137" t="s">
        <v>383</v>
      </c>
      <c r="C44" s="1"/>
      <c r="D44" s="161"/>
      <c r="E44" s="193">
        <v>0.1</v>
      </c>
      <c r="F44" s="193">
        <v>0.1</v>
      </c>
      <c r="G44" s="193">
        <v>0.1</v>
      </c>
      <c r="H44" s="194">
        <v>0.1</v>
      </c>
    </row>
    <row r="45" spans="2:11" x14ac:dyDescent="0.3">
      <c r="B45"/>
      <c r="D45" s="99"/>
      <c r="E45" s="99"/>
      <c r="F45" s="99"/>
      <c r="G45" s="154"/>
      <c r="H45" s="154"/>
    </row>
    <row r="46" spans="2:11" x14ac:dyDescent="0.3">
      <c r="B46" s="148" t="s">
        <v>400</v>
      </c>
      <c r="C46" s="176"/>
      <c r="D46" s="259"/>
      <c r="E46" s="260">
        <v>0.26</v>
      </c>
      <c r="F46" s="260">
        <v>0.26</v>
      </c>
      <c r="G46" s="260">
        <v>0.26</v>
      </c>
      <c r="H46" s="261">
        <v>0.26</v>
      </c>
    </row>
    <row r="47" spans="2:11" x14ac:dyDescent="0.3">
      <c r="B47"/>
      <c r="D47" s="99"/>
      <c r="E47" s="99"/>
      <c r="F47" s="99"/>
      <c r="G47" s="99"/>
      <c r="H47" s="99"/>
    </row>
    <row r="49" spans="2:11" x14ac:dyDescent="0.3">
      <c r="B49" s="141" t="s">
        <v>214</v>
      </c>
      <c r="C49" s="7"/>
      <c r="D49" s="132">
        <v>0</v>
      </c>
      <c r="E49" s="132">
        <v>0</v>
      </c>
      <c r="F49" s="132">
        <v>0</v>
      </c>
      <c r="G49" s="132">
        <v>706031.83455596061</v>
      </c>
      <c r="H49" s="133">
        <v>3511101.5445589833</v>
      </c>
    </row>
    <row r="50" spans="2:11" x14ac:dyDescent="0.3">
      <c r="B50" s="125"/>
      <c r="H50" s="3"/>
    </row>
    <row r="51" spans="2:11" x14ac:dyDescent="0.3">
      <c r="B51" s="125" t="s">
        <v>215</v>
      </c>
      <c r="D51" s="79">
        <f>+(D54*D57)+(D55*D58)</f>
        <v>0</v>
      </c>
      <c r="E51" s="79">
        <f t="shared" ref="E51:H51" si="5">+(E54*E57)+(E55*E58)</f>
        <v>0</v>
      </c>
      <c r="F51" s="79">
        <f t="shared" si="5"/>
        <v>0</v>
      </c>
      <c r="G51" s="79">
        <f t="shared" si="5"/>
        <v>706185.05685681128</v>
      </c>
      <c r="H51" s="121">
        <f t="shared" si="5"/>
        <v>3512484.7923328141</v>
      </c>
    </row>
    <row r="52" spans="2:11" x14ac:dyDescent="0.3">
      <c r="B52" s="125" t="s">
        <v>216</v>
      </c>
      <c r="C52" s="99"/>
      <c r="D52" s="99">
        <f>BS!D33</f>
        <v>0</v>
      </c>
      <c r="E52" s="99">
        <f>BS!E33</f>
        <v>0</v>
      </c>
      <c r="F52" s="99">
        <f>BS!F33</f>
        <v>0</v>
      </c>
      <c r="G52" s="99">
        <f>BS!G33</f>
        <v>20176715.910194606</v>
      </c>
      <c r="H52" s="131">
        <f>BS!H33</f>
        <v>80179992.442171499</v>
      </c>
    </row>
    <row r="53" spans="2:11" x14ac:dyDescent="0.3">
      <c r="B53" s="125"/>
      <c r="H53" s="3"/>
    </row>
    <row r="54" spans="2:11" x14ac:dyDescent="0.3">
      <c r="B54" s="125" t="s">
        <v>217</v>
      </c>
      <c r="D54">
        <v>0</v>
      </c>
      <c r="E54" s="71">
        <f>D52</f>
        <v>0</v>
      </c>
      <c r="F54" s="71">
        <f>E52</f>
        <v>0</v>
      </c>
      <c r="G54" s="71">
        <f>F52</f>
        <v>0</v>
      </c>
      <c r="H54" s="128">
        <f>G52</f>
        <v>20176715.910194606</v>
      </c>
    </row>
    <row r="55" spans="2:11" x14ac:dyDescent="0.3">
      <c r="B55" s="125"/>
      <c r="D55" s="79">
        <f>D52</f>
        <v>0</v>
      </c>
      <c r="E55" s="79">
        <f>IF((E52-D52)&lt;0,0,E52-D52)</f>
        <v>0</v>
      </c>
      <c r="F55" s="79">
        <f>IF((F52-E52)&lt;0,0,F52-E52)</f>
        <v>0</v>
      </c>
      <c r="G55" s="79">
        <f>IF((G52-F52)&lt;0,0,G52-F52)</f>
        <v>20176715.910194606</v>
      </c>
      <c r="H55" s="121">
        <f>IF((H52-G52)&lt;0,0,H52-G52)</f>
        <v>60003276.531976894</v>
      </c>
    </row>
    <row r="56" spans="2:11" x14ac:dyDescent="0.3">
      <c r="B56" s="118"/>
      <c r="H56" s="3"/>
    </row>
    <row r="57" spans="2:11" x14ac:dyDescent="0.3">
      <c r="B57" s="118" t="s">
        <v>233</v>
      </c>
      <c r="D57" s="135">
        <v>7.0000000000000007E-2</v>
      </c>
      <c r="E57" s="135">
        <v>7.0000000000000007E-2</v>
      </c>
      <c r="F57" s="135">
        <v>7.0000000000000007E-2</v>
      </c>
      <c r="G57" s="135">
        <v>7.0000000000000007E-2</v>
      </c>
      <c r="H57" s="136">
        <v>7.0000000000000007E-2</v>
      </c>
      <c r="J57" s="70"/>
      <c r="K57" s="135"/>
    </row>
    <row r="58" spans="2:11" x14ac:dyDescent="0.3">
      <c r="B58" s="137" t="s">
        <v>234</v>
      </c>
      <c r="C58" s="126"/>
      <c r="D58" s="126">
        <v>3.5000000000000003E-2</v>
      </c>
      <c r="E58" s="126">
        <v>3.5000000000000003E-2</v>
      </c>
      <c r="F58" s="126">
        <v>3.5000000000000003E-2</v>
      </c>
      <c r="G58" s="126">
        <v>3.5000000000000003E-2</v>
      </c>
      <c r="H58" s="127">
        <v>3.5000000000000003E-2</v>
      </c>
      <c r="J58" s="293"/>
      <c r="K58" s="294"/>
    </row>
    <row r="59" spans="2:11" x14ac:dyDescent="0.3">
      <c r="B59"/>
      <c r="D59" s="135"/>
      <c r="E59" s="135"/>
      <c r="F59" s="135"/>
      <c r="G59" s="135"/>
      <c r="H59" s="135"/>
      <c r="J59" s="293"/>
    </row>
    <row r="61" spans="2:11" x14ac:dyDescent="0.3">
      <c r="B61" s="141" t="s">
        <v>408</v>
      </c>
      <c r="C61" s="7"/>
      <c r="D61" s="7"/>
      <c r="E61" s="7"/>
      <c r="F61" s="7"/>
      <c r="G61" s="7"/>
      <c r="H61" s="14"/>
    </row>
    <row r="62" spans="2:11" x14ac:dyDescent="0.3">
      <c r="B62" s="151" t="s">
        <v>255</v>
      </c>
      <c r="C62" s="1"/>
      <c r="D62" s="271">
        <v>0.01</v>
      </c>
      <c r="E62" s="271">
        <v>0.01</v>
      </c>
      <c r="F62" s="271">
        <v>0.01</v>
      </c>
      <c r="G62" s="271">
        <v>0.01</v>
      </c>
      <c r="H62" s="272">
        <v>0.01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4.4" x14ac:dyDescent="0.3"/>
  <cols>
    <col min="1" max="1" width="5.5546875" customWidth="1"/>
    <col min="2" max="2" width="29.6640625" style="3" customWidth="1"/>
    <col min="3" max="3" width="14.6640625" customWidth="1"/>
    <col min="4" max="4" width="11.88671875" customWidth="1"/>
    <col min="5" max="5" width="13.88671875" customWidth="1"/>
    <col min="6" max="6" width="13.33203125" customWidth="1"/>
    <col min="7" max="7" width="13.6640625" customWidth="1"/>
    <col min="9" max="9" width="15" customWidth="1"/>
    <col min="10" max="10" width="10.88671875" customWidth="1"/>
  </cols>
  <sheetData>
    <row r="2" spans="2:11" s="1" customFormat="1" x14ac:dyDescent="0.3">
      <c r="B2" s="2" t="s">
        <v>114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2:11" x14ac:dyDescent="0.3">
      <c r="B3" s="12" t="s">
        <v>182</v>
      </c>
    </row>
    <row r="4" spans="2:11" x14ac:dyDescent="0.3">
      <c r="B4" s="11" t="s">
        <v>183</v>
      </c>
      <c r="C4" s="67">
        <f>68%+'sensitivity analysis'!B4</f>
        <v>0.68</v>
      </c>
      <c r="D4" s="67">
        <f>C4</f>
        <v>0.68</v>
      </c>
      <c r="E4" s="67">
        <f>D4</f>
        <v>0.68</v>
      </c>
      <c r="F4" s="67">
        <f>E4</f>
        <v>0.68</v>
      </c>
      <c r="G4" s="67">
        <f>F4</f>
        <v>0.68</v>
      </c>
    </row>
    <row r="5" spans="2:11" x14ac:dyDescent="0.3">
      <c r="B5" s="11" t="s">
        <v>179</v>
      </c>
      <c r="C5" s="67"/>
      <c r="D5" s="67">
        <v>0.02</v>
      </c>
      <c r="E5" s="67">
        <v>0.02</v>
      </c>
      <c r="F5" s="67">
        <v>0.02</v>
      </c>
      <c r="G5" s="67">
        <v>0.02</v>
      </c>
    </row>
    <row r="6" spans="2:11" x14ac:dyDescent="0.3">
      <c r="B6" s="11" t="s">
        <v>180</v>
      </c>
      <c r="C6" s="67"/>
      <c r="D6" s="67">
        <v>0.01</v>
      </c>
      <c r="E6" s="67">
        <v>0.02</v>
      </c>
      <c r="F6" s="67">
        <v>0.03</v>
      </c>
      <c r="G6" s="67">
        <v>0.04</v>
      </c>
    </row>
    <row r="7" spans="2:11" x14ac:dyDescent="0.3">
      <c r="B7" s="11" t="s">
        <v>181</v>
      </c>
      <c r="C7" s="67"/>
      <c r="D7" s="67">
        <v>0.02</v>
      </c>
      <c r="E7" s="67">
        <f>D7</f>
        <v>0.02</v>
      </c>
      <c r="F7" s="67">
        <v>0.03</v>
      </c>
      <c r="G7" s="67">
        <f>F7</f>
        <v>0.03</v>
      </c>
    </row>
    <row r="8" spans="2:11" x14ac:dyDescent="0.3">
      <c r="B8" s="11"/>
      <c r="C8" s="67"/>
      <c r="D8" s="67"/>
      <c r="E8" s="67"/>
      <c r="F8" s="67"/>
      <c r="G8" s="67"/>
    </row>
    <row r="9" spans="2:11" x14ac:dyDescent="0.3">
      <c r="B9" s="93" t="s">
        <v>184</v>
      </c>
      <c r="C9" s="94">
        <f>C4+C5-SUM(C6:C7)</f>
        <v>0.68</v>
      </c>
      <c r="D9" s="94">
        <f>D4+D5-SUM(D6:D7)</f>
        <v>0.67</v>
      </c>
      <c r="E9" s="94">
        <f>E4+E5-SUM(E6:E7)</f>
        <v>0.66</v>
      </c>
      <c r="F9" s="94">
        <f>F4+F5-SUM(F6:F7)</f>
        <v>0.64000000000000012</v>
      </c>
      <c r="G9" s="94">
        <f>G4+G5-SUM(G6:G7)</f>
        <v>0.63000000000000012</v>
      </c>
    </row>
    <row r="10" spans="2:11" x14ac:dyDescent="0.3">
      <c r="B10" s="5"/>
      <c r="C10" s="67"/>
      <c r="D10" s="67"/>
      <c r="E10" s="67"/>
      <c r="F10" s="67"/>
      <c r="G10" s="67"/>
    </row>
    <row r="13" spans="2:11" s="8" customFormat="1" x14ac:dyDescent="0.3">
      <c r="B13" s="23" t="s">
        <v>375</v>
      </c>
      <c r="C13" s="233">
        <f>'[2]PL-B2B'!D8*(1+'sensitivity analysis'!$B$6)</f>
        <v>144000</v>
      </c>
      <c r="D13" s="233">
        <f>'[2]PL-B2B'!E8*(1+'sensitivity analysis'!$B$6)</f>
        <v>560000</v>
      </c>
      <c r="E13" s="233">
        <f>'[2]PL-B2B'!F8*(1+'sensitivity analysis'!$B$6)</f>
        <v>840000</v>
      </c>
      <c r="F13" s="233">
        <f>'[2]PL-B2B'!G8*(1+'sensitivity analysis'!$B$6)</f>
        <v>1000000</v>
      </c>
      <c r="G13" s="233">
        <f>'[2]PL-B2B'!H8*(1+'sensitivity analysis'!$B$6)</f>
        <v>1400000</v>
      </c>
      <c r="I13" t="s">
        <v>334</v>
      </c>
      <c r="J13" t="s">
        <v>336</v>
      </c>
      <c r="K13" s="221">
        <v>80</v>
      </c>
    </row>
    <row r="14" spans="2:11" x14ac:dyDescent="0.3">
      <c r="B14" s="23" t="s">
        <v>376</v>
      </c>
      <c r="C14" s="66">
        <f>C13*$K$13</f>
        <v>11520000</v>
      </c>
      <c r="D14" s="66">
        <f t="shared" ref="D14:G14" si="0">D13*$K$13</f>
        <v>44800000</v>
      </c>
      <c r="E14" s="66">
        <f t="shared" si="0"/>
        <v>67200000</v>
      </c>
      <c r="F14" s="66">
        <f t="shared" si="0"/>
        <v>80000000</v>
      </c>
      <c r="G14" s="66">
        <f t="shared" si="0"/>
        <v>112000000</v>
      </c>
    </row>
    <row r="15" spans="2:11" x14ac:dyDescent="0.3">
      <c r="C15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R64"/>
  <sheetViews>
    <sheetView zoomScaleNormal="100" workbookViewId="0">
      <pane xSplit="2" ySplit="5" topLeftCell="C20" activePane="bottomRight" state="frozen"/>
      <selection pane="topRight" activeCell="C1" sqref="C1"/>
      <selection pane="bottomLeft" activeCell="A6" sqref="A6"/>
      <selection pane="bottomRight" activeCell="C44" sqref="C44"/>
    </sheetView>
  </sheetViews>
  <sheetFormatPr defaultColWidth="8.88671875" defaultRowHeight="14.4" x14ac:dyDescent="0.3"/>
  <cols>
    <col min="1" max="1" width="4.109375" customWidth="1"/>
    <col min="2" max="2" width="31.44140625" customWidth="1"/>
    <col min="3" max="3" width="21.33203125" customWidth="1"/>
    <col min="4" max="4" width="11.109375" customWidth="1"/>
    <col min="5" max="5" width="11.44140625" style="239" customWidth="1"/>
    <col min="6" max="6" width="13.44140625" style="66" customWidth="1"/>
    <col min="7" max="7" width="11.33203125" style="66" customWidth="1"/>
    <col min="8" max="8" width="11.44140625" style="239" customWidth="1"/>
    <col min="9" max="9" width="13.44140625" style="66" customWidth="1"/>
    <col min="10" max="10" width="10.44140625" style="66" customWidth="1"/>
    <col min="11" max="11" width="14.33203125" style="239" bestFit="1" customWidth="1"/>
    <col min="12" max="12" width="11.44140625" style="66" customWidth="1"/>
    <col min="13" max="13" width="10.88671875" style="66" customWidth="1"/>
    <col min="14" max="14" width="14.33203125" style="66" bestFit="1" customWidth="1"/>
    <col min="15" max="15" width="13" style="66" customWidth="1"/>
    <col min="16" max="16" width="10.44140625" style="66" customWidth="1"/>
    <col min="17" max="17" width="14.33203125" style="66" bestFit="1" customWidth="1"/>
    <col min="18" max="18" width="11.44140625" style="66" customWidth="1"/>
  </cols>
  <sheetData>
    <row r="2" spans="1:18" x14ac:dyDescent="0.3">
      <c r="A2" s="28"/>
      <c r="B2" s="22" t="s">
        <v>403</v>
      </c>
      <c r="C2" s="22"/>
      <c r="D2" s="28"/>
      <c r="E2" s="264"/>
      <c r="F2" s="97"/>
      <c r="G2" s="97"/>
      <c r="H2" s="264"/>
      <c r="I2" s="97"/>
      <c r="J2" s="97"/>
      <c r="K2" s="264"/>
      <c r="L2" s="97"/>
      <c r="M2" s="97"/>
      <c r="N2" s="97"/>
      <c r="O2" s="97"/>
      <c r="P2" s="97"/>
      <c r="Q2" s="97"/>
      <c r="R2" s="97"/>
    </row>
    <row r="3" spans="1:18" x14ac:dyDescent="0.3">
      <c r="A3" s="28"/>
      <c r="B3" s="22"/>
      <c r="C3" s="22"/>
      <c r="D3" s="28"/>
      <c r="E3" s="264"/>
      <c r="F3" s="97"/>
      <c r="G3" s="97"/>
      <c r="H3" s="264"/>
      <c r="I3" s="97"/>
      <c r="J3" s="97"/>
      <c r="K3" s="264"/>
      <c r="L3" s="97"/>
      <c r="M3" s="97"/>
      <c r="N3" s="97"/>
      <c r="O3" s="97"/>
      <c r="P3" s="97"/>
      <c r="Q3" s="97"/>
      <c r="R3" s="97"/>
    </row>
    <row r="4" spans="1:18" x14ac:dyDescent="0.3">
      <c r="A4" s="28"/>
      <c r="B4" s="319" t="s">
        <v>44</v>
      </c>
      <c r="C4" s="319" t="s">
        <v>282</v>
      </c>
      <c r="D4" s="321" t="s">
        <v>0</v>
      </c>
      <c r="E4" s="322"/>
      <c r="F4" s="323"/>
      <c r="G4" s="324" t="s">
        <v>1</v>
      </c>
      <c r="H4" s="325"/>
      <c r="I4" s="326"/>
      <c r="J4" s="327" t="s">
        <v>2</v>
      </c>
      <c r="K4" s="328"/>
      <c r="L4" s="328"/>
      <c r="M4" s="316" t="s">
        <v>3</v>
      </c>
      <c r="N4" s="317"/>
      <c r="O4" s="318"/>
      <c r="P4" s="316" t="s">
        <v>4</v>
      </c>
      <c r="Q4" s="317"/>
      <c r="R4" s="318"/>
    </row>
    <row r="5" spans="1:18" x14ac:dyDescent="0.3">
      <c r="A5" s="29"/>
      <c r="B5" s="320"/>
      <c r="C5" s="320" t="s">
        <v>282</v>
      </c>
      <c r="D5" s="43" t="s">
        <v>45</v>
      </c>
      <c r="E5" s="265" t="s">
        <v>46</v>
      </c>
      <c r="F5" s="204" t="s">
        <v>47</v>
      </c>
      <c r="G5" s="205" t="s">
        <v>45</v>
      </c>
      <c r="H5" s="265" t="s">
        <v>46</v>
      </c>
      <c r="I5" s="203" t="s">
        <v>47</v>
      </c>
      <c r="J5" s="206" t="s">
        <v>45</v>
      </c>
      <c r="K5" s="270" t="s">
        <v>46</v>
      </c>
      <c r="L5" s="207" t="s">
        <v>47</v>
      </c>
      <c r="M5" s="208" t="s">
        <v>45</v>
      </c>
      <c r="N5" s="203" t="s">
        <v>46</v>
      </c>
      <c r="O5" s="209" t="s">
        <v>47</v>
      </c>
      <c r="P5" s="208" t="s">
        <v>45</v>
      </c>
      <c r="Q5" s="203" t="s">
        <v>46</v>
      </c>
      <c r="R5" s="209" t="s">
        <v>47</v>
      </c>
    </row>
    <row r="6" spans="1:18" x14ac:dyDescent="0.3">
      <c r="A6" s="29"/>
      <c r="B6" s="201" t="s">
        <v>321</v>
      </c>
      <c r="C6" s="202"/>
      <c r="D6" s="89"/>
      <c r="E6" s="266"/>
      <c r="F6" s="84"/>
      <c r="G6" s="84"/>
      <c r="H6" s="266"/>
      <c r="I6" s="84"/>
      <c r="J6" s="210"/>
      <c r="K6" s="266"/>
      <c r="L6" s="84"/>
      <c r="M6" s="210"/>
      <c r="N6" s="84"/>
      <c r="O6" s="211"/>
      <c r="P6" s="210"/>
      <c r="Q6" s="84"/>
      <c r="R6" s="211"/>
    </row>
    <row r="7" spans="1:18" x14ac:dyDescent="0.3">
      <c r="A7" s="36" t="s">
        <v>48</v>
      </c>
      <c r="B7" s="200" t="s">
        <v>286</v>
      </c>
      <c r="C7" t="s">
        <v>287</v>
      </c>
      <c r="D7">
        <v>1</v>
      </c>
      <c r="E7" s="264">
        <v>600000</v>
      </c>
      <c r="F7" s="83">
        <f>D7*E7</f>
        <v>600000</v>
      </c>
      <c r="G7" s="66">
        <f>D7</f>
        <v>1</v>
      </c>
      <c r="H7" s="239">
        <f>E7*1.1</f>
        <v>660000</v>
      </c>
      <c r="I7" s="83">
        <f>G7*H7</f>
        <v>660000</v>
      </c>
      <c r="J7" s="212">
        <f>G7</f>
        <v>1</v>
      </c>
      <c r="K7" s="124">
        <f>H7*1.1</f>
        <v>726000.00000000012</v>
      </c>
      <c r="L7" s="97">
        <f>J7*K7</f>
        <v>726000.00000000012</v>
      </c>
      <c r="M7" s="212">
        <f>J7</f>
        <v>1</v>
      </c>
      <c r="N7" s="124">
        <f>K7*1.1</f>
        <v>798600.00000000023</v>
      </c>
      <c r="O7" s="213">
        <f>M7*N7</f>
        <v>798600.00000000023</v>
      </c>
      <c r="P7" s="212">
        <f>M7</f>
        <v>1</v>
      </c>
      <c r="Q7" s="83">
        <f>N7*1.1</f>
        <v>878460.00000000035</v>
      </c>
      <c r="R7" s="213">
        <f>P7*Q7</f>
        <v>878460.00000000035</v>
      </c>
    </row>
    <row r="8" spans="1:18" x14ac:dyDescent="0.3">
      <c r="A8" s="36" t="s">
        <v>48</v>
      </c>
      <c r="B8" s="199" t="s">
        <v>288</v>
      </c>
      <c r="C8" t="s">
        <v>289</v>
      </c>
      <c r="D8">
        <v>1</v>
      </c>
      <c r="E8" s="264">
        <v>919999.99999999988</v>
      </c>
      <c r="F8" s="83">
        <f>D8*E8</f>
        <v>919999.99999999988</v>
      </c>
      <c r="G8" s="66">
        <f t="shared" ref="G8:G13" si="0">D8</f>
        <v>1</v>
      </c>
      <c r="H8" s="239">
        <f t="shared" ref="H8:H13" si="1">E8*1.1</f>
        <v>1012000</v>
      </c>
      <c r="I8" s="83">
        <f>G8*H8</f>
        <v>1012000</v>
      </c>
      <c r="J8" s="212">
        <f t="shared" ref="J8:J30" si="2">G8</f>
        <v>1</v>
      </c>
      <c r="K8" s="124">
        <f t="shared" ref="K8:K30" si="3">H8*1.1</f>
        <v>1113200</v>
      </c>
      <c r="L8" s="97">
        <f t="shared" ref="L8:L52" si="4">J8*K8</f>
        <v>1113200</v>
      </c>
      <c r="M8" s="212">
        <f t="shared" ref="M8:M43" si="5">J8</f>
        <v>1</v>
      </c>
      <c r="N8" s="124">
        <f t="shared" ref="N8:N52" si="6">K8*1.1</f>
        <v>1224520</v>
      </c>
      <c r="O8" s="213">
        <f t="shared" ref="O8:O52" si="7">M8*N8</f>
        <v>1224520</v>
      </c>
      <c r="P8" s="212">
        <f t="shared" ref="P8:P43" si="8">M8</f>
        <v>1</v>
      </c>
      <c r="Q8" s="83">
        <f t="shared" ref="Q8:Q45" si="9">N8*1.1</f>
        <v>1346972</v>
      </c>
      <c r="R8" s="213">
        <f t="shared" ref="R8:R45" si="10">P8*Q8</f>
        <v>1346972</v>
      </c>
    </row>
    <row r="9" spans="1:18" x14ac:dyDescent="0.3">
      <c r="A9" s="36" t="s">
        <v>49</v>
      </c>
      <c r="B9" s="199" t="s">
        <v>125</v>
      </c>
      <c r="C9" t="s">
        <v>291</v>
      </c>
      <c r="D9">
        <v>1</v>
      </c>
      <c r="E9" s="264">
        <v>270000</v>
      </c>
      <c r="F9" s="83">
        <f t="shared" ref="F9:F52" si="11">D9*E9</f>
        <v>270000</v>
      </c>
      <c r="G9" s="66">
        <f t="shared" si="0"/>
        <v>1</v>
      </c>
      <c r="H9" s="239">
        <f t="shared" si="1"/>
        <v>297000</v>
      </c>
      <c r="I9" s="83">
        <f t="shared" ref="I9:I45" si="12">G9*H9</f>
        <v>297000</v>
      </c>
      <c r="J9" s="212">
        <f t="shared" si="2"/>
        <v>1</v>
      </c>
      <c r="K9" s="124">
        <f t="shared" si="3"/>
        <v>326700</v>
      </c>
      <c r="L9" s="97">
        <f t="shared" si="4"/>
        <v>326700</v>
      </c>
      <c r="M9" s="212">
        <f t="shared" si="5"/>
        <v>1</v>
      </c>
      <c r="N9" s="124">
        <f t="shared" si="6"/>
        <v>359370</v>
      </c>
      <c r="O9" s="213">
        <f t="shared" si="7"/>
        <v>359370</v>
      </c>
      <c r="P9" s="212">
        <f t="shared" si="8"/>
        <v>1</v>
      </c>
      <c r="Q9" s="83">
        <f t="shared" si="9"/>
        <v>395307.00000000006</v>
      </c>
      <c r="R9" s="213">
        <f t="shared" si="10"/>
        <v>395307.00000000006</v>
      </c>
    </row>
    <row r="10" spans="1:18" x14ac:dyDescent="0.3">
      <c r="A10" s="36" t="s">
        <v>49</v>
      </c>
      <c r="B10" s="199" t="s">
        <v>293</v>
      </c>
      <c r="C10" t="s">
        <v>294</v>
      </c>
      <c r="D10">
        <v>1</v>
      </c>
      <c r="E10" s="264">
        <v>250000</v>
      </c>
      <c r="F10" s="83">
        <f t="shared" si="11"/>
        <v>250000</v>
      </c>
      <c r="G10" s="66">
        <f t="shared" si="0"/>
        <v>1</v>
      </c>
      <c r="H10" s="239">
        <f t="shared" si="1"/>
        <v>275000</v>
      </c>
      <c r="I10" s="83">
        <f t="shared" si="12"/>
        <v>275000</v>
      </c>
      <c r="J10" s="212">
        <v>2</v>
      </c>
      <c r="K10" s="124">
        <f t="shared" si="3"/>
        <v>302500</v>
      </c>
      <c r="L10" s="97">
        <f t="shared" si="4"/>
        <v>605000</v>
      </c>
      <c r="M10" s="212">
        <f t="shared" si="5"/>
        <v>2</v>
      </c>
      <c r="N10" s="124">
        <f t="shared" si="6"/>
        <v>332750</v>
      </c>
      <c r="O10" s="213">
        <f t="shared" si="7"/>
        <v>665500</v>
      </c>
      <c r="P10" s="212">
        <f t="shared" si="8"/>
        <v>2</v>
      </c>
      <c r="Q10" s="83">
        <f t="shared" si="9"/>
        <v>366025.00000000006</v>
      </c>
      <c r="R10" s="213">
        <f t="shared" si="10"/>
        <v>732050.00000000012</v>
      </c>
    </row>
    <row r="11" spans="1:18" x14ac:dyDescent="0.3">
      <c r="A11" s="36" t="s">
        <v>49</v>
      </c>
      <c r="B11" s="199" t="s">
        <v>298</v>
      </c>
      <c r="C11" t="s">
        <v>299</v>
      </c>
      <c r="D11">
        <v>1</v>
      </c>
      <c r="E11" s="264">
        <v>280000</v>
      </c>
      <c r="F11" s="83">
        <f t="shared" si="11"/>
        <v>280000</v>
      </c>
      <c r="G11" s="66">
        <f t="shared" si="0"/>
        <v>1</v>
      </c>
      <c r="H11" s="239">
        <f t="shared" si="1"/>
        <v>308000</v>
      </c>
      <c r="I11" s="83">
        <f t="shared" si="12"/>
        <v>308000</v>
      </c>
      <c r="J11" s="212">
        <v>2</v>
      </c>
      <c r="K11" s="124">
        <f t="shared" si="3"/>
        <v>338800</v>
      </c>
      <c r="L11" s="97">
        <f t="shared" si="4"/>
        <v>677600</v>
      </c>
      <c r="M11" s="212">
        <f t="shared" si="5"/>
        <v>2</v>
      </c>
      <c r="N11" s="124">
        <f t="shared" si="6"/>
        <v>372680.00000000006</v>
      </c>
      <c r="O11" s="213">
        <f t="shared" si="7"/>
        <v>745360.00000000012</v>
      </c>
      <c r="P11" s="212">
        <f t="shared" si="8"/>
        <v>2</v>
      </c>
      <c r="Q11" s="83">
        <f t="shared" si="9"/>
        <v>409948.00000000012</v>
      </c>
      <c r="R11" s="213">
        <f t="shared" si="10"/>
        <v>819896.00000000023</v>
      </c>
    </row>
    <row r="12" spans="1:18" x14ac:dyDescent="0.3">
      <c r="A12" s="36" t="s">
        <v>49</v>
      </c>
      <c r="B12" s="199" t="s">
        <v>136</v>
      </c>
      <c r="C12" t="s">
        <v>301</v>
      </c>
      <c r="D12">
        <v>1</v>
      </c>
      <c r="E12" s="264">
        <v>300000</v>
      </c>
      <c r="F12" s="83">
        <f t="shared" si="11"/>
        <v>300000</v>
      </c>
      <c r="G12" s="66">
        <f t="shared" si="0"/>
        <v>1</v>
      </c>
      <c r="H12" s="239">
        <f t="shared" si="1"/>
        <v>330000</v>
      </c>
      <c r="I12" s="83">
        <f t="shared" si="12"/>
        <v>330000</v>
      </c>
      <c r="J12" s="212">
        <v>2</v>
      </c>
      <c r="K12" s="124">
        <f t="shared" si="3"/>
        <v>363000.00000000006</v>
      </c>
      <c r="L12" s="97">
        <f t="shared" si="4"/>
        <v>726000.00000000012</v>
      </c>
      <c r="M12" s="212">
        <f t="shared" si="5"/>
        <v>2</v>
      </c>
      <c r="N12" s="124">
        <f t="shared" si="6"/>
        <v>399300.00000000012</v>
      </c>
      <c r="O12" s="213">
        <f t="shared" si="7"/>
        <v>798600.00000000023</v>
      </c>
      <c r="P12" s="212">
        <f t="shared" si="8"/>
        <v>2</v>
      </c>
      <c r="Q12" s="83">
        <f t="shared" si="9"/>
        <v>439230.00000000017</v>
      </c>
      <c r="R12" s="213">
        <f t="shared" si="10"/>
        <v>878460.00000000035</v>
      </c>
    </row>
    <row r="13" spans="1:18" x14ac:dyDescent="0.3">
      <c r="A13" s="36" t="s">
        <v>48</v>
      </c>
      <c r="B13" s="199" t="s">
        <v>303</v>
      </c>
      <c r="C13" t="s">
        <v>304</v>
      </c>
      <c r="D13">
        <v>1</v>
      </c>
      <c r="E13" s="264">
        <v>1800000</v>
      </c>
      <c r="F13" s="83">
        <f t="shared" si="11"/>
        <v>1800000</v>
      </c>
      <c r="G13" s="66">
        <f t="shared" si="0"/>
        <v>1</v>
      </c>
      <c r="H13" s="239">
        <f t="shared" si="1"/>
        <v>1980000.0000000002</v>
      </c>
      <c r="I13" s="83">
        <f t="shared" si="12"/>
        <v>1980000.0000000002</v>
      </c>
      <c r="J13" s="212">
        <f t="shared" si="2"/>
        <v>1</v>
      </c>
      <c r="K13" s="124">
        <f t="shared" si="3"/>
        <v>2178000.0000000005</v>
      </c>
      <c r="L13" s="97">
        <f t="shared" si="4"/>
        <v>2178000.0000000005</v>
      </c>
      <c r="M13" s="212">
        <f t="shared" si="5"/>
        <v>1</v>
      </c>
      <c r="N13" s="124">
        <f t="shared" si="6"/>
        <v>2395800.0000000009</v>
      </c>
      <c r="O13" s="213">
        <f t="shared" si="7"/>
        <v>2395800.0000000009</v>
      </c>
      <c r="P13" s="212">
        <f t="shared" si="8"/>
        <v>1</v>
      </c>
      <c r="Q13" s="83">
        <f t="shared" si="9"/>
        <v>2635380.0000000014</v>
      </c>
      <c r="R13" s="213">
        <f t="shared" si="10"/>
        <v>2635380.0000000014</v>
      </c>
    </row>
    <row r="14" spans="1:18" x14ac:dyDescent="0.3">
      <c r="A14" s="36" t="s">
        <v>48</v>
      </c>
      <c r="B14" s="199" t="s">
        <v>372</v>
      </c>
      <c r="C14" t="s">
        <v>305</v>
      </c>
      <c r="D14">
        <v>1</v>
      </c>
      <c r="E14" s="264">
        <v>800000</v>
      </c>
      <c r="F14" s="124">
        <f t="shared" si="11"/>
        <v>800000</v>
      </c>
      <c r="G14" s="66">
        <v>0</v>
      </c>
      <c r="I14" s="83"/>
      <c r="J14" s="212"/>
      <c r="K14" s="124"/>
      <c r="L14" s="97"/>
      <c r="M14" s="212"/>
      <c r="N14" s="124"/>
      <c r="O14" s="213"/>
      <c r="P14" s="212"/>
      <c r="Q14" s="83"/>
      <c r="R14" s="213"/>
    </row>
    <row r="15" spans="1:18" x14ac:dyDescent="0.3">
      <c r="A15" s="36" t="s">
        <v>48</v>
      </c>
      <c r="B15" s="199" t="s">
        <v>371</v>
      </c>
      <c r="E15" s="264"/>
      <c r="F15" s="124"/>
      <c r="G15" s="66">
        <v>1</v>
      </c>
      <c r="H15" s="239">
        <v>450000</v>
      </c>
      <c r="I15" s="83">
        <f t="shared" si="12"/>
        <v>450000</v>
      </c>
      <c r="J15" s="212">
        <f>G15</f>
        <v>1</v>
      </c>
      <c r="K15" s="124">
        <f>H15*1.1</f>
        <v>495000.00000000006</v>
      </c>
      <c r="L15" s="97">
        <f t="shared" si="4"/>
        <v>495000.00000000006</v>
      </c>
      <c r="M15" s="212">
        <f>J15</f>
        <v>1</v>
      </c>
      <c r="N15" s="124">
        <f t="shared" si="6"/>
        <v>544500.00000000012</v>
      </c>
      <c r="O15" s="213">
        <f t="shared" si="7"/>
        <v>544500.00000000012</v>
      </c>
      <c r="P15" s="212">
        <f>M15</f>
        <v>1</v>
      </c>
      <c r="Q15" s="83">
        <f t="shared" si="9"/>
        <v>598950.00000000023</v>
      </c>
      <c r="R15" s="213">
        <f t="shared" si="10"/>
        <v>598950.00000000023</v>
      </c>
    </row>
    <row r="16" spans="1:18" x14ac:dyDescent="0.3">
      <c r="A16" s="36" t="s">
        <v>49</v>
      </c>
      <c r="B16" s="199" t="s">
        <v>132</v>
      </c>
      <c r="C16" t="s">
        <v>306</v>
      </c>
      <c r="D16">
        <v>0</v>
      </c>
      <c r="E16" s="264">
        <v>285000</v>
      </c>
      <c r="F16" s="83">
        <f t="shared" si="11"/>
        <v>0</v>
      </c>
      <c r="G16" s="66">
        <f>D16</f>
        <v>0</v>
      </c>
      <c r="H16" s="239">
        <f>E16*1.1</f>
        <v>313500</v>
      </c>
      <c r="I16" s="83">
        <f t="shared" si="12"/>
        <v>0</v>
      </c>
      <c r="J16" s="212">
        <f t="shared" si="2"/>
        <v>0</v>
      </c>
      <c r="K16" s="124">
        <f t="shared" si="3"/>
        <v>344850</v>
      </c>
      <c r="L16" s="97">
        <f t="shared" si="4"/>
        <v>0</v>
      </c>
      <c r="M16" s="212">
        <f t="shared" si="5"/>
        <v>0</v>
      </c>
      <c r="N16" s="124">
        <f t="shared" si="6"/>
        <v>379335.00000000006</v>
      </c>
      <c r="O16" s="213">
        <f t="shared" si="7"/>
        <v>0</v>
      </c>
      <c r="P16" s="212">
        <f t="shared" si="8"/>
        <v>0</v>
      </c>
      <c r="Q16" s="83">
        <f t="shared" si="9"/>
        <v>417268.50000000012</v>
      </c>
      <c r="R16" s="213">
        <f t="shared" si="10"/>
        <v>0</v>
      </c>
    </row>
    <row r="17" spans="1:18" x14ac:dyDescent="0.3">
      <c r="A17" s="36" t="s">
        <v>49</v>
      </c>
      <c r="B17" s="199" t="s">
        <v>307</v>
      </c>
      <c r="C17" t="s">
        <v>308</v>
      </c>
      <c r="D17">
        <v>1</v>
      </c>
      <c r="E17" s="264">
        <v>290000</v>
      </c>
      <c r="F17" s="83">
        <f t="shared" si="11"/>
        <v>290000</v>
      </c>
      <c r="G17" s="66">
        <f>D17</f>
        <v>1</v>
      </c>
      <c r="H17" s="239">
        <f>E17*1.1</f>
        <v>319000</v>
      </c>
      <c r="I17" s="83">
        <f t="shared" si="12"/>
        <v>319000</v>
      </c>
      <c r="J17" s="212">
        <f t="shared" si="2"/>
        <v>1</v>
      </c>
      <c r="K17" s="124">
        <f t="shared" si="3"/>
        <v>350900</v>
      </c>
      <c r="L17" s="97">
        <f t="shared" si="4"/>
        <v>350900</v>
      </c>
      <c r="M17" s="212">
        <f t="shared" si="5"/>
        <v>1</v>
      </c>
      <c r="N17" s="124">
        <f t="shared" si="6"/>
        <v>385990.00000000006</v>
      </c>
      <c r="O17" s="213">
        <f t="shared" si="7"/>
        <v>385990.00000000006</v>
      </c>
      <c r="P17" s="212">
        <f t="shared" si="8"/>
        <v>1</v>
      </c>
      <c r="Q17" s="83">
        <f t="shared" si="9"/>
        <v>424589.00000000012</v>
      </c>
      <c r="R17" s="213">
        <f t="shared" si="10"/>
        <v>424589.00000000012</v>
      </c>
    </row>
    <row r="18" spans="1:18" x14ac:dyDescent="0.3">
      <c r="A18" s="36" t="s">
        <v>49</v>
      </c>
      <c r="B18" s="199" t="s">
        <v>309</v>
      </c>
      <c r="C18" t="s">
        <v>310</v>
      </c>
      <c r="D18">
        <v>1</v>
      </c>
      <c r="E18" s="264">
        <v>250000</v>
      </c>
      <c r="F18" s="83">
        <f t="shared" si="11"/>
        <v>250000</v>
      </c>
      <c r="G18" s="66">
        <f>D18</f>
        <v>1</v>
      </c>
      <c r="H18" s="239">
        <f>E18*1.1</f>
        <v>275000</v>
      </c>
      <c r="I18" s="83">
        <f t="shared" si="12"/>
        <v>275000</v>
      </c>
      <c r="J18" s="212">
        <f t="shared" si="2"/>
        <v>1</v>
      </c>
      <c r="K18" s="124">
        <f t="shared" si="3"/>
        <v>302500</v>
      </c>
      <c r="L18" s="97">
        <f t="shared" si="4"/>
        <v>302500</v>
      </c>
      <c r="M18" s="212">
        <f t="shared" si="5"/>
        <v>1</v>
      </c>
      <c r="N18" s="124">
        <f t="shared" si="6"/>
        <v>332750</v>
      </c>
      <c r="O18" s="213">
        <f t="shared" si="7"/>
        <v>332750</v>
      </c>
      <c r="P18" s="212">
        <f t="shared" si="8"/>
        <v>1</v>
      </c>
      <c r="Q18" s="83">
        <f t="shared" si="9"/>
        <v>366025.00000000006</v>
      </c>
      <c r="R18" s="213">
        <f t="shared" si="10"/>
        <v>366025.00000000006</v>
      </c>
    </row>
    <row r="19" spans="1:18" x14ac:dyDescent="0.3">
      <c r="A19" s="36" t="s">
        <v>49</v>
      </c>
      <c r="B19" s="199" t="s">
        <v>309</v>
      </c>
      <c r="C19" t="s">
        <v>311</v>
      </c>
      <c r="D19">
        <v>1</v>
      </c>
      <c r="E19" s="264">
        <v>250000</v>
      </c>
      <c r="F19" s="83">
        <f t="shared" si="11"/>
        <v>250000</v>
      </c>
      <c r="G19" s="66">
        <f>D19</f>
        <v>1</v>
      </c>
      <c r="H19" s="239">
        <f>E19*1.1</f>
        <v>275000</v>
      </c>
      <c r="I19" s="83">
        <f t="shared" si="12"/>
        <v>275000</v>
      </c>
      <c r="J19" s="212">
        <f t="shared" si="2"/>
        <v>1</v>
      </c>
      <c r="K19" s="124">
        <f t="shared" si="3"/>
        <v>302500</v>
      </c>
      <c r="L19" s="97">
        <f t="shared" si="4"/>
        <v>302500</v>
      </c>
      <c r="M19" s="212">
        <f t="shared" si="5"/>
        <v>1</v>
      </c>
      <c r="N19" s="124">
        <f t="shared" si="6"/>
        <v>332750</v>
      </c>
      <c r="O19" s="213">
        <f t="shared" si="7"/>
        <v>332750</v>
      </c>
      <c r="P19" s="212">
        <f t="shared" si="8"/>
        <v>1</v>
      </c>
      <c r="Q19" s="83">
        <f t="shared" si="9"/>
        <v>366025.00000000006</v>
      </c>
      <c r="R19" s="213">
        <f t="shared" si="10"/>
        <v>366025.00000000006</v>
      </c>
    </row>
    <row r="20" spans="1:18" x14ac:dyDescent="0.3">
      <c r="A20" s="36" t="s">
        <v>48</v>
      </c>
      <c r="B20" s="199" t="s">
        <v>312</v>
      </c>
      <c r="C20" t="s">
        <v>313</v>
      </c>
      <c r="D20">
        <v>1</v>
      </c>
      <c r="E20" s="264">
        <v>1650000</v>
      </c>
      <c r="F20" s="83">
        <f t="shared" si="11"/>
        <v>1650000</v>
      </c>
      <c r="G20" s="66">
        <f>D20</f>
        <v>1</v>
      </c>
      <c r="H20" s="239">
        <f>E20*1.1</f>
        <v>1815000.0000000002</v>
      </c>
      <c r="I20" s="83">
        <f t="shared" si="12"/>
        <v>1815000.0000000002</v>
      </c>
      <c r="J20" s="212">
        <f t="shared" si="2"/>
        <v>1</v>
      </c>
      <c r="K20" s="124">
        <f t="shared" si="3"/>
        <v>1996500.0000000005</v>
      </c>
      <c r="L20" s="97">
        <f t="shared" si="4"/>
        <v>1996500.0000000005</v>
      </c>
      <c r="M20" s="212">
        <f t="shared" si="5"/>
        <v>1</v>
      </c>
      <c r="N20" s="124">
        <f t="shared" si="6"/>
        <v>2196150.0000000005</v>
      </c>
      <c r="O20" s="213">
        <f t="shared" si="7"/>
        <v>2196150.0000000005</v>
      </c>
      <c r="P20" s="212">
        <f t="shared" si="8"/>
        <v>1</v>
      </c>
      <c r="Q20" s="83">
        <f t="shared" si="9"/>
        <v>2415765.0000000009</v>
      </c>
      <c r="R20" s="213">
        <f t="shared" si="10"/>
        <v>2415765.0000000009</v>
      </c>
    </row>
    <row r="21" spans="1:18" x14ac:dyDescent="0.3">
      <c r="A21" s="36"/>
      <c r="B21" s="199" t="s">
        <v>315</v>
      </c>
      <c r="C21" t="s">
        <v>316</v>
      </c>
      <c r="E21" s="264">
        <v>0</v>
      </c>
      <c r="F21" s="83"/>
      <c r="I21" s="83"/>
      <c r="J21" s="212"/>
      <c r="K21" s="124"/>
      <c r="L21" s="97"/>
      <c r="M21" s="212"/>
      <c r="N21" s="124"/>
      <c r="O21" s="213"/>
      <c r="P21" s="212"/>
      <c r="Q21" s="83"/>
      <c r="R21" s="213"/>
    </row>
    <row r="22" spans="1:18" x14ac:dyDescent="0.3">
      <c r="A22" s="36" t="s">
        <v>48</v>
      </c>
      <c r="B22" s="199" t="s">
        <v>283</v>
      </c>
      <c r="C22" t="s">
        <v>284</v>
      </c>
      <c r="D22">
        <v>1</v>
      </c>
      <c r="E22" s="264">
        <v>1200000</v>
      </c>
      <c r="F22" s="83">
        <f t="shared" si="11"/>
        <v>1200000</v>
      </c>
      <c r="G22" s="66">
        <f>D22</f>
        <v>1</v>
      </c>
      <c r="H22" s="239">
        <f>E22*1.05</f>
        <v>1260000</v>
      </c>
      <c r="I22" s="83">
        <f t="shared" si="12"/>
        <v>1260000</v>
      </c>
      <c r="J22" s="212">
        <f t="shared" si="2"/>
        <v>1</v>
      </c>
      <c r="K22" s="124">
        <f t="shared" si="3"/>
        <v>1386000</v>
      </c>
      <c r="L22" s="97">
        <f t="shared" si="4"/>
        <v>1386000</v>
      </c>
      <c r="M22" s="212">
        <f t="shared" si="5"/>
        <v>1</v>
      </c>
      <c r="N22" s="124">
        <f>K22*1.25</f>
        <v>1732500</v>
      </c>
      <c r="O22" s="213">
        <f t="shared" si="7"/>
        <v>1732500</v>
      </c>
      <c r="P22" s="212">
        <f t="shared" si="8"/>
        <v>1</v>
      </c>
      <c r="Q22" s="83">
        <f>N22*1.25</f>
        <v>2165625</v>
      </c>
      <c r="R22" s="213">
        <f t="shared" si="10"/>
        <v>2165625</v>
      </c>
    </row>
    <row r="23" spans="1:18" x14ac:dyDescent="0.3">
      <c r="A23" s="36" t="s">
        <v>48</v>
      </c>
      <c r="B23" s="199" t="s">
        <v>127</v>
      </c>
      <c r="C23" t="s">
        <v>284</v>
      </c>
      <c r="E23" s="264">
        <v>0</v>
      </c>
      <c r="F23" s="83"/>
      <c r="G23" s="66">
        <v>1</v>
      </c>
      <c r="H23" s="264">
        <v>500000</v>
      </c>
      <c r="I23" s="83">
        <f t="shared" si="12"/>
        <v>500000</v>
      </c>
      <c r="J23" s="212">
        <f t="shared" si="2"/>
        <v>1</v>
      </c>
      <c r="K23" s="124">
        <f t="shared" si="3"/>
        <v>550000</v>
      </c>
      <c r="L23" s="97">
        <f t="shared" si="4"/>
        <v>550000</v>
      </c>
      <c r="M23" s="212">
        <f t="shared" si="5"/>
        <v>1</v>
      </c>
      <c r="N23" s="124">
        <f t="shared" si="6"/>
        <v>605000</v>
      </c>
      <c r="O23" s="213">
        <f t="shared" si="7"/>
        <v>605000</v>
      </c>
      <c r="P23" s="212">
        <v>2</v>
      </c>
      <c r="Q23" s="83">
        <f t="shared" si="9"/>
        <v>665500</v>
      </c>
      <c r="R23" s="213">
        <f t="shared" si="10"/>
        <v>1331000</v>
      </c>
    </row>
    <row r="24" spans="1:18" x14ac:dyDescent="0.3">
      <c r="A24" s="36" t="s">
        <v>48</v>
      </c>
      <c r="B24" s="199" t="s">
        <v>285</v>
      </c>
      <c r="C24" t="s">
        <v>284</v>
      </c>
      <c r="D24">
        <v>1</v>
      </c>
      <c r="E24" s="264">
        <v>300000</v>
      </c>
      <c r="F24" s="83">
        <f t="shared" si="11"/>
        <v>300000</v>
      </c>
      <c r="G24" s="66">
        <v>1</v>
      </c>
      <c r="H24" s="239">
        <f>E24*1.05</f>
        <v>315000</v>
      </c>
      <c r="I24" s="83">
        <f t="shared" si="12"/>
        <v>315000</v>
      </c>
      <c r="J24" s="212">
        <v>2</v>
      </c>
      <c r="K24" s="124">
        <f t="shared" si="3"/>
        <v>346500</v>
      </c>
      <c r="L24" s="97">
        <f t="shared" si="4"/>
        <v>693000</v>
      </c>
      <c r="M24" s="212">
        <v>6</v>
      </c>
      <c r="N24" s="124">
        <f t="shared" si="6"/>
        <v>381150.00000000006</v>
      </c>
      <c r="O24" s="213">
        <f t="shared" si="7"/>
        <v>2286900.0000000005</v>
      </c>
      <c r="P24" s="212">
        <v>10</v>
      </c>
      <c r="Q24" s="83">
        <f t="shared" si="9"/>
        <v>419265.00000000012</v>
      </c>
      <c r="R24" s="213">
        <f t="shared" si="10"/>
        <v>4192650.0000000009</v>
      </c>
    </row>
    <row r="25" spans="1:18" x14ac:dyDescent="0.3">
      <c r="A25" s="36" t="s">
        <v>49</v>
      </c>
      <c r="B25" s="199" t="s">
        <v>325</v>
      </c>
      <c r="C25" t="s">
        <v>284</v>
      </c>
      <c r="E25" s="264">
        <v>0</v>
      </c>
      <c r="F25" s="83"/>
      <c r="G25" s="66">
        <v>1</v>
      </c>
      <c r="H25" s="264">
        <v>600000</v>
      </c>
      <c r="I25" s="83">
        <f t="shared" si="12"/>
        <v>600000</v>
      </c>
      <c r="J25" s="212">
        <f t="shared" si="2"/>
        <v>1</v>
      </c>
      <c r="K25" s="124">
        <f t="shared" si="3"/>
        <v>660000</v>
      </c>
      <c r="L25" s="97">
        <f t="shared" si="4"/>
        <v>660000</v>
      </c>
      <c r="M25" s="212">
        <f t="shared" si="5"/>
        <v>1</v>
      </c>
      <c r="N25" s="124">
        <f t="shared" si="6"/>
        <v>726000.00000000012</v>
      </c>
      <c r="O25" s="213">
        <f t="shared" si="7"/>
        <v>726000.00000000012</v>
      </c>
      <c r="P25" s="212">
        <f t="shared" si="8"/>
        <v>1</v>
      </c>
      <c r="Q25" s="83">
        <f t="shared" si="9"/>
        <v>798600.00000000023</v>
      </c>
      <c r="R25" s="213">
        <f t="shared" si="10"/>
        <v>798600.00000000023</v>
      </c>
    </row>
    <row r="26" spans="1:18" x14ac:dyDescent="0.3">
      <c r="A26" s="36" t="s">
        <v>48</v>
      </c>
      <c r="B26" s="199" t="s">
        <v>290</v>
      </c>
      <c r="C26" t="s">
        <v>284</v>
      </c>
      <c r="D26">
        <v>1</v>
      </c>
      <c r="E26" s="264">
        <v>400000</v>
      </c>
      <c r="F26" s="83">
        <f t="shared" si="11"/>
        <v>400000</v>
      </c>
      <c r="G26" s="66">
        <v>1</v>
      </c>
      <c r="H26" s="239">
        <f t="shared" ref="H26:H45" si="13">E26*1.05</f>
        <v>420000</v>
      </c>
      <c r="I26" s="83">
        <f t="shared" si="12"/>
        <v>420000</v>
      </c>
      <c r="J26" s="212">
        <f t="shared" si="2"/>
        <v>1</v>
      </c>
      <c r="K26" s="124">
        <f t="shared" si="3"/>
        <v>462000.00000000006</v>
      </c>
      <c r="L26" s="97">
        <f t="shared" si="4"/>
        <v>462000.00000000006</v>
      </c>
      <c r="M26" s="212">
        <f t="shared" si="5"/>
        <v>1</v>
      </c>
      <c r="N26" s="124">
        <f t="shared" si="6"/>
        <v>508200.00000000012</v>
      </c>
      <c r="O26" s="213">
        <f t="shared" si="7"/>
        <v>508200.00000000012</v>
      </c>
      <c r="P26" s="212">
        <f t="shared" si="8"/>
        <v>1</v>
      </c>
      <c r="Q26" s="83">
        <f t="shared" si="9"/>
        <v>559020.00000000012</v>
      </c>
      <c r="R26" s="213">
        <f t="shared" si="10"/>
        <v>559020.00000000012</v>
      </c>
    </row>
    <row r="27" spans="1:18" x14ac:dyDescent="0.3">
      <c r="A27" s="36" t="s">
        <v>48</v>
      </c>
      <c r="B27" s="199" t="s">
        <v>373</v>
      </c>
      <c r="C27" t="s">
        <v>284</v>
      </c>
      <c r="D27">
        <v>1</v>
      </c>
      <c r="E27" s="264">
        <v>900000</v>
      </c>
      <c r="F27" s="83">
        <f t="shared" si="11"/>
        <v>900000</v>
      </c>
      <c r="G27" s="66">
        <v>1</v>
      </c>
      <c r="H27" s="239">
        <f t="shared" si="13"/>
        <v>945000</v>
      </c>
      <c r="I27" s="83">
        <f t="shared" si="12"/>
        <v>945000</v>
      </c>
      <c r="J27" s="212">
        <f t="shared" si="2"/>
        <v>1</v>
      </c>
      <c r="K27" s="124">
        <f t="shared" si="3"/>
        <v>1039500.0000000001</v>
      </c>
      <c r="L27" s="97">
        <f t="shared" si="4"/>
        <v>1039500.0000000001</v>
      </c>
      <c r="M27" s="212">
        <f t="shared" si="5"/>
        <v>1</v>
      </c>
      <c r="N27" s="124">
        <f>K27*1.25</f>
        <v>1299375.0000000002</v>
      </c>
      <c r="O27" s="213">
        <f t="shared" si="7"/>
        <v>1299375.0000000002</v>
      </c>
      <c r="P27" s="212">
        <f t="shared" si="8"/>
        <v>1</v>
      </c>
      <c r="Q27" s="83">
        <f>N27*1.25</f>
        <v>1624218.7500000002</v>
      </c>
      <c r="R27" s="213">
        <f t="shared" si="10"/>
        <v>1624218.7500000002</v>
      </c>
    </row>
    <row r="28" spans="1:18" x14ac:dyDescent="0.3">
      <c r="A28" s="36" t="s">
        <v>48</v>
      </c>
      <c r="B28" s="199" t="s">
        <v>139</v>
      </c>
      <c r="E28" s="264"/>
      <c r="F28" s="83"/>
      <c r="I28" s="83"/>
      <c r="J28" s="212"/>
      <c r="K28" s="124"/>
      <c r="L28" s="97"/>
      <c r="M28" s="212">
        <v>1</v>
      </c>
      <c r="N28" s="124">
        <v>1000000</v>
      </c>
      <c r="O28" s="213">
        <f t="shared" si="7"/>
        <v>1000000</v>
      </c>
      <c r="P28" s="212">
        <v>1</v>
      </c>
      <c r="Q28" s="83">
        <f>1000000*1.1</f>
        <v>1100000</v>
      </c>
      <c r="R28" s="213">
        <f t="shared" si="10"/>
        <v>1100000</v>
      </c>
    </row>
    <row r="29" spans="1:18" x14ac:dyDescent="0.3">
      <c r="A29" s="36" t="s">
        <v>49</v>
      </c>
      <c r="B29" s="199" t="s">
        <v>169</v>
      </c>
      <c r="C29" t="s">
        <v>284</v>
      </c>
      <c r="D29">
        <v>1</v>
      </c>
      <c r="E29" s="264">
        <v>400000</v>
      </c>
      <c r="F29" s="83">
        <f t="shared" si="11"/>
        <v>400000</v>
      </c>
      <c r="G29" s="66">
        <v>1</v>
      </c>
      <c r="H29" s="239">
        <f t="shared" si="13"/>
        <v>420000</v>
      </c>
      <c r="I29" s="83">
        <f t="shared" si="12"/>
        <v>420000</v>
      </c>
      <c r="J29" s="212">
        <f t="shared" si="2"/>
        <v>1</v>
      </c>
      <c r="K29" s="124">
        <f t="shared" si="3"/>
        <v>462000.00000000006</v>
      </c>
      <c r="L29" s="97">
        <f t="shared" si="4"/>
        <v>462000.00000000006</v>
      </c>
      <c r="M29" s="212">
        <f t="shared" si="5"/>
        <v>1</v>
      </c>
      <c r="N29" s="124">
        <f t="shared" si="6"/>
        <v>508200.00000000012</v>
      </c>
      <c r="O29" s="213">
        <f t="shared" si="7"/>
        <v>508200.00000000012</v>
      </c>
      <c r="P29" s="212">
        <f t="shared" si="8"/>
        <v>1</v>
      </c>
      <c r="Q29" s="83">
        <f t="shared" si="9"/>
        <v>559020.00000000012</v>
      </c>
      <c r="R29" s="213">
        <f t="shared" si="10"/>
        <v>559020.00000000012</v>
      </c>
    </row>
    <row r="30" spans="1:18" x14ac:dyDescent="0.3">
      <c r="A30" s="36" t="s">
        <v>48</v>
      </c>
      <c r="B30" s="199" t="s">
        <v>297</v>
      </c>
      <c r="C30" t="s">
        <v>284</v>
      </c>
      <c r="D30">
        <v>1</v>
      </c>
      <c r="E30" s="264">
        <v>600000</v>
      </c>
      <c r="F30" s="83">
        <f t="shared" si="11"/>
        <v>600000</v>
      </c>
      <c r="G30" s="66">
        <v>1</v>
      </c>
      <c r="H30" s="239">
        <f t="shared" si="13"/>
        <v>630000</v>
      </c>
      <c r="I30" s="83">
        <f t="shared" si="12"/>
        <v>630000</v>
      </c>
      <c r="J30" s="212">
        <f t="shared" si="2"/>
        <v>1</v>
      </c>
      <c r="K30" s="124">
        <f t="shared" si="3"/>
        <v>693000</v>
      </c>
      <c r="L30" s="97">
        <f t="shared" si="4"/>
        <v>693000</v>
      </c>
      <c r="M30" s="212">
        <f t="shared" si="5"/>
        <v>1</v>
      </c>
      <c r="N30" s="124">
        <f t="shared" si="6"/>
        <v>762300.00000000012</v>
      </c>
      <c r="O30" s="213">
        <f t="shared" si="7"/>
        <v>762300.00000000012</v>
      </c>
      <c r="P30" s="212">
        <f t="shared" si="8"/>
        <v>1</v>
      </c>
      <c r="Q30" s="83">
        <f t="shared" si="9"/>
        <v>838530.00000000023</v>
      </c>
      <c r="R30" s="213">
        <f t="shared" si="10"/>
        <v>838530.00000000023</v>
      </c>
    </row>
    <row r="31" spans="1:18" x14ac:dyDescent="0.3">
      <c r="A31" s="36" t="s">
        <v>48</v>
      </c>
      <c r="B31" s="199" t="s">
        <v>322</v>
      </c>
      <c r="C31" t="s">
        <v>284</v>
      </c>
      <c r="E31" s="264">
        <v>0</v>
      </c>
      <c r="F31" s="83"/>
      <c r="I31" s="83"/>
      <c r="J31" s="212">
        <v>1</v>
      </c>
      <c r="K31" s="264">
        <v>2000000</v>
      </c>
      <c r="L31" s="97">
        <f t="shared" si="4"/>
        <v>2000000</v>
      </c>
      <c r="M31" s="212">
        <f t="shared" si="5"/>
        <v>1</v>
      </c>
      <c r="N31" s="124">
        <f t="shared" si="6"/>
        <v>2200000</v>
      </c>
      <c r="O31" s="213">
        <f t="shared" si="7"/>
        <v>2200000</v>
      </c>
      <c r="P31" s="212">
        <f t="shared" si="8"/>
        <v>1</v>
      </c>
      <c r="Q31" s="83">
        <f t="shared" si="9"/>
        <v>2420000</v>
      </c>
      <c r="R31" s="213">
        <f t="shared" si="10"/>
        <v>2420000</v>
      </c>
    </row>
    <row r="32" spans="1:18" x14ac:dyDescent="0.3">
      <c r="A32" s="36" t="s">
        <v>48</v>
      </c>
      <c r="B32" s="199" t="s">
        <v>300</v>
      </c>
      <c r="C32" t="s">
        <v>284</v>
      </c>
      <c r="D32">
        <v>1</v>
      </c>
      <c r="E32" s="264">
        <v>1000000</v>
      </c>
      <c r="F32" s="83">
        <f t="shared" si="11"/>
        <v>1000000</v>
      </c>
      <c r="G32" s="66">
        <v>1</v>
      </c>
      <c r="H32" s="239">
        <f t="shared" si="13"/>
        <v>1050000</v>
      </c>
      <c r="I32" s="83">
        <f t="shared" si="12"/>
        <v>1050000</v>
      </c>
      <c r="J32" s="212">
        <f t="shared" ref="J32:J43" si="14">G32</f>
        <v>1</v>
      </c>
      <c r="K32" s="124">
        <f t="shared" ref="K32:K52" si="15">H32*1.1</f>
        <v>1155000</v>
      </c>
      <c r="L32" s="97">
        <f t="shared" si="4"/>
        <v>1155000</v>
      </c>
      <c r="M32" s="212">
        <f t="shared" si="5"/>
        <v>1</v>
      </c>
      <c r="N32" s="124">
        <f t="shared" si="6"/>
        <v>1270500</v>
      </c>
      <c r="O32" s="213">
        <f t="shared" si="7"/>
        <v>1270500</v>
      </c>
      <c r="P32" s="212">
        <f t="shared" si="8"/>
        <v>1</v>
      </c>
      <c r="Q32" s="83">
        <f t="shared" si="9"/>
        <v>1397550</v>
      </c>
      <c r="R32" s="213">
        <f t="shared" si="10"/>
        <v>1397550</v>
      </c>
    </row>
    <row r="33" spans="1:18" x14ac:dyDescent="0.3">
      <c r="A33" s="36" t="s">
        <v>48</v>
      </c>
      <c r="B33" s="199" t="s">
        <v>326</v>
      </c>
      <c r="C33" t="s">
        <v>284</v>
      </c>
      <c r="E33" s="264">
        <v>0</v>
      </c>
      <c r="F33" s="83"/>
      <c r="I33" s="83"/>
      <c r="J33" s="212">
        <v>1</v>
      </c>
      <c r="K33" s="264">
        <v>800000</v>
      </c>
      <c r="L33" s="97">
        <f t="shared" si="4"/>
        <v>800000</v>
      </c>
      <c r="M33" s="212">
        <f t="shared" si="5"/>
        <v>1</v>
      </c>
      <c r="N33" s="124">
        <f t="shared" si="6"/>
        <v>880000.00000000012</v>
      </c>
      <c r="O33" s="213">
        <f t="shared" si="7"/>
        <v>880000.00000000012</v>
      </c>
      <c r="P33" s="212">
        <f t="shared" si="8"/>
        <v>1</v>
      </c>
      <c r="Q33" s="83">
        <f t="shared" si="9"/>
        <v>968000.00000000023</v>
      </c>
      <c r="R33" s="213">
        <f t="shared" si="10"/>
        <v>968000.00000000023</v>
      </c>
    </row>
    <row r="34" spans="1:18" x14ac:dyDescent="0.3">
      <c r="A34" s="36" t="s">
        <v>49</v>
      </c>
      <c r="B34" s="199" t="s">
        <v>386</v>
      </c>
      <c r="C34" t="s">
        <v>284</v>
      </c>
      <c r="D34">
        <v>1</v>
      </c>
      <c r="E34" s="264">
        <v>200000</v>
      </c>
      <c r="F34" s="83">
        <f t="shared" si="11"/>
        <v>200000</v>
      </c>
      <c r="G34" s="66">
        <v>1</v>
      </c>
      <c r="H34" s="239">
        <f t="shared" ref="H34" si="16">E34*1.05</f>
        <v>210000</v>
      </c>
      <c r="I34" s="83">
        <f t="shared" ref="I34" si="17">G34*H34</f>
        <v>210000</v>
      </c>
      <c r="J34" s="212">
        <f t="shared" ref="J34" si="18">G34</f>
        <v>1</v>
      </c>
      <c r="K34" s="124">
        <f t="shared" ref="K34" si="19">H34*1.1</f>
        <v>231000.00000000003</v>
      </c>
      <c r="L34" s="97">
        <f t="shared" ref="L34" si="20">J34*K34</f>
        <v>231000.00000000003</v>
      </c>
      <c r="M34" s="212">
        <f t="shared" ref="M34" si="21">J34</f>
        <v>1</v>
      </c>
      <c r="N34" s="124">
        <f t="shared" ref="N34" si="22">K34*1.1</f>
        <v>254100.00000000006</v>
      </c>
      <c r="O34" s="213">
        <f t="shared" ref="O34" si="23">M34*N34</f>
        <v>254100.00000000006</v>
      </c>
      <c r="P34" s="212">
        <f t="shared" ref="P34" si="24">M34</f>
        <v>1</v>
      </c>
      <c r="Q34" s="83">
        <f t="shared" ref="Q34" si="25">N34*1.1</f>
        <v>279510.00000000006</v>
      </c>
      <c r="R34" s="213">
        <f t="shared" ref="R34" si="26">P34*Q34</f>
        <v>279510.00000000006</v>
      </c>
    </row>
    <row r="35" spans="1:18" x14ac:dyDescent="0.3">
      <c r="A35" s="36"/>
      <c r="B35" s="199" t="s">
        <v>410</v>
      </c>
      <c r="C35" t="s">
        <v>284</v>
      </c>
      <c r="D35">
        <v>0</v>
      </c>
      <c r="E35" s="264">
        <v>300000</v>
      </c>
      <c r="F35" s="83">
        <f t="shared" si="11"/>
        <v>0</v>
      </c>
      <c r="G35" s="66">
        <v>0</v>
      </c>
      <c r="H35" s="239">
        <f t="shared" si="13"/>
        <v>315000</v>
      </c>
      <c r="I35" s="83">
        <f t="shared" si="12"/>
        <v>0</v>
      </c>
      <c r="J35" s="212">
        <f t="shared" si="14"/>
        <v>0</v>
      </c>
      <c r="K35" s="124">
        <f t="shared" si="15"/>
        <v>346500</v>
      </c>
      <c r="L35" s="97">
        <f t="shared" si="4"/>
        <v>0</v>
      </c>
      <c r="M35" s="212">
        <f t="shared" si="5"/>
        <v>0</v>
      </c>
      <c r="N35" s="124">
        <f t="shared" si="6"/>
        <v>381150.00000000006</v>
      </c>
      <c r="O35" s="213">
        <f t="shared" si="7"/>
        <v>0</v>
      </c>
      <c r="P35" s="212">
        <f t="shared" si="8"/>
        <v>0</v>
      </c>
      <c r="Q35" s="83">
        <f t="shared" si="9"/>
        <v>419265.00000000012</v>
      </c>
      <c r="R35" s="213">
        <f t="shared" si="10"/>
        <v>0</v>
      </c>
    </row>
    <row r="36" spans="1:18" x14ac:dyDescent="0.3">
      <c r="A36" s="36" t="s">
        <v>49</v>
      </c>
      <c r="B36" s="199" t="s">
        <v>323</v>
      </c>
      <c r="C36" t="s">
        <v>284</v>
      </c>
      <c r="D36">
        <v>1</v>
      </c>
      <c r="E36" s="264">
        <v>300000</v>
      </c>
      <c r="F36" s="83">
        <f t="shared" si="11"/>
        <v>300000</v>
      </c>
      <c r="G36" s="66">
        <v>1</v>
      </c>
      <c r="H36" s="239">
        <f t="shared" si="13"/>
        <v>315000</v>
      </c>
      <c r="I36" s="83">
        <f t="shared" si="12"/>
        <v>315000</v>
      </c>
      <c r="J36" s="212">
        <f t="shared" si="14"/>
        <v>1</v>
      </c>
      <c r="K36" s="124">
        <f t="shared" si="15"/>
        <v>346500</v>
      </c>
      <c r="L36" s="97">
        <f t="shared" si="4"/>
        <v>346500</v>
      </c>
      <c r="M36" s="212">
        <f t="shared" si="5"/>
        <v>1</v>
      </c>
      <c r="N36" s="124">
        <f t="shared" si="6"/>
        <v>381150.00000000006</v>
      </c>
      <c r="O36" s="213">
        <f t="shared" si="7"/>
        <v>381150.00000000006</v>
      </c>
      <c r="P36" s="212">
        <f t="shared" si="8"/>
        <v>1</v>
      </c>
      <c r="Q36" s="83">
        <f t="shared" si="9"/>
        <v>419265.00000000012</v>
      </c>
      <c r="R36" s="213">
        <f t="shared" si="10"/>
        <v>419265.00000000012</v>
      </c>
    </row>
    <row r="37" spans="1:18" x14ac:dyDescent="0.3">
      <c r="A37" s="36" t="s">
        <v>49</v>
      </c>
      <c r="B37" s="199" t="s">
        <v>302</v>
      </c>
      <c r="C37" t="s">
        <v>284</v>
      </c>
      <c r="D37">
        <v>1</v>
      </c>
      <c r="E37" s="264">
        <v>250000</v>
      </c>
      <c r="F37" s="83">
        <f t="shared" si="11"/>
        <v>250000</v>
      </c>
      <c r="G37" s="66">
        <v>1</v>
      </c>
      <c r="H37" s="239">
        <f t="shared" si="13"/>
        <v>262500</v>
      </c>
      <c r="I37" s="83">
        <f t="shared" si="12"/>
        <v>262500</v>
      </c>
      <c r="J37" s="212">
        <f t="shared" si="14"/>
        <v>1</v>
      </c>
      <c r="K37" s="124">
        <f t="shared" si="15"/>
        <v>288750</v>
      </c>
      <c r="L37" s="97">
        <f t="shared" si="4"/>
        <v>288750</v>
      </c>
      <c r="M37" s="212">
        <f t="shared" si="5"/>
        <v>1</v>
      </c>
      <c r="N37" s="124">
        <f t="shared" si="6"/>
        <v>317625</v>
      </c>
      <c r="O37" s="213">
        <f t="shared" si="7"/>
        <v>317625</v>
      </c>
      <c r="P37" s="212">
        <f t="shared" si="8"/>
        <v>1</v>
      </c>
      <c r="Q37" s="83">
        <f t="shared" si="9"/>
        <v>349387.5</v>
      </c>
      <c r="R37" s="213">
        <f t="shared" si="10"/>
        <v>349387.5</v>
      </c>
    </row>
    <row r="38" spans="1:18" x14ac:dyDescent="0.3">
      <c r="A38" s="36" t="s">
        <v>48</v>
      </c>
      <c r="B38" s="199" t="s">
        <v>318</v>
      </c>
      <c r="C38" t="s">
        <v>284</v>
      </c>
      <c r="D38">
        <v>1</v>
      </c>
      <c r="E38" s="264">
        <v>700000</v>
      </c>
      <c r="F38" s="83">
        <f t="shared" si="11"/>
        <v>700000</v>
      </c>
      <c r="G38" s="66">
        <v>1</v>
      </c>
      <c r="H38" s="239">
        <f t="shared" si="13"/>
        <v>735000</v>
      </c>
      <c r="I38" s="83">
        <f t="shared" si="12"/>
        <v>735000</v>
      </c>
      <c r="J38" s="212">
        <f t="shared" si="14"/>
        <v>1</v>
      </c>
      <c r="K38" s="124">
        <f t="shared" si="15"/>
        <v>808500.00000000012</v>
      </c>
      <c r="L38" s="97">
        <f t="shared" si="4"/>
        <v>808500.00000000012</v>
      </c>
      <c r="M38" s="212">
        <f t="shared" si="5"/>
        <v>1</v>
      </c>
      <c r="N38" s="124">
        <f t="shared" si="6"/>
        <v>889350.00000000023</v>
      </c>
      <c r="O38" s="213">
        <f t="shared" si="7"/>
        <v>889350.00000000023</v>
      </c>
      <c r="P38" s="212">
        <f t="shared" si="8"/>
        <v>1</v>
      </c>
      <c r="Q38" s="83">
        <f t="shared" si="9"/>
        <v>978285.00000000035</v>
      </c>
      <c r="R38" s="213">
        <f t="shared" si="10"/>
        <v>978285.00000000035</v>
      </c>
    </row>
    <row r="39" spans="1:18" x14ac:dyDescent="0.3">
      <c r="A39" s="36" t="s">
        <v>48</v>
      </c>
      <c r="B39" s="199" t="s">
        <v>374</v>
      </c>
      <c r="C39" t="s">
        <v>284</v>
      </c>
      <c r="D39">
        <v>1</v>
      </c>
      <c r="E39" s="264">
        <v>500000</v>
      </c>
      <c r="F39" s="83">
        <f t="shared" si="11"/>
        <v>500000</v>
      </c>
      <c r="G39" s="66">
        <v>1</v>
      </c>
      <c r="H39" s="239">
        <f t="shared" si="13"/>
        <v>525000</v>
      </c>
      <c r="I39" s="83">
        <f t="shared" si="12"/>
        <v>525000</v>
      </c>
      <c r="J39" s="212">
        <f t="shared" si="14"/>
        <v>1</v>
      </c>
      <c r="K39" s="124">
        <f t="shared" si="15"/>
        <v>577500</v>
      </c>
      <c r="L39" s="97">
        <f t="shared" si="4"/>
        <v>577500</v>
      </c>
      <c r="M39" s="212">
        <f t="shared" si="5"/>
        <v>1</v>
      </c>
      <c r="N39" s="124">
        <f t="shared" si="6"/>
        <v>635250</v>
      </c>
      <c r="O39" s="213">
        <f t="shared" si="7"/>
        <v>635250</v>
      </c>
      <c r="P39" s="212">
        <f t="shared" si="8"/>
        <v>1</v>
      </c>
      <c r="Q39" s="83">
        <f t="shared" si="9"/>
        <v>698775</v>
      </c>
      <c r="R39" s="213">
        <f t="shared" si="10"/>
        <v>698775</v>
      </c>
    </row>
    <row r="40" spans="1:18" x14ac:dyDescent="0.3">
      <c r="A40" s="36" t="s">
        <v>48</v>
      </c>
      <c r="B40" s="199" t="s">
        <v>314</v>
      </c>
      <c r="C40" t="s">
        <v>284</v>
      </c>
      <c r="E40" s="264">
        <v>0</v>
      </c>
      <c r="F40" s="83"/>
      <c r="G40" s="66">
        <v>1</v>
      </c>
      <c r="H40" s="264">
        <v>800000</v>
      </c>
      <c r="I40" s="83">
        <f t="shared" si="12"/>
        <v>800000</v>
      </c>
      <c r="J40" s="212">
        <f t="shared" si="14"/>
        <v>1</v>
      </c>
      <c r="K40" s="124">
        <f t="shared" si="15"/>
        <v>880000.00000000012</v>
      </c>
      <c r="L40" s="97">
        <f t="shared" si="4"/>
        <v>880000.00000000012</v>
      </c>
      <c r="M40" s="212">
        <f t="shared" si="5"/>
        <v>1</v>
      </c>
      <c r="N40" s="124">
        <f t="shared" si="6"/>
        <v>968000.00000000023</v>
      </c>
      <c r="O40" s="213">
        <f t="shared" si="7"/>
        <v>968000.00000000023</v>
      </c>
      <c r="P40" s="212">
        <f t="shared" si="8"/>
        <v>1</v>
      </c>
      <c r="Q40" s="83">
        <f t="shared" si="9"/>
        <v>1064800.0000000002</v>
      </c>
      <c r="R40" s="213">
        <f t="shared" si="10"/>
        <v>1064800.0000000002</v>
      </c>
    </row>
    <row r="41" spans="1:18" x14ac:dyDescent="0.3">
      <c r="A41" s="36" t="s">
        <v>49</v>
      </c>
      <c r="B41" s="199" t="s">
        <v>317</v>
      </c>
      <c r="C41" t="s">
        <v>284</v>
      </c>
      <c r="D41">
        <v>1</v>
      </c>
      <c r="E41" s="264">
        <v>270000</v>
      </c>
      <c r="F41" s="83">
        <f t="shared" si="11"/>
        <v>270000</v>
      </c>
      <c r="G41" s="66">
        <v>1</v>
      </c>
      <c r="H41" s="239">
        <f t="shared" si="13"/>
        <v>283500</v>
      </c>
      <c r="I41" s="83">
        <f t="shared" si="12"/>
        <v>283500</v>
      </c>
      <c r="J41" s="212">
        <f t="shared" si="14"/>
        <v>1</v>
      </c>
      <c r="K41" s="124">
        <f t="shared" si="15"/>
        <v>311850</v>
      </c>
      <c r="L41" s="97">
        <f t="shared" si="4"/>
        <v>311850</v>
      </c>
      <c r="M41" s="212">
        <f t="shared" si="5"/>
        <v>1</v>
      </c>
      <c r="N41" s="124">
        <f t="shared" si="6"/>
        <v>343035</v>
      </c>
      <c r="O41" s="213">
        <f t="shared" si="7"/>
        <v>343035</v>
      </c>
      <c r="P41" s="212">
        <f t="shared" si="8"/>
        <v>1</v>
      </c>
      <c r="Q41" s="83">
        <f t="shared" si="9"/>
        <v>377338.50000000006</v>
      </c>
      <c r="R41" s="213">
        <f t="shared" si="10"/>
        <v>377338.50000000006</v>
      </c>
    </row>
    <row r="42" spans="1:18" x14ac:dyDescent="0.3">
      <c r="A42" s="36" t="s">
        <v>48</v>
      </c>
      <c r="B42" s="199" t="s">
        <v>327</v>
      </c>
      <c r="C42" t="s">
        <v>284</v>
      </c>
      <c r="D42">
        <v>1</v>
      </c>
      <c r="E42" s="264">
        <v>450000</v>
      </c>
      <c r="F42" s="83">
        <f t="shared" si="11"/>
        <v>450000</v>
      </c>
      <c r="G42" s="66">
        <v>1</v>
      </c>
      <c r="H42" s="239">
        <f t="shared" si="13"/>
        <v>472500</v>
      </c>
      <c r="I42" s="83">
        <f t="shared" si="12"/>
        <v>472500</v>
      </c>
      <c r="J42" s="212">
        <f t="shared" si="14"/>
        <v>1</v>
      </c>
      <c r="K42" s="124">
        <f t="shared" si="15"/>
        <v>519750.00000000006</v>
      </c>
      <c r="L42" s="97">
        <f t="shared" si="4"/>
        <v>519750.00000000006</v>
      </c>
      <c r="M42" s="212">
        <f t="shared" si="5"/>
        <v>1</v>
      </c>
      <c r="N42" s="124">
        <f t="shared" si="6"/>
        <v>571725.00000000012</v>
      </c>
      <c r="O42" s="213">
        <f t="shared" si="7"/>
        <v>571725.00000000012</v>
      </c>
      <c r="P42" s="212">
        <f t="shared" si="8"/>
        <v>1</v>
      </c>
      <c r="Q42" s="83">
        <f t="shared" si="9"/>
        <v>628897.50000000023</v>
      </c>
      <c r="R42" s="213">
        <f t="shared" si="10"/>
        <v>628897.50000000023</v>
      </c>
    </row>
    <row r="43" spans="1:18" x14ac:dyDescent="0.3">
      <c r="A43" s="36" t="s">
        <v>48</v>
      </c>
      <c r="B43" s="199" t="s">
        <v>328</v>
      </c>
      <c r="C43" t="s">
        <v>284</v>
      </c>
      <c r="D43">
        <v>1</v>
      </c>
      <c r="E43" s="264">
        <v>380000</v>
      </c>
      <c r="F43" s="83">
        <f t="shared" si="11"/>
        <v>380000</v>
      </c>
      <c r="G43" s="66">
        <v>1</v>
      </c>
      <c r="H43" s="239">
        <f t="shared" si="13"/>
        <v>399000</v>
      </c>
      <c r="I43" s="83">
        <f t="shared" si="12"/>
        <v>399000</v>
      </c>
      <c r="J43" s="212">
        <f t="shared" si="14"/>
        <v>1</v>
      </c>
      <c r="K43" s="124">
        <f t="shared" si="15"/>
        <v>438900.00000000006</v>
      </c>
      <c r="L43" s="97">
        <f t="shared" si="4"/>
        <v>438900.00000000006</v>
      </c>
      <c r="M43" s="212">
        <f t="shared" si="5"/>
        <v>1</v>
      </c>
      <c r="N43" s="124">
        <f t="shared" si="6"/>
        <v>482790.00000000012</v>
      </c>
      <c r="O43" s="213">
        <f t="shared" si="7"/>
        <v>482790.00000000012</v>
      </c>
      <c r="P43" s="212">
        <f t="shared" si="8"/>
        <v>1</v>
      </c>
      <c r="Q43" s="83">
        <f t="shared" si="9"/>
        <v>531069.00000000012</v>
      </c>
      <c r="R43" s="213">
        <f t="shared" si="10"/>
        <v>531069.00000000012</v>
      </c>
    </row>
    <row r="44" spans="1:18" x14ac:dyDescent="0.3">
      <c r="A44" s="36" t="s">
        <v>49</v>
      </c>
      <c r="B44" s="199" t="s">
        <v>329</v>
      </c>
      <c r="C44" t="s">
        <v>284</v>
      </c>
      <c r="D44">
        <v>2</v>
      </c>
      <c r="E44" s="264">
        <v>250000</v>
      </c>
      <c r="F44" s="83">
        <f t="shared" si="11"/>
        <v>500000</v>
      </c>
      <c r="G44" s="66">
        <v>4</v>
      </c>
      <c r="H44" s="239">
        <f t="shared" si="13"/>
        <v>262500</v>
      </c>
      <c r="I44" s="83">
        <f t="shared" si="12"/>
        <v>1050000</v>
      </c>
      <c r="J44" s="212">
        <v>6</v>
      </c>
      <c r="K44" s="124">
        <f t="shared" si="15"/>
        <v>288750</v>
      </c>
      <c r="L44" s="97">
        <f t="shared" si="4"/>
        <v>1732500</v>
      </c>
      <c r="M44" s="212">
        <v>8</v>
      </c>
      <c r="N44" s="124">
        <f t="shared" si="6"/>
        <v>317625</v>
      </c>
      <c r="O44" s="213">
        <f t="shared" si="7"/>
        <v>2541000</v>
      </c>
      <c r="P44" s="212">
        <v>10</v>
      </c>
      <c r="Q44" s="83">
        <f t="shared" si="9"/>
        <v>349387.5</v>
      </c>
      <c r="R44" s="213">
        <f t="shared" si="10"/>
        <v>3493875</v>
      </c>
    </row>
    <row r="45" spans="1:18" x14ac:dyDescent="0.3">
      <c r="A45" s="36" t="s">
        <v>49</v>
      </c>
      <c r="B45" s="199" t="s">
        <v>409</v>
      </c>
      <c r="C45" t="s">
        <v>284</v>
      </c>
      <c r="D45">
        <v>1</v>
      </c>
      <c r="E45" s="264">
        <v>200000</v>
      </c>
      <c r="F45" s="83">
        <f t="shared" si="11"/>
        <v>200000</v>
      </c>
      <c r="G45" s="66">
        <v>1</v>
      </c>
      <c r="H45" s="239">
        <f t="shared" si="13"/>
        <v>210000</v>
      </c>
      <c r="I45" s="83">
        <f t="shared" si="12"/>
        <v>210000</v>
      </c>
      <c r="J45" s="212">
        <v>2</v>
      </c>
      <c r="K45" s="124">
        <f t="shared" si="15"/>
        <v>231000.00000000003</v>
      </c>
      <c r="L45" s="97">
        <f t="shared" si="4"/>
        <v>462000.00000000006</v>
      </c>
      <c r="M45" s="212">
        <f t="shared" ref="M45:M52" si="27">J45</f>
        <v>2</v>
      </c>
      <c r="N45" s="124">
        <f t="shared" si="6"/>
        <v>254100.00000000006</v>
      </c>
      <c r="O45" s="213">
        <f t="shared" si="7"/>
        <v>508200.00000000012</v>
      </c>
      <c r="P45" s="212">
        <f t="shared" ref="P45" si="28">M45</f>
        <v>2</v>
      </c>
      <c r="Q45" s="83">
        <f t="shared" si="9"/>
        <v>279510.00000000006</v>
      </c>
      <c r="R45" s="213">
        <f t="shared" si="10"/>
        <v>559020.00000000012</v>
      </c>
    </row>
    <row r="46" spans="1:18" x14ac:dyDescent="0.3">
      <c r="A46" s="36"/>
      <c r="B46" s="199"/>
      <c r="E46" s="264">
        <v>0</v>
      </c>
      <c r="F46" s="83"/>
      <c r="I46" s="83"/>
      <c r="J46" s="212"/>
      <c r="K46" s="124"/>
      <c r="L46" s="97"/>
      <c r="M46" s="212"/>
      <c r="N46" s="124"/>
      <c r="O46" s="213"/>
      <c r="P46" s="212"/>
      <c r="Q46" s="83"/>
      <c r="R46" s="213"/>
    </row>
    <row r="47" spans="1:18" x14ac:dyDescent="0.3">
      <c r="A47" s="36"/>
      <c r="B47" s="197" t="s">
        <v>320</v>
      </c>
      <c r="C47" s="195"/>
      <c r="E47" s="264">
        <v>0</v>
      </c>
      <c r="F47" s="83"/>
      <c r="I47" s="83"/>
      <c r="J47" s="212"/>
      <c r="K47" s="124"/>
      <c r="L47" s="97"/>
      <c r="M47" s="212"/>
      <c r="N47" s="124"/>
      <c r="O47" s="213"/>
      <c r="P47" s="212"/>
      <c r="Q47" s="83"/>
      <c r="R47" s="213"/>
    </row>
    <row r="48" spans="1:18" x14ac:dyDescent="0.3">
      <c r="A48" s="36" t="s">
        <v>49</v>
      </c>
      <c r="B48" s="199" t="s">
        <v>295</v>
      </c>
      <c r="C48" t="s">
        <v>296</v>
      </c>
      <c r="D48">
        <v>1</v>
      </c>
      <c r="E48" s="264">
        <v>120000</v>
      </c>
      <c r="F48" s="83">
        <f t="shared" si="11"/>
        <v>120000</v>
      </c>
      <c r="G48" s="66">
        <v>1</v>
      </c>
      <c r="H48" s="239">
        <f>E48*1.1</f>
        <v>132000</v>
      </c>
      <c r="I48" s="83">
        <f t="shared" ref="I48:I52" si="29">G48*H48</f>
        <v>132000</v>
      </c>
      <c r="J48" s="212">
        <v>2</v>
      </c>
      <c r="K48" s="124">
        <f t="shared" si="15"/>
        <v>145200</v>
      </c>
      <c r="L48" s="97">
        <f t="shared" si="4"/>
        <v>290400</v>
      </c>
      <c r="M48" s="212">
        <f t="shared" si="27"/>
        <v>2</v>
      </c>
      <c r="N48" s="124">
        <f t="shared" si="6"/>
        <v>159720</v>
      </c>
      <c r="O48" s="213">
        <f t="shared" si="7"/>
        <v>319440</v>
      </c>
      <c r="P48" s="212">
        <f t="shared" ref="P48:P52" si="30">M48</f>
        <v>2</v>
      </c>
      <c r="Q48" s="83">
        <f t="shared" ref="Q48:Q52" si="31">N48*1.1</f>
        <v>175692</v>
      </c>
      <c r="R48" s="213">
        <f t="shared" ref="R48:R52" si="32">P48*Q48</f>
        <v>351384</v>
      </c>
    </row>
    <row r="49" spans="1:18" x14ac:dyDescent="0.3">
      <c r="A49" s="36" t="s">
        <v>49</v>
      </c>
      <c r="B49" s="199" t="s">
        <v>128</v>
      </c>
      <c r="C49" t="s">
        <v>284</v>
      </c>
      <c r="D49">
        <v>1</v>
      </c>
      <c r="E49" s="264">
        <v>350000</v>
      </c>
      <c r="F49" s="83">
        <f t="shared" si="11"/>
        <v>350000</v>
      </c>
      <c r="G49" s="66">
        <v>2</v>
      </c>
      <c r="H49" s="239">
        <f>E49*1.05</f>
        <v>367500</v>
      </c>
      <c r="I49" s="83">
        <f t="shared" si="29"/>
        <v>735000</v>
      </c>
      <c r="J49" s="212">
        <v>3</v>
      </c>
      <c r="K49" s="124">
        <f t="shared" si="15"/>
        <v>404250.00000000006</v>
      </c>
      <c r="L49" s="97">
        <f t="shared" si="4"/>
        <v>1212750.0000000002</v>
      </c>
      <c r="M49" s="212">
        <f t="shared" si="27"/>
        <v>3</v>
      </c>
      <c r="N49" s="124">
        <f t="shared" si="6"/>
        <v>444675.00000000012</v>
      </c>
      <c r="O49" s="213">
        <f t="shared" si="7"/>
        <v>1334025.0000000005</v>
      </c>
      <c r="P49" s="212">
        <f t="shared" si="30"/>
        <v>3</v>
      </c>
      <c r="Q49" s="83">
        <f t="shared" si="31"/>
        <v>489142.50000000017</v>
      </c>
      <c r="R49" s="213">
        <f t="shared" si="32"/>
        <v>1467427.5000000005</v>
      </c>
    </row>
    <row r="50" spans="1:18" x14ac:dyDescent="0.3">
      <c r="A50" s="36" t="s">
        <v>49</v>
      </c>
      <c r="B50" s="199" t="s">
        <v>292</v>
      </c>
      <c r="C50" t="s">
        <v>284</v>
      </c>
      <c r="D50">
        <v>1</v>
      </c>
      <c r="E50" s="264">
        <v>300000</v>
      </c>
      <c r="F50" s="83">
        <f t="shared" si="11"/>
        <v>300000</v>
      </c>
      <c r="G50" s="66">
        <v>1</v>
      </c>
      <c r="H50" s="239">
        <f>E50*1.05</f>
        <v>315000</v>
      </c>
      <c r="I50" s="83">
        <f t="shared" si="29"/>
        <v>315000</v>
      </c>
      <c r="J50" s="212">
        <v>2</v>
      </c>
      <c r="K50" s="124">
        <f t="shared" si="15"/>
        <v>346500</v>
      </c>
      <c r="L50" s="97">
        <f t="shared" si="4"/>
        <v>693000</v>
      </c>
      <c r="M50" s="212">
        <f t="shared" si="27"/>
        <v>2</v>
      </c>
      <c r="N50" s="124">
        <f t="shared" si="6"/>
        <v>381150.00000000006</v>
      </c>
      <c r="O50" s="213">
        <f t="shared" si="7"/>
        <v>762300.00000000012</v>
      </c>
      <c r="P50" s="212">
        <f t="shared" si="30"/>
        <v>2</v>
      </c>
      <c r="Q50" s="83">
        <f t="shared" si="31"/>
        <v>419265.00000000012</v>
      </c>
      <c r="R50" s="213">
        <f t="shared" si="32"/>
        <v>838530.00000000023</v>
      </c>
    </row>
    <row r="51" spans="1:18" x14ac:dyDescent="0.3">
      <c r="A51" s="36" t="s">
        <v>49</v>
      </c>
      <c r="B51" s="199" t="s">
        <v>148</v>
      </c>
      <c r="C51" t="s">
        <v>284</v>
      </c>
      <c r="D51">
        <v>1</v>
      </c>
      <c r="E51" s="264">
        <v>200000</v>
      </c>
      <c r="F51" s="83">
        <f t="shared" si="11"/>
        <v>200000</v>
      </c>
      <c r="G51" s="66">
        <v>1</v>
      </c>
      <c r="H51" s="239">
        <f>E51*1.05</f>
        <v>210000</v>
      </c>
      <c r="I51" s="83">
        <f t="shared" si="29"/>
        <v>210000</v>
      </c>
      <c r="J51" s="212">
        <v>2</v>
      </c>
      <c r="K51" s="124">
        <f t="shared" si="15"/>
        <v>231000.00000000003</v>
      </c>
      <c r="L51" s="97">
        <f t="shared" si="4"/>
        <v>462000.00000000006</v>
      </c>
      <c r="M51" s="212">
        <f t="shared" si="27"/>
        <v>2</v>
      </c>
      <c r="N51" s="124">
        <f t="shared" si="6"/>
        <v>254100.00000000006</v>
      </c>
      <c r="O51" s="213">
        <f t="shared" si="7"/>
        <v>508200.00000000012</v>
      </c>
      <c r="P51" s="212">
        <f t="shared" si="30"/>
        <v>2</v>
      </c>
      <c r="Q51" s="83">
        <f t="shared" si="31"/>
        <v>279510.00000000006</v>
      </c>
      <c r="R51" s="213">
        <f t="shared" si="32"/>
        <v>559020.00000000012</v>
      </c>
    </row>
    <row r="52" spans="1:18" x14ac:dyDescent="0.3">
      <c r="A52" s="36" t="s">
        <v>49</v>
      </c>
      <c r="B52" s="199" t="s">
        <v>319</v>
      </c>
      <c r="C52" t="s">
        <v>284</v>
      </c>
      <c r="D52">
        <v>1</v>
      </c>
      <c r="E52" s="264">
        <v>300000</v>
      </c>
      <c r="F52" s="83">
        <f t="shared" si="11"/>
        <v>300000</v>
      </c>
      <c r="G52" s="66">
        <v>1</v>
      </c>
      <c r="H52" s="239">
        <f>E52*1.05</f>
        <v>315000</v>
      </c>
      <c r="I52" s="83">
        <f t="shared" si="29"/>
        <v>315000</v>
      </c>
      <c r="J52" s="212">
        <v>2</v>
      </c>
      <c r="K52" s="124">
        <f t="shared" si="15"/>
        <v>346500</v>
      </c>
      <c r="L52" s="97">
        <f t="shared" si="4"/>
        <v>693000</v>
      </c>
      <c r="M52" s="212">
        <f t="shared" si="27"/>
        <v>2</v>
      </c>
      <c r="N52" s="124">
        <f t="shared" si="6"/>
        <v>381150.00000000006</v>
      </c>
      <c r="O52" s="213">
        <f t="shared" si="7"/>
        <v>762300.00000000012</v>
      </c>
      <c r="P52" s="212">
        <f t="shared" si="30"/>
        <v>2</v>
      </c>
      <c r="Q52" s="83">
        <f t="shared" si="31"/>
        <v>419265.00000000012</v>
      </c>
      <c r="R52" s="213">
        <f t="shared" si="32"/>
        <v>838530.00000000023</v>
      </c>
    </row>
    <row r="53" spans="1:18" x14ac:dyDescent="0.3">
      <c r="A53" s="29"/>
      <c r="B53" s="198" t="s">
        <v>50</v>
      </c>
      <c r="C53" s="196"/>
      <c r="D53" s="119">
        <f t="shared" ref="D53:R53" si="33">SUM(D7:D52)</f>
        <v>35</v>
      </c>
      <c r="E53" s="267">
        <f t="shared" si="33"/>
        <v>17815000</v>
      </c>
      <c r="F53" s="120">
        <f t="shared" si="33"/>
        <v>17480000</v>
      </c>
      <c r="G53" s="120">
        <f t="shared" si="33"/>
        <v>41</v>
      </c>
      <c r="H53" s="267">
        <f t="shared" si="33"/>
        <v>20579000</v>
      </c>
      <c r="I53" s="120">
        <f t="shared" si="33"/>
        <v>21105500</v>
      </c>
      <c r="J53" s="214">
        <f t="shared" si="33"/>
        <v>55</v>
      </c>
      <c r="K53" s="267">
        <f t="shared" si="33"/>
        <v>25436900</v>
      </c>
      <c r="L53" s="120">
        <f t="shared" si="33"/>
        <v>29648800</v>
      </c>
      <c r="M53" s="214">
        <f t="shared" si="33"/>
        <v>62</v>
      </c>
      <c r="N53" s="120">
        <f t="shared" si="33"/>
        <v>29344415.000000004</v>
      </c>
      <c r="O53" s="215">
        <f t="shared" si="33"/>
        <v>36137355</v>
      </c>
      <c r="P53" s="214">
        <f t="shared" si="33"/>
        <v>69</v>
      </c>
      <c r="Q53" s="120">
        <f t="shared" si="33"/>
        <v>32733637.750000004</v>
      </c>
      <c r="R53" s="215">
        <f t="shared" si="33"/>
        <v>43247206.750000007</v>
      </c>
    </row>
    <row r="54" spans="1:18" x14ac:dyDescent="0.3">
      <c r="B54" s="219" t="s">
        <v>49</v>
      </c>
      <c r="C54" s="53"/>
      <c r="D54" s="28">
        <f>+SUMIF($A$7:$A$52,"JM",D7:D52)</f>
        <v>20</v>
      </c>
      <c r="E54" s="52"/>
      <c r="F54" s="52"/>
      <c r="G54" s="28">
        <f>+SUMIF($A$7:$A$52,"JM",G7:G52)</f>
        <v>24</v>
      </c>
      <c r="H54" s="268"/>
      <c r="I54" s="132"/>
      <c r="J54" s="28">
        <f>+SUMIF($A$7:$A$52,"JM",J7:J52)</f>
        <v>35</v>
      </c>
      <c r="K54" s="268"/>
      <c r="L54" s="132"/>
      <c r="M54" s="28">
        <f>+SUMIF($A$7:$A$52,"JM",M7:M52)</f>
        <v>37</v>
      </c>
      <c r="N54" s="132"/>
      <c r="O54" s="132"/>
      <c r="P54" s="28">
        <f>+SUMIF($A$7:$A$52,"JM",P7:P52)</f>
        <v>39</v>
      </c>
      <c r="Q54" s="132"/>
      <c r="R54" s="133"/>
    </row>
    <row r="55" spans="1:18" x14ac:dyDescent="0.3">
      <c r="B55" s="62" t="s">
        <v>48</v>
      </c>
      <c r="C55" s="34"/>
      <c r="D55" s="28">
        <f>+SUMIF($A$7:$A$52,"M",D8:D53)</f>
        <v>13</v>
      </c>
      <c r="E55" s="28"/>
      <c r="F55" s="28"/>
      <c r="G55" s="28">
        <f>+SUMIF($A$7:$A$52,"M",G8:G53)</f>
        <v>18</v>
      </c>
      <c r="H55" s="254"/>
      <c r="I55" s="99"/>
      <c r="J55" s="28">
        <f>+SUMIF($A$7:$A$52,"M",J8:J53)</f>
        <v>23</v>
      </c>
      <c r="K55" s="254"/>
      <c r="L55" s="99"/>
      <c r="M55" s="28">
        <f>+SUMIF($A$7:$A$52,"M",M8:M53)</f>
        <v>30</v>
      </c>
      <c r="N55" s="99"/>
      <c r="O55" s="99"/>
      <c r="P55" s="28">
        <f>+SUMIF($A$7:$A$52,"M",P8:P53)</f>
        <v>37</v>
      </c>
      <c r="Q55" s="99"/>
      <c r="R55" s="131"/>
    </row>
    <row r="56" spans="1:18" x14ac:dyDescent="0.3">
      <c r="B56" s="62" t="s">
        <v>51</v>
      </c>
      <c r="C56" s="34"/>
      <c r="D56">
        <f>D54</f>
        <v>20</v>
      </c>
      <c r="E56" s="28"/>
      <c r="F56" s="28"/>
      <c r="G56" s="99">
        <f>G54-D54</f>
        <v>4</v>
      </c>
      <c r="H56" s="254"/>
      <c r="I56" s="99"/>
      <c r="J56" s="99">
        <f>J54-G54</f>
        <v>11</v>
      </c>
      <c r="K56" s="254"/>
      <c r="L56" s="99"/>
      <c r="M56" s="99">
        <f>M54-J54</f>
        <v>2</v>
      </c>
      <c r="N56" s="99"/>
      <c r="O56" s="99"/>
      <c r="P56" s="99">
        <f>P54-M54</f>
        <v>2</v>
      </c>
      <c r="Q56" s="99"/>
      <c r="R56" s="131" t="s">
        <v>330</v>
      </c>
    </row>
    <row r="57" spans="1:18" x14ac:dyDescent="0.3">
      <c r="B57" s="63" t="s">
        <v>52</v>
      </c>
      <c r="C57" s="220"/>
      <c r="D57" s="64">
        <f>D55</f>
        <v>13</v>
      </c>
      <c r="E57" s="64"/>
      <c r="F57" s="64"/>
      <c r="G57" s="161">
        <f>G55-D55</f>
        <v>5</v>
      </c>
      <c r="H57" s="269"/>
      <c r="I57" s="161"/>
      <c r="J57" s="161">
        <f>J55-G55</f>
        <v>5</v>
      </c>
      <c r="K57" s="269"/>
      <c r="L57" s="161"/>
      <c r="M57" s="161">
        <f>M55-J55</f>
        <v>7</v>
      </c>
      <c r="N57" s="161"/>
      <c r="O57" s="161"/>
      <c r="P57" s="161">
        <f>P55-M55</f>
        <v>7</v>
      </c>
      <c r="Q57" s="161"/>
      <c r="R57" s="162"/>
    </row>
    <row r="60" spans="1:18" x14ac:dyDescent="0.3">
      <c r="B60" t="s">
        <v>404</v>
      </c>
      <c r="F60" s="66">
        <f>SUM(F7:F20)+F48</f>
        <v>7780000</v>
      </c>
    </row>
    <row r="61" spans="1:18" x14ac:dyDescent="0.3">
      <c r="B61" t="s">
        <v>405</v>
      </c>
      <c r="F61" s="66">
        <f>SUM(F22:F52)-F48</f>
        <v>9700000</v>
      </c>
    </row>
    <row r="63" spans="1:18" x14ac:dyDescent="0.3">
      <c r="B63" t="s">
        <v>406</v>
      </c>
      <c r="F63" s="66">
        <f>F60/12*6</f>
        <v>3890000</v>
      </c>
    </row>
    <row r="64" spans="1:18" x14ac:dyDescent="0.3">
      <c r="B64" t="s">
        <v>407</v>
      </c>
      <c r="F64" s="66">
        <f>F61/12*4</f>
        <v>3233333.3333333335</v>
      </c>
    </row>
  </sheetData>
  <mergeCells count="7">
    <mergeCell ref="P4:R4"/>
    <mergeCell ref="B4:B5"/>
    <mergeCell ref="C4:C5"/>
    <mergeCell ref="D4:F4"/>
    <mergeCell ref="G4:I4"/>
    <mergeCell ref="J4:L4"/>
    <mergeCell ref="M4:O4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87D4-A486-4808-93B9-4F96FE445220}">
  <dimension ref="A2:R139"/>
  <sheetViews>
    <sheetView zoomScaleNormal="100" workbookViewId="0">
      <pane xSplit="2" ySplit="9" topLeftCell="C108" activePane="bottomRight" state="frozen"/>
      <selection pane="topRight" activeCell="C1" sqref="C1"/>
      <selection pane="bottomLeft" activeCell="A6" sqref="A6"/>
      <selection pane="bottomRight" activeCell="H142" sqref="H142"/>
    </sheetView>
  </sheetViews>
  <sheetFormatPr defaultColWidth="8.88671875" defaultRowHeight="14.4" x14ac:dyDescent="0.3"/>
  <cols>
    <col min="1" max="1" width="4.109375" customWidth="1"/>
    <col min="2" max="2" width="31.44140625" customWidth="1"/>
    <col min="3" max="3" width="21.33203125" customWidth="1"/>
    <col min="4" max="4" width="11.109375" customWidth="1"/>
    <col min="5" max="5" width="11.44140625" style="239" customWidth="1"/>
    <col min="6" max="6" width="13.44140625" style="66" customWidth="1"/>
    <col min="7" max="7" width="11.33203125" style="66" customWidth="1"/>
    <col min="8" max="8" width="11.44140625" style="239" customWidth="1"/>
    <col min="9" max="9" width="13.44140625" style="66" customWidth="1"/>
    <col min="10" max="10" width="10.44140625" style="66" customWidth="1"/>
    <col min="11" max="11" width="14.33203125" style="239" bestFit="1" customWidth="1"/>
    <col min="12" max="12" width="11.44140625" style="66" customWidth="1"/>
    <col min="13" max="13" width="10.88671875" style="66" customWidth="1"/>
    <col min="14" max="14" width="14.33203125" style="66" bestFit="1" customWidth="1"/>
    <col min="15" max="15" width="13" style="66" customWidth="1"/>
    <col min="16" max="16" width="10.44140625" style="66" customWidth="1"/>
    <col min="17" max="17" width="14.33203125" style="66" bestFit="1" customWidth="1"/>
    <col min="18" max="18" width="11.44140625" style="66" customWidth="1"/>
  </cols>
  <sheetData>
    <row r="2" spans="1:18" x14ac:dyDescent="0.3">
      <c r="A2" s="28"/>
      <c r="B2" s="22" t="s">
        <v>403</v>
      </c>
      <c r="C2" s="22"/>
      <c r="D2" s="28"/>
      <c r="E2" s="264"/>
      <c r="F2" s="97"/>
      <c r="G2" s="97"/>
      <c r="H2" s="264"/>
      <c r="I2" s="97"/>
      <c r="J2" s="97"/>
      <c r="K2" s="264"/>
      <c r="L2" s="97"/>
      <c r="M2" s="97"/>
      <c r="N2" s="97"/>
      <c r="O2" s="97"/>
      <c r="P2" s="97"/>
      <c r="Q2" s="97"/>
      <c r="R2" s="97"/>
    </row>
    <row r="3" spans="1:18" x14ac:dyDescent="0.3">
      <c r="A3" s="28"/>
      <c r="B3" s="18"/>
      <c r="C3" s="52" t="s">
        <v>0</v>
      </c>
      <c r="D3" s="52" t="s">
        <v>1</v>
      </c>
      <c r="E3" s="52" t="s">
        <v>2</v>
      </c>
      <c r="F3" s="52" t="s">
        <v>3</v>
      </c>
      <c r="G3" s="55" t="s">
        <v>4</v>
      </c>
      <c r="H3" s="264"/>
      <c r="I3" s="97"/>
      <c r="J3" s="97"/>
      <c r="K3" s="264"/>
      <c r="L3" s="97"/>
      <c r="M3" s="97"/>
      <c r="N3" s="97"/>
      <c r="O3" s="97"/>
      <c r="P3" s="97"/>
      <c r="Q3" s="97"/>
      <c r="R3" s="97"/>
    </row>
    <row r="4" spans="1:18" x14ac:dyDescent="0.3">
      <c r="A4" s="28"/>
      <c r="B4" s="62" t="s">
        <v>432</v>
      </c>
      <c r="C4" s="302">
        <v>0.6</v>
      </c>
      <c r="D4" s="302">
        <v>0.55000000000000004</v>
      </c>
      <c r="E4" s="303">
        <v>0.5</v>
      </c>
      <c r="F4" s="302">
        <v>0.45</v>
      </c>
      <c r="G4" s="304">
        <v>0.4</v>
      </c>
      <c r="H4" s="264"/>
      <c r="I4" s="97"/>
      <c r="J4" s="97"/>
      <c r="K4" s="264"/>
      <c r="L4" s="97"/>
      <c r="M4" s="97"/>
      <c r="N4" s="97"/>
      <c r="O4" s="97"/>
      <c r="P4" s="97"/>
      <c r="Q4" s="97"/>
      <c r="R4" s="97"/>
    </row>
    <row r="5" spans="1:18" x14ac:dyDescent="0.3">
      <c r="A5" s="28"/>
      <c r="B5" s="63" t="s">
        <v>433</v>
      </c>
      <c r="C5" s="305">
        <v>0.4</v>
      </c>
      <c r="D5" s="305">
        <v>0.45</v>
      </c>
      <c r="E5" s="306">
        <v>0.5</v>
      </c>
      <c r="F5" s="305">
        <v>0.55000000000000004</v>
      </c>
      <c r="G5" s="307">
        <v>0.6</v>
      </c>
      <c r="H5" s="264"/>
      <c r="I5" s="97"/>
      <c r="J5" s="97"/>
      <c r="K5" s="264"/>
      <c r="L5" s="97"/>
      <c r="M5" s="97"/>
      <c r="N5" s="97"/>
      <c r="O5" s="97"/>
      <c r="P5" s="97"/>
      <c r="Q5" s="97"/>
      <c r="R5" s="97"/>
    </row>
    <row r="6" spans="1:18" ht="15.75" customHeight="1" x14ac:dyDescent="0.3">
      <c r="A6" s="28"/>
      <c r="B6" s="22"/>
      <c r="C6" s="22"/>
      <c r="D6" s="28"/>
      <c r="E6" s="264"/>
      <c r="F6" s="97"/>
      <c r="G6" s="97"/>
      <c r="H6" s="264"/>
      <c r="I6" s="97"/>
      <c r="J6" s="97"/>
      <c r="K6" s="264"/>
      <c r="L6" s="97"/>
      <c r="M6" s="97"/>
      <c r="N6" s="97"/>
      <c r="O6" s="97"/>
      <c r="P6" s="97"/>
      <c r="Q6" s="97"/>
      <c r="R6" s="97"/>
    </row>
    <row r="7" spans="1:18" ht="15.75" customHeight="1" x14ac:dyDescent="0.3">
      <c r="A7" s="28"/>
      <c r="B7" s="22"/>
      <c r="C7" s="22"/>
      <c r="D7" s="28"/>
      <c r="E7" s="264"/>
      <c r="F7" s="97"/>
      <c r="G7" s="97"/>
      <c r="H7" s="264"/>
      <c r="I7" s="97"/>
      <c r="J7" s="97"/>
      <c r="K7" s="264"/>
      <c r="L7" s="97"/>
      <c r="M7" s="97"/>
      <c r="N7" s="97"/>
      <c r="O7" s="97"/>
      <c r="P7" s="97"/>
      <c r="Q7" s="97"/>
      <c r="R7" s="97"/>
    </row>
    <row r="8" spans="1:18" x14ac:dyDescent="0.3">
      <c r="A8" s="28"/>
      <c r="B8" s="319" t="s">
        <v>44</v>
      </c>
      <c r="C8" s="319" t="s">
        <v>282</v>
      </c>
      <c r="D8" s="321" t="s">
        <v>0</v>
      </c>
      <c r="E8" s="322"/>
      <c r="F8" s="323"/>
      <c r="G8" s="324" t="s">
        <v>1</v>
      </c>
      <c r="H8" s="325"/>
      <c r="I8" s="326"/>
      <c r="J8" s="327" t="s">
        <v>2</v>
      </c>
      <c r="K8" s="328"/>
      <c r="L8" s="328"/>
      <c r="M8" s="316" t="s">
        <v>3</v>
      </c>
      <c r="N8" s="317"/>
      <c r="O8" s="318"/>
      <c r="P8" s="316" t="s">
        <v>4</v>
      </c>
      <c r="Q8" s="317"/>
      <c r="R8" s="318"/>
    </row>
    <row r="9" spans="1:18" x14ac:dyDescent="0.3">
      <c r="A9" s="29"/>
      <c r="B9" s="320"/>
      <c r="C9" s="320" t="s">
        <v>282</v>
      </c>
      <c r="D9" s="43" t="s">
        <v>45</v>
      </c>
      <c r="E9" s="265" t="s">
        <v>46</v>
      </c>
      <c r="F9" s="204" t="s">
        <v>47</v>
      </c>
      <c r="G9" s="205" t="s">
        <v>45</v>
      </c>
      <c r="H9" s="265" t="s">
        <v>46</v>
      </c>
      <c r="I9" s="203" t="s">
        <v>47</v>
      </c>
      <c r="J9" s="206" t="s">
        <v>45</v>
      </c>
      <c r="K9" s="270" t="s">
        <v>46</v>
      </c>
      <c r="L9" s="207" t="s">
        <v>47</v>
      </c>
      <c r="M9" s="208" t="s">
        <v>45</v>
      </c>
      <c r="N9" s="203" t="s">
        <v>46</v>
      </c>
      <c r="O9" s="209" t="s">
        <v>47</v>
      </c>
      <c r="P9" s="208" t="s">
        <v>45</v>
      </c>
      <c r="Q9" s="203" t="s">
        <v>46</v>
      </c>
      <c r="R9" s="209" t="s">
        <v>47</v>
      </c>
    </row>
    <row r="10" spans="1:18" x14ac:dyDescent="0.3">
      <c r="A10" s="29"/>
      <c r="B10" s="201" t="s">
        <v>431</v>
      </c>
      <c r="C10" s="202"/>
      <c r="D10" s="89"/>
      <c r="E10" s="266"/>
      <c r="F10" s="84"/>
      <c r="G10" s="84"/>
      <c r="H10" s="266"/>
      <c r="I10" s="84"/>
      <c r="J10" s="210"/>
      <c r="K10" s="266"/>
      <c r="L10" s="84"/>
      <c r="M10" s="210"/>
      <c r="N10" s="84"/>
      <c r="O10" s="211"/>
      <c r="P10" s="210"/>
      <c r="Q10" s="84"/>
      <c r="R10" s="211"/>
    </row>
    <row r="11" spans="1:18" x14ac:dyDescent="0.3">
      <c r="A11" s="36" t="s">
        <v>48</v>
      </c>
      <c r="B11" s="200" t="s">
        <v>286</v>
      </c>
      <c r="C11" t="s">
        <v>287</v>
      </c>
      <c r="D11">
        <v>1</v>
      </c>
      <c r="E11" s="264">
        <f>'Ppl Cost_Original'!E7*$C$4</f>
        <v>360000</v>
      </c>
      <c r="F11" s="83">
        <f>D11*E11</f>
        <v>360000</v>
      </c>
      <c r="G11" s="66">
        <f>D11</f>
        <v>1</v>
      </c>
      <c r="H11" s="239">
        <f>$D$4*'Ppl Cost_Original'!H7</f>
        <v>363000.00000000006</v>
      </c>
      <c r="I11" s="83">
        <f>G11*H11</f>
        <v>363000.00000000006</v>
      </c>
      <c r="J11" s="212">
        <f>G11</f>
        <v>1</v>
      </c>
      <c r="K11" s="124">
        <f>$E$4*'Ppl Cost_Original'!K7</f>
        <v>363000.00000000006</v>
      </c>
      <c r="L11" s="97">
        <f>J11*K11</f>
        <v>363000.00000000006</v>
      </c>
      <c r="M11" s="212">
        <f>J11</f>
        <v>1</v>
      </c>
      <c r="N11" s="124">
        <f>$F$4*'Ppl Cost_Original'!N7</f>
        <v>359370.00000000012</v>
      </c>
      <c r="O11" s="213">
        <f>M11*N11</f>
        <v>359370.00000000012</v>
      </c>
      <c r="P11" s="212">
        <f>M11</f>
        <v>1</v>
      </c>
      <c r="Q11" s="83">
        <f>$G$4*'Ppl Cost_Original'!Q7</f>
        <v>351384.00000000017</v>
      </c>
      <c r="R11" s="213">
        <f>P11*Q11</f>
        <v>351384.00000000017</v>
      </c>
    </row>
    <row r="12" spans="1:18" x14ac:dyDescent="0.3">
      <c r="A12" s="36" t="s">
        <v>48</v>
      </c>
      <c r="B12" s="199" t="s">
        <v>288</v>
      </c>
      <c r="C12" t="s">
        <v>289</v>
      </c>
      <c r="D12">
        <v>1</v>
      </c>
      <c r="E12" s="264">
        <f>'Ppl Cost_Original'!E8*$C$4</f>
        <v>551999.99999999988</v>
      </c>
      <c r="F12" s="83">
        <f>D12*E12</f>
        <v>551999.99999999988</v>
      </c>
      <c r="G12" s="66">
        <f t="shared" ref="G12:G17" si="0">D12</f>
        <v>1</v>
      </c>
      <c r="H12" s="239">
        <f>$D$4*'Ppl Cost_Original'!H8</f>
        <v>556600</v>
      </c>
      <c r="I12" s="83">
        <f>G12*H12</f>
        <v>556600</v>
      </c>
      <c r="J12" s="212">
        <f t="shared" ref="J12:J34" si="1">G12</f>
        <v>1</v>
      </c>
      <c r="K12" s="124">
        <f>$E$4*'Ppl Cost_Original'!K8</f>
        <v>556600</v>
      </c>
      <c r="L12" s="97">
        <f t="shared" ref="L12:L56" si="2">J12*K12</f>
        <v>556600</v>
      </c>
      <c r="M12" s="212">
        <f t="shared" ref="M12:M47" si="3">J12</f>
        <v>1</v>
      </c>
      <c r="N12" s="124">
        <f>$F$4*'Ppl Cost_Original'!N8</f>
        <v>551034</v>
      </c>
      <c r="O12" s="213">
        <f t="shared" ref="O12:O56" si="4">M12*N12</f>
        <v>551034</v>
      </c>
      <c r="P12" s="212">
        <f t="shared" ref="P12:P47" si="5">M12</f>
        <v>1</v>
      </c>
      <c r="Q12" s="83">
        <f>$G$4*'Ppl Cost_Original'!Q8</f>
        <v>538788.80000000005</v>
      </c>
      <c r="R12" s="213">
        <f t="shared" ref="R12:R49" si="6">P12*Q12</f>
        <v>538788.80000000005</v>
      </c>
    </row>
    <row r="13" spans="1:18" x14ac:dyDescent="0.3">
      <c r="A13" s="36" t="s">
        <v>49</v>
      </c>
      <c r="B13" s="199" t="s">
        <v>125</v>
      </c>
      <c r="C13" t="s">
        <v>291</v>
      </c>
      <c r="D13">
        <v>1</v>
      </c>
      <c r="E13" s="264">
        <f>'Ppl Cost_Original'!E9*$C$4</f>
        <v>162000</v>
      </c>
      <c r="F13" s="83">
        <f t="shared" ref="F13:F56" si="7">D13*E13</f>
        <v>162000</v>
      </c>
      <c r="G13" s="66">
        <f t="shared" si="0"/>
        <v>1</v>
      </c>
      <c r="H13" s="239">
        <f>$D$4*'Ppl Cost_Original'!H9</f>
        <v>163350</v>
      </c>
      <c r="I13" s="83">
        <f t="shared" ref="I13:I49" si="8">G13*H13</f>
        <v>163350</v>
      </c>
      <c r="J13" s="212">
        <f t="shared" si="1"/>
        <v>1</v>
      </c>
      <c r="K13" s="124">
        <f>$E$4*'Ppl Cost_Original'!K9</f>
        <v>163350</v>
      </c>
      <c r="L13" s="97">
        <f t="shared" si="2"/>
        <v>163350</v>
      </c>
      <c r="M13" s="212">
        <f t="shared" si="3"/>
        <v>1</v>
      </c>
      <c r="N13" s="124">
        <f>$F$4*'Ppl Cost_Original'!N9</f>
        <v>161716.5</v>
      </c>
      <c r="O13" s="213">
        <f t="shared" si="4"/>
        <v>161716.5</v>
      </c>
      <c r="P13" s="212">
        <f t="shared" si="5"/>
        <v>1</v>
      </c>
      <c r="Q13" s="83">
        <f>$G$4*'Ppl Cost_Original'!Q9</f>
        <v>158122.80000000005</v>
      </c>
      <c r="R13" s="213">
        <f t="shared" si="6"/>
        <v>158122.80000000005</v>
      </c>
    </row>
    <row r="14" spans="1:18" x14ac:dyDescent="0.3">
      <c r="A14" s="36" t="s">
        <v>49</v>
      </c>
      <c r="B14" s="199" t="s">
        <v>293</v>
      </c>
      <c r="C14" t="s">
        <v>294</v>
      </c>
      <c r="D14">
        <v>1</v>
      </c>
      <c r="E14" s="264">
        <f>'Ppl Cost_Original'!E10*$C$4</f>
        <v>150000</v>
      </c>
      <c r="F14" s="83">
        <f t="shared" si="7"/>
        <v>150000</v>
      </c>
      <c r="G14" s="66">
        <f t="shared" si="0"/>
        <v>1</v>
      </c>
      <c r="H14" s="239">
        <f>$D$4*'Ppl Cost_Original'!H10</f>
        <v>151250</v>
      </c>
      <c r="I14" s="83">
        <f t="shared" si="8"/>
        <v>151250</v>
      </c>
      <c r="J14" s="212">
        <v>2</v>
      </c>
      <c r="K14" s="124">
        <f>$E$4*'Ppl Cost_Original'!K10</f>
        <v>151250</v>
      </c>
      <c r="L14" s="97">
        <f t="shared" si="2"/>
        <v>302500</v>
      </c>
      <c r="M14" s="212">
        <f t="shared" si="3"/>
        <v>2</v>
      </c>
      <c r="N14" s="124">
        <f>$F$4*'Ppl Cost_Original'!N10</f>
        <v>149737.5</v>
      </c>
      <c r="O14" s="213">
        <f t="shared" si="4"/>
        <v>299475</v>
      </c>
      <c r="P14" s="212">
        <f t="shared" si="5"/>
        <v>2</v>
      </c>
      <c r="Q14" s="83">
        <f>$G$4*'Ppl Cost_Original'!Q10</f>
        <v>146410.00000000003</v>
      </c>
      <c r="R14" s="213">
        <f t="shared" si="6"/>
        <v>292820.00000000006</v>
      </c>
    </row>
    <row r="15" spans="1:18" x14ac:dyDescent="0.3">
      <c r="A15" s="36" t="s">
        <v>49</v>
      </c>
      <c r="B15" s="199" t="s">
        <v>298</v>
      </c>
      <c r="C15" t="s">
        <v>299</v>
      </c>
      <c r="D15">
        <v>1</v>
      </c>
      <c r="E15" s="264">
        <f>'Ppl Cost_Original'!E11*$C$4</f>
        <v>168000</v>
      </c>
      <c r="F15" s="83">
        <f t="shared" si="7"/>
        <v>168000</v>
      </c>
      <c r="G15" s="66">
        <f t="shared" si="0"/>
        <v>1</v>
      </c>
      <c r="H15" s="239">
        <f>$D$4*'Ppl Cost_Original'!H11</f>
        <v>169400</v>
      </c>
      <c r="I15" s="83">
        <f t="shared" si="8"/>
        <v>169400</v>
      </c>
      <c r="J15" s="212">
        <v>2</v>
      </c>
      <c r="K15" s="124">
        <f>$E$4*'Ppl Cost_Original'!K11</f>
        <v>169400</v>
      </c>
      <c r="L15" s="97">
        <f t="shared" si="2"/>
        <v>338800</v>
      </c>
      <c r="M15" s="212">
        <f t="shared" si="3"/>
        <v>2</v>
      </c>
      <c r="N15" s="124">
        <f>$F$4*'Ppl Cost_Original'!N11</f>
        <v>167706.00000000003</v>
      </c>
      <c r="O15" s="213">
        <f t="shared" si="4"/>
        <v>335412.00000000006</v>
      </c>
      <c r="P15" s="212">
        <f t="shared" si="5"/>
        <v>2</v>
      </c>
      <c r="Q15" s="83">
        <f>$G$4*'Ppl Cost_Original'!Q11</f>
        <v>163979.20000000007</v>
      </c>
      <c r="R15" s="213">
        <f t="shared" si="6"/>
        <v>327958.40000000014</v>
      </c>
    </row>
    <row r="16" spans="1:18" x14ac:dyDescent="0.3">
      <c r="A16" s="36" t="s">
        <v>49</v>
      </c>
      <c r="B16" s="199" t="s">
        <v>136</v>
      </c>
      <c r="C16" t="s">
        <v>301</v>
      </c>
      <c r="D16">
        <v>1</v>
      </c>
      <c r="E16" s="264">
        <f>'Ppl Cost_Original'!E12*$C$4</f>
        <v>180000</v>
      </c>
      <c r="F16" s="83">
        <f t="shared" si="7"/>
        <v>180000</v>
      </c>
      <c r="G16" s="66">
        <f t="shared" si="0"/>
        <v>1</v>
      </c>
      <c r="H16" s="239">
        <f>$D$4*'Ppl Cost_Original'!H12</f>
        <v>181500.00000000003</v>
      </c>
      <c r="I16" s="83">
        <f t="shared" si="8"/>
        <v>181500.00000000003</v>
      </c>
      <c r="J16" s="212">
        <v>2</v>
      </c>
      <c r="K16" s="124">
        <f>$E$4*'Ppl Cost_Original'!K12</f>
        <v>181500.00000000003</v>
      </c>
      <c r="L16" s="97">
        <f t="shared" si="2"/>
        <v>363000.00000000006</v>
      </c>
      <c r="M16" s="212">
        <f t="shared" si="3"/>
        <v>2</v>
      </c>
      <c r="N16" s="124">
        <f>$F$4*'Ppl Cost_Original'!N12</f>
        <v>179685.00000000006</v>
      </c>
      <c r="O16" s="213">
        <f t="shared" si="4"/>
        <v>359370.00000000012</v>
      </c>
      <c r="P16" s="212">
        <f t="shared" si="5"/>
        <v>2</v>
      </c>
      <c r="Q16" s="83">
        <f>$G$4*'Ppl Cost_Original'!Q12</f>
        <v>175692.00000000009</v>
      </c>
      <c r="R16" s="213">
        <f t="shared" si="6"/>
        <v>351384.00000000017</v>
      </c>
    </row>
    <row r="17" spans="1:18" x14ac:dyDescent="0.3">
      <c r="A17" s="36" t="s">
        <v>48</v>
      </c>
      <c r="B17" s="199" t="s">
        <v>303</v>
      </c>
      <c r="C17" t="s">
        <v>304</v>
      </c>
      <c r="D17">
        <v>1</v>
      </c>
      <c r="E17" s="264">
        <f>'Ppl Cost_Original'!E13*$C$4</f>
        <v>1080000</v>
      </c>
      <c r="F17" s="83">
        <f t="shared" si="7"/>
        <v>1080000</v>
      </c>
      <c r="G17" s="66">
        <f t="shared" si="0"/>
        <v>1</v>
      </c>
      <c r="H17" s="239">
        <f>$D$4*'Ppl Cost_Original'!H13</f>
        <v>1089000.0000000002</v>
      </c>
      <c r="I17" s="83">
        <f t="shared" si="8"/>
        <v>1089000.0000000002</v>
      </c>
      <c r="J17" s="212">
        <f t="shared" si="1"/>
        <v>1</v>
      </c>
      <c r="K17" s="124">
        <f>$E$4*'Ppl Cost_Original'!K13</f>
        <v>1089000.0000000002</v>
      </c>
      <c r="L17" s="97">
        <f t="shared" si="2"/>
        <v>1089000.0000000002</v>
      </c>
      <c r="M17" s="212">
        <f t="shared" si="3"/>
        <v>1</v>
      </c>
      <c r="N17" s="124">
        <f>$F$4*'Ppl Cost_Original'!N13</f>
        <v>1078110.0000000005</v>
      </c>
      <c r="O17" s="213">
        <f t="shared" si="4"/>
        <v>1078110.0000000005</v>
      </c>
      <c r="P17" s="212">
        <f t="shared" si="5"/>
        <v>1</v>
      </c>
      <c r="Q17" s="83">
        <f>$G$4*'Ppl Cost_Original'!Q13</f>
        <v>1054152.0000000007</v>
      </c>
      <c r="R17" s="213">
        <f t="shared" si="6"/>
        <v>1054152.0000000007</v>
      </c>
    </row>
    <row r="18" spans="1:18" x14ac:dyDescent="0.3">
      <c r="A18" s="36" t="s">
        <v>48</v>
      </c>
      <c r="B18" s="199" t="s">
        <v>372</v>
      </c>
      <c r="C18" t="s">
        <v>305</v>
      </c>
      <c r="D18">
        <v>1</v>
      </c>
      <c r="E18" s="264">
        <f>'Ppl Cost_Original'!E14*$C$4</f>
        <v>480000</v>
      </c>
      <c r="F18" s="124">
        <f t="shared" si="7"/>
        <v>480000</v>
      </c>
      <c r="G18" s="66">
        <v>0</v>
      </c>
      <c r="H18" s="239">
        <f>$D$4*'Ppl Cost_Original'!H14</f>
        <v>0</v>
      </c>
      <c r="I18" s="83"/>
      <c r="J18" s="212"/>
      <c r="K18" s="124">
        <f>$E$4*'Ppl Cost_Original'!K14</f>
        <v>0</v>
      </c>
      <c r="L18" s="97"/>
      <c r="M18" s="212"/>
      <c r="N18" s="124">
        <f>$F$4*'Ppl Cost_Original'!N14</f>
        <v>0</v>
      </c>
      <c r="O18" s="213"/>
      <c r="P18" s="212"/>
      <c r="Q18" s="83">
        <f>$G$4*'Ppl Cost_Original'!Q14</f>
        <v>0</v>
      </c>
      <c r="R18" s="213"/>
    </row>
    <row r="19" spans="1:18" x14ac:dyDescent="0.3">
      <c r="A19" s="36" t="s">
        <v>48</v>
      </c>
      <c r="B19" s="199" t="s">
        <v>371</v>
      </c>
      <c r="E19" s="264">
        <f>'Ppl Cost_Original'!E15*$C$4</f>
        <v>0</v>
      </c>
      <c r="F19" s="124"/>
      <c r="G19" s="66">
        <v>1</v>
      </c>
      <c r="H19" s="239">
        <f>$D$4*'Ppl Cost_Original'!H15</f>
        <v>247500.00000000003</v>
      </c>
      <c r="I19" s="83">
        <f t="shared" si="8"/>
        <v>247500.00000000003</v>
      </c>
      <c r="J19" s="212">
        <f>G19</f>
        <v>1</v>
      </c>
      <c r="K19" s="124">
        <f>$E$4*'Ppl Cost_Original'!K15</f>
        <v>247500.00000000003</v>
      </c>
      <c r="L19" s="97">
        <f t="shared" si="2"/>
        <v>247500.00000000003</v>
      </c>
      <c r="M19" s="212">
        <f>J19</f>
        <v>1</v>
      </c>
      <c r="N19" s="124">
        <f>$F$4*'Ppl Cost_Original'!N15</f>
        <v>245025.00000000006</v>
      </c>
      <c r="O19" s="213">
        <f t="shared" si="4"/>
        <v>245025.00000000006</v>
      </c>
      <c r="P19" s="212">
        <f>M19</f>
        <v>1</v>
      </c>
      <c r="Q19" s="83">
        <f>$G$4*'Ppl Cost_Original'!Q15</f>
        <v>239580.00000000012</v>
      </c>
      <c r="R19" s="213">
        <f t="shared" si="6"/>
        <v>239580.00000000012</v>
      </c>
    </row>
    <row r="20" spans="1:18" x14ac:dyDescent="0.3">
      <c r="A20" s="36" t="s">
        <v>49</v>
      </c>
      <c r="B20" s="199" t="s">
        <v>132</v>
      </c>
      <c r="C20" t="s">
        <v>306</v>
      </c>
      <c r="D20">
        <v>0</v>
      </c>
      <c r="E20" s="264">
        <f>'Ppl Cost_Original'!E16*$C$4</f>
        <v>171000</v>
      </c>
      <c r="F20" s="83">
        <f t="shared" si="7"/>
        <v>0</v>
      </c>
      <c r="G20" s="66">
        <f>D20</f>
        <v>0</v>
      </c>
      <c r="H20" s="239">
        <f>$D$4*'Ppl Cost_Original'!H16</f>
        <v>172425</v>
      </c>
      <c r="I20" s="83">
        <f t="shared" si="8"/>
        <v>0</v>
      </c>
      <c r="J20" s="212">
        <f t="shared" si="1"/>
        <v>0</v>
      </c>
      <c r="K20" s="124">
        <f>$E$4*'Ppl Cost_Original'!K16</f>
        <v>172425</v>
      </c>
      <c r="L20" s="97">
        <f t="shared" si="2"/>
        <v>0</v>
      </c>
      <c r="M20" s="212">
        <f t="shared" si="3"/>
        <v>0</v>
      </c>
      <c r="N20" s="124">
        <f>$F$4*'Ppl Cost_Original'!N16</f>
        <v>170700.75000000003</v>
      </c>
      <c r="O20" s="213">
        <f t="shared" si="4"/>
        <v>0</v>
      </c>
      <c r="P20" s="212">
        <f t="shared" si="5"/>
        <v>0</v>
      </c>
      <c r="Q20" s="83">
        <f>$G$4*'Ppl Cost_Original'!Q16</f>
        <v>166907.40000000005</v>
      </c>
      <c r="R20" s="213">
        <f t="shared" si="6"/>
        <v>0</v>
      </c>
    </row>
    <row r="21" spans="1:18" x14ac:dyDescent="0.3">
      <c r="A21" s="36" t="s">
        <v>49</v>
      </c>
      <c r="B21" s="199" t="s">
        <v>307</v>
      </c>
      <c r="C21" t="s">
        <v>308</v>
      </c>
      <c r="D21">
        <v>1</v>
      </c>
      <c r="E21" s="264">
        <f>'Ppl Cost_Original'!E17*$C$4</f>
        <v>174000</v>
      </c>
      <c r="F21" s="83">
        <f t="shared" si="7"/>
        <v>174000</v>
      </c>
      <c r="G21" s="66">
        <f>D21</f>
        <v>1</v>
      </c>
      <c r="H21" s="239">
        <f>$D$4*'Ppl Cost_Original'!H17</f>
        <v>175450</v>
      </c>
      <c r="I21" s="83">
        <f t="shared" si="8"/>
        <v>175450</v>
      </c>
      <c r="J21" s="212">
        <f t="shared" si="1"/>
        <v>1</v>
      </c>
      <c r="K21" s="124">
        <f>$E$4*'Ppl Cost_Original'!K17</f>
        <v>175450</v>
      </c>
      <c r="L21" s="97">
        <f t="shared" si="2"/>
        <v>175450</v>
      </c>
      <c r="M21" s="212">
        <f t="shared" si="3"/>
        <v>1</v>
      </c>
      <c r="N21" s="124">
        <f>$F$4*'Ppl Cost_Original'!N17</f>
        <v>173695.50000000003</v>
      </c>
      <c r="O21" s="213">
        <f t="shared" si="4"/>
        <v>173695.50000000003</v>
      </c>
      <c r="P21" s="212">
        <f t="shared" si="5"/>
        <v>1</v>
      </c>
      <c r="Q21" s="83">
        <f>$G$4*'Ppl Cost_Original'!Q17</f>
        <v>169835.60000000006</v>
      </c>
      <c r="R21" s="213">
        <f t="shared" si="6"/>
        <v>169835.60000000006</v>
      </c>
    </row>
    <row r="22" spans="1:18" x14ac:dyDescent="0.3">
      <c r="A22" s="36" t="s">
        <v>49</v>
      </c>
      <c r="B22" s="199" t="s">
        <v>309</v>
      </c>
      <c r="C22" t="s">
        <v>310</v>
      </c>
      <c r="D22">
        <v>1</v>
      </c>
      <c r="E22" s="264">
        <f>'Ppl Cost_Original'!E18*$C$4</f>
        <v>150000</v>
      </c>
      <c r="F22" s="83">
        <f t="shared" si="7"/>
        <v>150000</v>
      </c>
      <c r="G22" s="66">
        <f>D22</f>
        <v>1</v>
      </c>
      <c r="H22" s="239">
        <f>$D$4*'Ppl Cost_Original'!H18</f>
        <v>151250</v>
      </c>
      <c r="I22" s="83">
        <f t="shared" si="8"/>
        <v>151250</v>
      </c>
      <c r="J22" s="212">
        <f t="shared" si="1"/>
        <v>1</v>
      </c>
      <c r="K22" s="124">
        <f>$E$4*'Ppl Cost_Original'!K18</f>
        <v>151250</v>
      </c>
      <c r="L22" s="97">
        <f t="shared" si="2"/>
        <v>151250</v>
      </c>
      <c r="M22" s="212">
        <f t="shared" si="3"/>
        <v>1</v>
      </c>
      <c r="N22" s="124">
        <f>$F$4*'Ppl Cost_Original'!N18</f>
        <v>149737.5</v>
      </c>
      <c r="O22" s="213">
        <f t="shared" si="4"/>
        <v>149737.5</v>
      </c>
      <c r="P22" s="212">
        <f t="shared" si="5"/>
        <v>1</v>
      </c>
      <c r="Q22" s="83">
        <f>$G$4*'Ppl Cost_Original'!Q18</f>
        <v>146410.00000000003</v>
      </c>
      <c r="R22" s="213">
        <f t="shared" si="6"/>
        <v>146410.00000000003</v>
      </c>
    </row>
    <row r="23" spans="1:18" x14ac:dyDescent="0.3">
      <c r="A23" s="36" t="s">
        <v>49</v>
      </c>
      <c r="B23" s="199" t="s">
        <v>309</v>
      </c>
      <c r="C23" t="s">
        <v>311</v>
      </c>
      <c r="D23">
        <v>1</v>
      </c>
      <c r="E23" s="264">
        <f>'Ppl Cost_Original'!E19*$C$4</f>
        <v>150000</v>
      </c>
      <c r="F23" s="83">
        <f t="shared" si="7"/>
        <v>150000</v>
      </c>
      <c r="G23" s="66">
        <f>D23</f>
        <v>1</v>
      </c>
      <c r="H23" s="239">
        <f>$D$4*'Ppl Cost_Original'!H19</f>
        <v>151250</v>
      </c>
      <c r="I23" s="83">
        <f t="shared" si="8"/>
        <v>151250</v>
      </c>
      <c r="J23" s="212">
        <f t="shared" si="1"/>
        <v>1</v>
      </c>
      <c r="K23" s="124">
        <f>$E$4*'Ppl Cost_Original'!K19</f>
        <v>151250</v>
      </c>
      <c r="L23" s="97">
        <f t="shared" si="2"/>
        <v>151250</v>
      </c>
      <c r="M23" s="212">
        <f t="shared" si="3"/>
        <v>1</v>
      </c>
      <c r="N23" s="124">
        <f>$F$4*'Ppl Cost_Original'!N19</f>
        <v>149737.5</v>
      </c>
      <c r="O23" s="213">
        <f t="shared" si="4"/>
        <v>149737.5</v>
      </c>
      <c r="P23" s="212">
        <f t="shared" si="5"/>
        <v>1</v>
      </c>
      <c r="Q23" s="83">
        <f>$G$4*'Ppl Cost_Original'!Q19</f>
        <v>146410.00000000003</v>
      </c>
      <c r="R23" s="213">
        <f t="shared" si="6"/>
        <v>146410.00000000003</v>
      </c>
    </row>
    <row r="24" spans="1:18" x14ac:dyDescent="0.3">
      <c r="A24" s="36" t="s">
        <v>48</v>
      </c>
      <c r="B24" s="199" t="s">
        <v>312</v>
      </c>
      <c r="C24" t="s">
        <v>313</v>
      </c>
      <c r="D24">
        <v>1</v>
      </c>
      <c r="E24" s="264">
        <f>'Ppl Cost_Original'!E20*$C$4</f>
        <v>990000</v>
      </c>
      <c r="F24" s="83">
        <f t="shared" si="7"/>
        <v>990000</v>
      </c>
      <c r="G24" s="66">
        <f>D24</f>
        <v>1</v>
      </c>
      <c r="H24" s="239">
        <f>$D$4*'Ppl Cost_Original'!H20</f>
        <v>998250.00000000023</v>
      </c>
      <c r="I24" s="83">
        <f t="shared" si="8"/>
        <v>998250.00000000023</v>
      </c>
      <c r="J24" s="212">
        <f t="shared" si="1"/>
        <v>1</v>
      </c>
      <c r="K24" s="124">
        <f>$E$4*'Ppl Cost_Original'!K20</f>
        <v>998250.00000000023</v>
      </c>
      <c r="L24" s="97">
        <f t="shared" si="2"/>
        <v>998250.00000000023</v>
      </c>
      <c r="M24" s="212">
        <f t="shared" si="3"/>
        <v>1</v>
      </c>
      <c r="N24" s="124">
        <f>$F$4*'Ppl Cost_Original'!N20</f>
        <v>988267.50000000023</v>
      </c>
      <c r="O24" s="213">
        <f t="shared" si="4"/>
        <v>988267.50000000023</v>
      </c>
      <c r="P24" s="212">
        <f t="shared" si="5"/>
        <v>1</v>
      </c>
      <c r="Q24" s="83">
        <f>$G$4*'Ppl Cost_Original'!Q20</f>
        <v>966306.00000000047</v>
      </c>
      <c r="R24" s="213">
        <f t="shared" si="6"/>
        <v>966306.00000000047</v>
      </c>
    </row>
    <row r="25" spans="1:18" x14ac:dyDescent="0.3">
      <c r="A25" s="36"/>
      <c r="B25" s="199" t="s">
        <v>315</v>
      </c>
      <c r="C25" t="s">
        <v>316</v>
      </c>
      <c r="E25" s="264">
        <f>'Ppl Cost_Original'!E21*$C$4</f>
        <v>0</v>
      </c>
      <c r="F25" s="83"/>
      <c r="H25" s="239">
        <f>$D$4*'Ppl Cost_Original'!H21</f>
        <v>0</v>
      </c>
      <c r="I25" s="83"/>
      <c r="J25" s="212"/>
      <c r="K25" s="124">
        <f>$E$4*'Ppl Cost_Original'!K21</f>
        <v>0</v>
      </c>
      <c r="L25" s="97"/>
      <c r="M25" s="212"/>
      <c r="N25" s="124">
        <f>$F$4*'Ppl Cost_Original'!N21</f>
        <v>0</v>
      </c>
      <c r="O25" s="213"/>
      <c r="P25" s="212"/>
      <c r="Q25" s="83">
        <f>$G$4*'Ppl Cost_Original'!Q21</f>
        <v>0</v>
      </c>
      <c r="R25" s="213"/>
    </row>
    <row r="26" spans="1:18" x14ac:dyDescent="0.3">
      <c r="A26" s="36" t="s">
        <v>48</v>
      </c>
      <c r="B26" s="199" t="s">
        <v>283</v>
      </c>
      <c r="C26" t="s">
        <v>284</v>
      </c>
      <c r="D26">
        <v>1</v>
      </c>
      <c r="E26" s="264">
        <f>'Ppl Cost_Original'!E22*$C$4</f>
        <v>720000</v>
      </c>
      <c r="F26" s="83">
        <f t="shared" si="7"/>
        <v>720000</v>
      </c>
      <c r="G26" s="66">
        <f>D26</f>
        <v>1</v>
      </c>
      <c r="H26" s="239">
        <f>$D$4*'Ppl Cost_Original'!H22</f>
        <v>693000</v>
      </c>
      <c r="I26" s="83">
        <f t="shared" si="8"/>
        <v>693000</v>
      </c>
      <c r="J26" s="212">
        <f t="shared" si="1"/>
        <v>1</v>
      </c>
      <c r="K26" s="124">
        <f>$E$4*'Ppl Cost_Original'!K22</f>
        <v>693000</v>
      </c>
      <c r="L26" s="97">
        <f t="shared" si="2"/>
        <v>693000</v>
      </c>
      <c r="M26" s="212">
        <f t="shared" si="3"/>
        <v>1</v>
      </c>
      <c r="N26" s="124">
        <f>$F$4*'Ppl Cost_Original'!N22</f>
        <v>779625</v>
      </c>
      <c r="O26" s="213">
        <f t="shared" si="4"/>
        <v>779625</v>
      </c>
      <c r="P26" s="212">
        <f t="shared" si="5"/>
        <v>1</v>
      </c>
      <c r="Q26" s="83">
        <f>$G$4*'Ppl Cost_Original'!Q22</f>
        <v>866250</v>
      </c>
      <c r="R26" s="213">
        <f t="shared" si="6"/>
        <v>866250</v>
      </c>
    </row>
    <row r="27" spans="1:18" x14ac:dyDescent="0.3">
      <c r="A27" s="36" t="s">
        <v>48</v>
      </c>
      <c r="B27" s="199" t="s">
        <v>127</v>
      </c>
      <c r="C27" t="s">
        <v>284</v>
      </c>
      <c r="E27" s="264">
        <f>'Ppl Cost_Original'!E23*$C$4</f>
        <v>0</v>
      </c>
      <c r="F27" s="83"/>
      <c r="G27" s="66">
        <v>1</v>
      </c>
      <c r="H27" s="239">
        <f>$D$4*'Ppl Cost_Original'!H23</f>
        <v>275000</v>
      </c>
      <c r="I27" s="83">
        <f t="shared" si="8"/>
        <v>275000</v>
      </c>
      <c r="J27" s="212">
        <f t="shared" si="1"/>
        <v>1</v>
      </c>
      <c r="K27" s="124">
        <f>$E$4*'Ppl Cost_Original'!K23</f>
        <v>275000</v>
      </c>
      <c r="L27" s="97">
        <f t="shared" si="2"/>
        <v>275000</v>
      </c>
      <c r="M27" s="212">
        <f t="shared" si="3"/>
        <v>1</v>
      </c>
      <c r="N27" s="124">
        <f>$F$4*'Ppl Cost_Original'!N23</f>
        <v>272250</v>
      </c>
      <c r="O27" s="213">
        <f t="shared" si="4"/>
        <v>272250</v>
      </c>
      <c r="P27" s="212">
        <v>2</v>
      </c>
      <c r="Q27" s="83">
        <f>$G$4*'Ppl Cost_Original'!Q23</f>
        <v>266200</v>
      </c>
      <c r="R27" s="213">
        <f t="shared" si="6"/>
        <v>532400</v>
      </c>
    </row>
    <row r="28" spans="1:18" x14ac:dyDescent="0.3">
      <c r="A28" s="36" t="s">
        <v>48</v>
      </c>
      <c r="B28" s="199" t="s">
        <v>285</v>
      </c>
      <c r="C28" t="s">
        <v>284</v>
      </c>
      <c r="D28">
        <v>1</v>
      </c>
      <c r="E28" s="264">
        <f>'Ppl Cost_Original'!E24*$C$4</f>
        <v>180000</v>
      </c>
      <c r="F28" s="83">
        <f t="shared" si="7"/>
        <v>180000</v>
      </c>
      <c r="G28" s="66">
        <v>1</v>
      </c>
      <c r="H28" s="239">
        <f>$D$4*'Ppl Cost_Original'!H24</f>
        <v>173250</v>
      </c>
      <c r="I28" s="83">
        <f t="shared" si="8"/>
        <v>173250</v>
      </c>
      <c r="J28" s="212">
        <v>2</v>
      </c>
      <c r="K28" s="124">
        <f>$E$4*'Ppl Cost_Original'!K24</f>
        <v>173250</v>
      </c>
      <c r="L28" s="97">
        <f t="shared" si="2"/>
        <v>346500</v>
      </c>
      <c r="M28" s="212">
        <v>6</v>
      </c>
      <c r="N28" s="124">
        <f>$F$4*'Ppl Cost_Original'!N24</f>
        <v>171517.50000000003</v>
      </c>
      <c r="O28" s="213">
        <f t="shared" si="4"/>
        <v>1029105.0000000002</v>
      </c>
      <c r="P28" s="212">
        <v>10</v>
      </c>
      <c r="Q28" s="83">
        <f>$G$4*'Ppl Cost_Original'!Q24</f>
        <v>167706.00000000006</v>
      </c>
      <c r="R28" s="213">
        <f t="shared" si="6"/>
        <v>1677060.0000000005</v>
      </c>
    </row>
    <row r="29" spans="1:18" x14ac:dyDescent="0.3">
      <c r="A29" s="36" t="s">
        <v>49</v>
      </c>
      <c r="B29" s="199" t="s">
        <v>325</v>
      </c>
      <c r="C29" t="s">
        <v>284</v>
      </c>
      <c r="E29" s="264">
        <f>'Ppl Cost_Original'!E25*$C$4</f>
        <v>0</v>
      </c>
      <c r="F29" s="83"/>
      <c r="G29" s="66">
        <v>1</v>
      </c>
      <c r="H29" s="239">
        <f>$D$4*'Ppl Cost_Original'!H25</f>
        <v>330000</v>
      </c>
      <c r="I29" s="83">
        <f t="shared" si="8"/>
        <v>330000</v>
      </c>
      <c r="J29" s="212">
        <f t="shared" si="1"/>
        <v>1</v>
      </c>
      <c r="K29" s="124">
        <f>$E$4*'Ppl Cost_Original'!K25</f>
        <v>330000</v>
      </c>
      <c r="L29" s="97">
        <f t="shared" si="2"/>
        <v>330000</v>
      </c>
      <c r="M29" s="212">
        <f t="shared" si="3"/>
        <v>1</v>
      </c>
      <c r="N29" s="124">
        <f>$F$4*'Ppl Cost_Original'!N25</f>
        <v>326700.00000000006</v>
      </c>
      <c r="O29" s="213">
        <f t="shared" si="4"/>
        <v>326700.00000000006</v>
      </c>
      <c r="P29" s="212">
        <f t="shared" si="5"/>
        <v>1</v>
      </c>
      <c r="Q29" s="83">
        <f>$G$4*'Ppl Cost_Original'!Q25</f>
        <v>319440.00000000012</v>
      </c>
      <c r="R29" s="213">
        <f t="shared" si="6"/>
        <v>319440.00000000012</v>
      </c>
    </row>
    <row r="30" spans="1:18" x14ac:dyDescent="0.3">
      <c r="A30" s="36" t="s">
        <v>48</v>
      </c>
      <c r="B30" s="199" t="s">
        <v>290</v>
      </c>
      <c r="C30" t="s">
        <v>284</v>
      </c>
      <c r="D30">
        <v>1</v>
      </c>
      <c r="E30" s="264">
        <f>'Ppl Cost_Original'!E26*$C$4</f>
        <v>240000</v>
      </c>
      <c r="F30" s="83">
        <f t="shared" si="7"/>
        <v>240000</v>
      </c>
      <c r="G30" s="66">
        <v>1</v>
      </c>
      <c r="H30" s="239">
        <f>$D$4*'Ppl Cost_Original'!H26</f>
        <v>231000.00000000003</v>
      </c>
      <c r="I30" s="83">
        <f t="shared" si="8"/>
        <v>231000.00000000003</v>
      </c>
      <c r="J30" s="212">
        <f t="shared" si="1"/>
        <v>1</v>
      </c>
      <c r="K30" s="124">
        <f>$E$4*'Ppl Cost_Original'!K26</f>
        <v>231000.00000000003</v>
      </c>
      <c r="L30" s="97">
        <f t="shared" si="2"/>
        <v>231000.00000000003</v>
      </c>
      <c r="M30" s="212">
        <f t="shared" si="3"/>
        <v>1</v>
      </c>
      <c r="N30" s="124">
        <f>$F$4*'Ppl Cost_Original'!N26</f>
        <v>228690.00000000006</v>
      </c>
      <c r="O30" s="213">
        <f t="shared" si="4"/>
        <v>228690.00000000006</v>
      </c>
      <c r="P30" s="212">
        <f t="shared" si="5"/>
        <v>1</v>
      </c>
      <c r="Q30" s="83">
        <f>$G$4*'Ppl Cost_Original'!Q26</f>
        <v>223608.00000000006</v>
      </c>
      <c r="R30" s="213">
        <f t="shared" si="6"/>
        <v>223608.00000000006</v>
      </c>
    </row>
    <row r="31" spans="1:18" x14ac:dyDescent="0.3">
      <c r="A31" s="36" t="s">
        <v>48</v>
      </c>
      <c r="B31" s="199" t="s">
        <v>373</v>
      </c>
      <c r="C31" t="s">
        <v>284</v>
      </c>
      <c r="D31">
        <v>1</v>
      </c>
      <c r="E31" s="264">
        <f>'Ppl Cost_Original'!E27*$C$4</f>
        <v>540000</v>
      </c>
      <c r="F31" s="83">
        <f t="shared" si="7"/>
        <v>540000</v>
      </c>
      <c r="G31" s="66">
        <v>1</v>
      </c>
      <c r="H31" s="239">
        <f>$D$4*'Ppl Cost_Original'!H27</f>
        <v>519750.00000000006</v>
      </c>
      <c r="I31" s="83">
        <f t="shared" si="8"/>
        <v>519750.00000000006</v>
      </c>
      <c r="J31" s="212">
        <f t="shared" si="1"/>
        <v>1</v>
      </c>
      <c r="K31" s="124">
        <f>$E$4*'Ppl Cost_Original'!K27</f>
        <v>519750.00000000006</v>
      </c>
      <c r="L31" s="97">
        <f t="shared" si="2"/>
        <v>519750.00000000006</v>
      </c>
      <c r="M31" s="212">
        <f t="shared" si="3"/>
        <v>1</v>
      </c>
      <c r="N31" s="124">
        <f>$F$4*'Ppl Cost_Original'!N27</f>
        <v>584718.75000000012</v>
      </c>
      <c r="O31" s="213">
        <f t="shared" si="4"/>
        <v>584718.75000000012</v>
      </c>
      <c r="P31" s="212">
        <f t="shared" si="5"/>
        <v>1</v>
      </c>
      <c r="Q31" s="83">
        <f>$G$4*'Ppl Cost_Original'!Q27</f>
        <v>649687.50000000012</v>
      </c>
      <c r="R31" s="213">
        <f t="shared" si="6"/>
        <v>649687.50000000012</v>
      </c>
    </row>
    <row r="32" spans="1:18" x14ac:dyDescent="0.3">
      <c r="A32" s="36" t="s">
        <v>48</v>
      </c>
      <c r="B32" s="199" t="s">
        <v>139</v>
      </c>
      <c r="E32" s="264">
        <f>'Ppl Cost_Original'!E28*$C$4</f>
        <v>0</v>
      </c>
      <c r="F32" s="83"/>
      <c r="H32" s="239">
        <f>$D$4*'Ppl Cost_Original'!H28</f>
        <v>0</v>
      </c>
      <c r="I32" s="83"/>
      <c r="J32" s="212"/>
      <c r="K32" s="124">
        <f>$E$4*'Ppl Cost_Original'!K28</f>
        <v>0</v>
      </c>
      <c r="L32" s="97"/>
      <c r="M32" s="212">
        <v>1</v>
      </c>
      <c r="N32" s="124">
        <f>$F$4*'Ppl Cost_Original'!N28</f>
        <v>450000</v>
      </c>
      <c r="O32" s="213">
        <f t="shared" si="4"/>
        <v>450000</v>
      </c>
      <c r="P32" s="212">
        <v>1</v>
      </c>
      <c r="Q32" s="83">
        <f>$G$4*'Ppl Cost_Original'!Q28</f>
        <v>440000</v>
      </c>
      <c r="R32" s="213">
        <f t="shared" si="6"/>
        <v>440000</v>
      </c>
    </row>
    <row r="33" spans="1:18" x14ac:dyDescent="0.3">
      <c r="A33" s="36" t="s">
        <v>49</v>
      </c>
      <c r="B33" s="199" t="s">
        <v>169</v>
      </c>
      <c r="C33" t="s">
        <v>284</v>
      </c>
      <c r="D33">
        <v>1</v>
      </c>
      <c r="E33" s="264">
        <f>'Ppl Cost_Original'!E29*$C$4</f>
        <v>240000</v>
      </c>
      <c r="F33" s="83">
        <f t="shared" si="7"/>
        <v>240000</v>
      </c>
      <c r="G33" s="66">
        <v>1</v>
      </c>
      <c r="H33" s="239">
        <f>$D$4*'Ppl Cost_Original'!H29</f>
        <v>231000.00000000003</v>
      </c>
      <c r="I33" s="83">
        <f t="shared" si="8"/>
        <v>231000.00000000003</v>
      </c>
      <c r="J33" s="212">
        <f t="shared" si="1"/>
        <v>1</v>
      </c>
      <c r="K33" s="124">
        <f>$E$4*'Ppl Cost_Original'!K29</f>
        <v>231000.00000000003</v>
      </c>
      <c r="L33" s="97">
        <f t="shared" si="2"/>
        <v>231000.00000000003</v>
      </c>
      <c r="M33" s="212">
        <f t="shared" si="3"/>
        <v>1</v>
      </c>
      <c r="N33" s="124">
        <f>$F$4*'Ppl Cost_Original'!N29</f>
        <v>228690.00000000006</v>
      </c>
      <c r="O33" s="213">
        <f t="shared" si="4"/>
        <v>228690.00000000006</v>
      </c>
      <c r="P33" s="212">
        <f t="shared" si="5"/>
        <v>1</v>
      </c>
      <c r="Q33" s="83">
        <f>$G$4*'Ppl Cost_Original'!Q29</f>
        <v>223608.00000000006</v>
      </c>
      <c r="R33" s="213">
        <f t="shared" si="6"/>
        <v>223608.00000000006</v>
      </c>
    </row>
    <row r="34" spans="1:18" x14ac:dyDescent="0.3">
      <c r="A34" s="36" t="s">
        <v>48</v>
      </c>
      <c r="B34" s="199" t="s">
        <v>297</v>
      </c>
      <c r="C34" t="s">
        <v>284</v>
      </c>
      <c r="D34">
        <v>1</v>
      </c>
      <c r="E34" s="264">
        <f>'Ppl Cost_Original'!E30*$C$4</f>
        <v>360000</v>
      </c>
      <c r="F34" s="83">
        <f t="shared" si="7"/>
        <v>360000</v>
      </c>
      <c r="G34" s="66">
        <v>1</v>
      </c>
      <c r="H34" s="239">
        <f>$D$4*'Ppl Cost_Original'!H30</f>
        <v>346500</v>
      </c>
      <c r="I34" s="83">
        <f t="shared" si="8"/>
        <v>346500</v>
      </c>
      <c r="J34" s="212">
        <f t="shared" si="1"/>
        <v>1</v>
      </c>
      <c r="K34" s="124">
        <f>$E$4*'Ppl Cost_Original'!K30</f>
        <v>346500</v>
      </c>
      <c r="L34" s="97">
        <f t="shared" si="2"/>
        <v>346500</v>
      </c>
      <c r="M34" s="212">
        <f t="shared" si="3"/>
        <v>1</v>
      </c>
      <c r="N34" s="124">
        <f>$F$4*'Ppl Cost_Original'!N30</f>
        <v>343035.00000000006</v>
      </c>
      <c r="O34" s="213">
        <f t="shared" si="4"/>
        <v>343035.00000000006</v>
      </c>
      <c r="P34" s="212">
        <f t="shared" si="5"/>
        <v>1</v>
      </c>
      <c r="Q34" s="83">
        <f>$G$4*'Ppl Cost_Original'!Q30</f>
        <v>335412.00000000012</v>
      </c>
      <c r="R34" s="213">
        <f t="shared" si="6"/>
        <v>335412.00000000012</v>
      </c>
    </row>
    <row r="35" spans="1:18" x14ac:dyDescent="0.3">
      <c r="A35" s="36" t="s">
        <v>48</v>
      </c>
      <c r="B35" s="199" t="s">
        <v>322</v>
      </c>
      <c r="C35" t="s">
        <v>284</v>
      </c>
      <c r="E35" s="264">
        <f>'Ppl Cost_Original'!E31*$C$4</f>
        <v>0</v>
      </c>
      <c r="F35" s="83"/>
      <c r="H35" s="239">
        <f>$D$4*'Ppl Cost_Original'!H31</f>
        <v>0</v>
      </c>
      <c r="I35" s="83"/>
      <c r="J35" s="212">
        <v>1</v>
      </c>
      <c r="K35" s="124">
        <f>$E$4*'Ppl Cost_Original'!K31</f>
        <v>1000000</v>
      </c>
      <c r="L35" s="97">
        <f t="shared" si="2"/>
        <v>1000000</v>
      </c>
      <c r="M35" s="212">
        <f t="shared" si="3"/>
        <v>1</v>
      </c>
      <c r="N35" s="124">
        <f>$F$4*'Ppl Cost_Original'!N31</f>
        <v>990000</v>
      </c>
      <c r="O35" s="213">
        <f t="shared" si="4"/>
        <v>990000</v>
      </c>
      <c r="P35" s="212">
        <f t="shared" si="5"/>
        <v>1</v>
      </c>
      <c r="Q35" s="83">
        <f>$G$4*'Ppl Cost_Original'!Q31</f>
        <v>968000</v>
      </c>
      <c r="R35" s="213">
        <f t="shared" si="6"/>
        <v>968000</v>
      </c>
    </row>
    <row r="36" spans="1:18" x14ac:dyDescent="0.3">
      <c r="A36" s="36" t="s">
        <v>48</v>
      </c>
      <c r="B36" s="199" t="s">
        <v>300</v>
      </c>
      <c r="C36" t="s">
        <v>284</v>
      </c>
      <c r="D36">
        <v>1</v>
      </c>
      <c r="E36" s="264">
        <f>'Ppl Cost_Original'!E32*$C$4</f>
        <v>600000</v>
      </c>
      <c r="F36" s="83">
        <f t="shared" si="7"/>
        <v>600000</v>
      </c>
      <c r="G36" s="66">
        <v>1</v>
      </c>
      <c r="H36" s="239">
        <f>$D$4*'Ppl Cost_Original'!H32</f>
        <v>577500</v>
      </c>
      <c r="I36" s="83">
        <f t="shared" si="8"/>
        <v>577500</v>
      </c>
      <c r="J36" s="212">
        <f t="shared" ref="J36:J47" si="9">G36</f>
        <v>1</v>
      </c>
      <c r="K36" s="124">
        <f>$E$4*'Ppl Cost_Original'!K32</f>
        <v>577500</v>
      </c>
      <c r="L36" s="97">
        <f t="shared" si="2"/>
        <v>577500</v>
      </c>
      <c r="M36" s="212">
        <f t="shared" si="3"/>
        <v>1</v>
      </c>
      <c r="N36" s="124">
        <f>$F$4*'Ppl Cost_Original'!N32</f>
        <v>571725</v>
      </c>
      <c r="O36" s="213">
        <f t="shared" si="4"/>
        <v>571725</v>
      </c>
      <c r="P36" s="212">
        <f t="shared" si="5"/>
        <v>1</v>
      </c>
      <c r="Q36" s="83">
        <f>$G$4*'Ppl Cost_Original'!Q32</f>
        <v>559020</v>
      </c>
      <c r="R36" s="213">
        <f t="shared" si="6"/>
        <v>559020</v>
      </c>
    </row>
    <row r="37" spans="1:18" x14ac:dyDescent="0.3">
      <c r="A37" s="36" t="s">
        <v>48</v>
      </c>
      <c r="B37" s="199" t="s">
        <v>326</v>
      </c>
      <c r="C37" t="s">
        <v>284</v>
      </c>
      <c r="E37" s="264">
        <f>'Ppl Cost_Original'!E33*$C$4</f>
        <v>0</v>
      </c>
      <c r="F37" s="83"/>
      <c r="H37" s="239">
        <f>$D$4*'Ppl Cost_Original'!H33</f>
        <v>0</v>
      </c>
      <c r="I37" s="83"/>
      <c r="J37" s="212">
        <v>1</v>
      </c>
      <c r="K37" s="124">
        <f>$E$4*'Ppl Cost_Original'!K33</f>
        <v>400000</v>
      </c>
      <c r="L37" s="97">
        <f t="shared" si="2"/>
        <v>400000</v>
      </c>
      <c r="M37" s="212">
        <f t="shared" si="3"/>
        <v>1</v>
      </c>
      <c r="N37" s="124">
        <f>$F$4*'Ppl Cost_Original'!N33</f>
        <v>396000.00000000006</v>
      </c>
      <c r="O37" s="213">
        <f t="shared" si="4"/>
        <v>396000.00000000006</v>
      </c>
      <c r="P37" s="212">
        <f t="shared" si="5"/>
        <v>1</v>
      </c>
      <c r="Q37" s="83">
        <f>$G$4*'Ppl Cost_Original'!Q33</f>
        <v>387200.00000000012</v>
      </c>
      <c r="R37" s="213">
        <f t="shared" si="6"/>
        <v>387200.00000000012</v>
      </c>
    </row>
    <row r="38" spans="1:18" x14ac:dyDescent="0.3">
      <c r="A38" s="36" t="s">
        <v>49</v>
      </c>
      <c r="B38" s="199" t="s">
        <v>386</v>
      </c>
      <c r="C38" t="s">
        <v>284</v>
      </c>
      <c r="D38">
        <v>1</v>
      </c>
      <c r="E38" s="264">
        <f>'Ppl Cost_Original'!E34*$C$4</f>
        <v>120000</v>
      </c>
      <c r="F38" s="83">
        <f t="shared" si="7"/>
        <v>120000</v>
      </c>
      <c r="G38" s="66">
        <v>1</v>
      </c>
      <c r="H38" s="239">
        <f>$D$4*'Ppl Cost_Original'!H34</f>
        <v>115500.00000000001</v>
      </c>
      <c r="I38" s="83">
        <f t="shared" ref="I38" si="10">G38*H38</f>
        <v>115500.00000000001</v>
      </c>
      <c r="J38" s="212">
        <f t="shared" ref="J38" si="11">G38</f>
        <v>1</v>
      </c>
      <c r="K38" s="124">
        <f>$E$4*'Ppl Cost_Original'!K34</f>
        <v>115500.00000000001</v>
      </c>
      <c r="L38" s="97">
        <f t="shared" si="2"/>
        <v>115500.00000000001</v>
      </c>
      <c r="M38" s="212">
        <f t="shared" si="3"/>
        <v>1</v>
      </c>
      <c r="N38" s="124">
        <f>$F$4*'Ppl Cost_Original'!N34</f>
        <v>114345.00000000003</v>
      </c>
      <c r="O38" s="213">
        <f t="shared" si="4"/>
        <v>114345.00000000003</v>
      </c>
      <c r="P38" s="212">
        <f t="shared" si="5"/>
        <v>1</v>
      </c>
      <c r="Q38" s="83">
        <f>$G$4*'Ppl Cost_Original'!Q34</f>
        <v>111804.00000000003</v>
      </c>
      <c r="R38" s="213">
        <f t="shared" si="6"/>
        <v>111804.00000000003</v>
      </c>
    </row>
    <row r="39" spans="1:18" x14ac:dyDescent="0.3">
      <c r="A39" s="36"/>
      <c r="B39" s="199" t="s">
        <v>410</v>
      </c>
      <c r="C39" t="s">
        <v>284</v>
      </c>
      <c r="D39">
        <v>0</v>
      </c>
      <c r="E39" s="264">
        <f>'Ppl Cost_Original'!E35*$C$4</f>
        <v>180000</v>
      </c>
      <c r="F39" s="83">
        <f t="shared" si="7"/>
        <v>0</v>
      </c>
      <c r="G39" s="66">
        <v>0</v>
      </c>
      <c r="H39" s="239">
        <f>$D$4*'Ppl Cost_Original'!H35</f>
        <v>173250</v>
      </c>
      <c r="I39" s="83">
        <f t="shared" si="8"/>
        <v>0</v>
      </c>
      <c r="J39" s="212">
        <f t="shared" si="9"/>
        <v>0</v>
      </c>
      <c r="K39" s="124">
        <f>$E$4*'Ppl Cost_Original'!K35</f>
        <v>173250</v>
      </c>
      <c r="L39" s="97">
        <f t="shared" si="2"/>
        <v>0</v>
      </c>
      <c r="M39" s="212">
        <f t="shared" si="3"/>
        <v>0</v>
      </c>
      <c r="N39" s="124">
        <f>$F$4*'Ppl Cost_Original'!N35</f>
        <v>171517.50000000003</v>
      </c>
      <c r="O39" s="213">
        <f t="shared" si="4"/>
        <v>0</v>
      </c>
      <c r="P39" s="212">
        <f t="shared" si="5"/>
        <v>0</v>
      </c>
      <c r="Q39" s="83">
        <f>$G$4*'Ppl Cost_Original'!Q35</f>
        <v>167706.00000000006</v>
      </c>
      <c r="R39" s="213">
        <f t="shared" si="6"/>
        <v>0</v>
      </c>
    </row>
    <row r="40" spans="1:18" x14ac:dyDescent="0.3">
      <c r="A40" s="36" t="s">
        <v>49</v>
      </c>
      <c r="B40" s="199" t="s">
        <v>323</v>
      </c>
      <c r="C40" t="s">
        <v>284</v>
      </c>
      <c r="D40">
        <v>1</v>
      </c>
      <c r="E40" s="264">
        <f>'Ppl Cost_Original'!E36*$C$4</f>
        <v>180000</v>
      </c>
      <c r="F40" s="83">
        <f t="shared" si="7"/>
        <v>180000</v>
      </c>
      <c r="G40" s="66">
        <v>1</v>
      </c>
      <c r="H40" s="239">
        <f>$D$4*'Ppl Cost_Original'!H36</f>
        <v>173250</v>
      </c>
      <c r="I40" s="83">
        <f t="shared" si="8"/>
        <v>173250</v>
      </c>
      <c r="J40" s="212">
        <f t="shared" si="9"/>
        <v>1</v>
      </c>
      <c r="K40" s="124">
        <f>$E$4*'Ppl Cost_Original'!K36</f>
        <v>173250</v>
      </c>
      <c r="L40" s="97">
        <f t="shared" si="2"/>
        <v>173250</v>
      </c>
      <c r="M40" s="212">
        <f t="shared" si="3"/>
        <v>1</v>
      </c>
      <c r="N40" s="124">
        <f>$F$4*'Ppl Cost_Original'!N36</f>
        <v>171517.50000000003</v>
      </c>
      <c r="O40" s="213">
        <f t="shared" si="4"/>
        <v>171517.50000000003</v>
      </c>
      <c r="P40" s="212">
        <f t="shared" si="5"/>
        <v>1</v>
      </c>
      <c r="Q40" s="83">
        <f>$G$4*'Ppl Cost_Original'!Q36</f>
        <v>167706.00000000006</v>
      </c>
      <c r="R40" s="213">
        <f t="shared" si="6"/>
        <v>167706.00000000006</v>
      </c>
    </row>
    <row r="41" spans="1:18" x14ac:dyDescent="0.3">
      <c r="A41" s="36" t="s">
        <v>49</v>
      </c>
      <c r="B41" s="199" t="s">
        <v>302</v>
      </c>
      <c r="C41" t="s">
        <v>284</v>
      </c>
      <c r="D41">
        <v>1</v>
      </c>
      <c r="E41" s="264">
        <f>'Ppl Cost_Original'!E37*$C$4</f>
        <v>150000</v>
      </c>
      <c r="F41" s="83">
        <f t="shared" si="7"/>
        <v>150000</v>
      </c>
      <c r="G41" s="66">
        <v>1</v>
      </c>
      <c r="H41" s="239">
        <f>$D$4*'Ppl Cost_Original'!H37</f>
        <v>144375</v>
      </c>
      <c r="I41" s="83">
        <f t="shared" si="8"/>
        <v>144375</v>
      </c>
      <c r="J41" s="212">
        <f t="shared" si="9"/>
        <v>1</v>
      </c>
      <c r="K41" s="124">
        <f>$E$4*'Ppl Cost_Original'!K37</f>
        <v>144375</v>
      </c>
      <c r="L41" s="97">
        <f t="shared" si="2"/>
        <v>144375</v>
      </c>
      <c r="M41" s="212">
        <f t="shared" si="3"/>
        <v>1</v>
      </c>
      <c r="N41" s="124">
        <f>$F$4*'Ppl Cost_Original'!N37</f>
        <v>142931.25</v>
      </c>
      <c r="O41" s="213">
        <f t="shared" si="4"/>
        <v>142931.25</v>
      </c>
      <c r="P41" s="212">
        <f t="shared" si="5"/>
        <v>1</v>
      </c>
      <c r="Q41" s="83">
        <f>$G$4*'Ppl Cost_Original'!Q37</f>
        <v>139755</v>
      </c>
      <c r="R41" s="213">
        <f t="shared" si="6"/>
        <v>139755</v>
      </c>
    </row>
    <row r="42" spans="1:18" x14ac:dyDescent="0.3">
      <c r="A42" s="36" t="s">
        <v>48</v>
      </c>
      <c r="B42" s="199" t="s">
        <v>318</v>
      </c>
      <c r="C42" t="s">
        <v>284</v>
      </c>
      <c r="D42">
        <v>1</v>
      </c>
      <c r="E42" s="264">
        <f>'Ppl Cost_Original'!E38*$C$4</f>
        <v>420000</v>
      </c>
      <c r="F42" s="83">
        <f t="shared" si="7"/>
        <v>420000</v>
      </c>
      <c r="G42" s="66">
        <v>1</v>
      </c>
      <c r="H42" s="239">
        <f>$D$4*'Ppl Cost_Original'!H38</f>
        <v>404250.00000000006</v>
      </c>
      <c r="I42" s="83">
        <f t="shared" si="8"/>
        <v>404250.00000000006</v>
      </c>
      <c r="J42" s="212">
        <f t="shared" si="9"/>
        <v>1</v>
      </c>
      <c r="K42" s="124">
        <f>$E$4*'Ppl Cost_Original'!K38</f>
        <v>404250.00000000006</v>
      </c>
      <c r="L42" s="97">
        <f t="shared" si="2"/>
        <v>404250.00000000006</v>
      </c>
      <c r="M42" s="212">
        <f t="shared" si="3"/>
        <v>1</v>
      </c>
      <c r="N42" s="124">
        <f>$F$4*'Ppl Cost_Original'!N38</f>
        <v>400207.50000000012</v>
      </c>
      <c r="O42" s="213">
        <f t="shared" si="4"/>
        <v>400207.50000000012</v>
      </c>
      <c r="P42" s="212">
        <f t="shared" si="5"/>
        <v>1</v>
      </c>
      <c r="Q42" s="83">
        <f>$G$4*'Ppl Cost_Original'!Q38</f>
        <v>391314.00000000017</v>
      </c>
      <c r="R42" s="213">
        <f t="shared" si="6"/>
        <v>391314.00000000017</v>
      </c>
    </row>
    <row r="43" spans="1:18" x14ac:dyDescent="0.3">
      <c r="A43" s="36" t="s">
        <v>48</v>
      </c>
      <c r="B43" s="199" t="s">
        <v>374</v>
      </c>
      <c r="C43" t="s">
        <v>284</v>
      </c>
      <c r="D43">
        <v>1</v>
      </c>
      <c r="E43" s="264">
        <f>'Ppl Cost_Original'!E39*$C$4</f>
        <v>300000</v>
      </c>
      <c r="F43" s="83">
        <f t="shared" si="7"/>
        <v>300000</v>
      </c>
      <c r="G43" s="66">
        <v>1</v>
      </c>
      <c r="H43" s="239">
        <f>$D$4*'Ppl Cost_Original'!H39</f>
        <v>288750</v>
      </c>
      <c r="I43" s="83">
        <f t="shared" si="8"/>
        <v>288750</v>
      </c>
      <c r="J43" s="212">
        <f t="shared" si="9"/>
        <v>1</v>
      </c>
      <c r="K43" s="124">
        <f>$E$4*'Ppl Cost_Original'!K39</f>
        <v>288750</v>
      </c>
      <c r="L43" s="97">
        <f t="shared" si="2"/>
        <v>288750</v>
      </c>
      <c r="M43" s="212">
        <f t="shared" si="3"/>
        <v>1</v>
      </c>
      <c r="N43" s="124">
        <f>$F$4*'Ppl Cost_Original'!N39</f>
        <v>285862.5</v>
      </c>
      <c r="O43" s="213">
        <f t="shared" si="4"/>
        <v>285862.5</v>
      </c>
      <c r="P43" s="212">
        <f t="shared" si="5"/>
        <v>1</v>
      </c>
      <c r="Q43" s="83">
        <f>$G$4*'Ppl Cost_Original'!Q39</f>
        <v>279510</v>
      </c>
      <c r="R43" s="213">
        <f t="shared" si="6"/>
        <v>279510</v>
      </c>
    </row>
    <row r="44" spans="1:18" x14ac:dyDescent="0.3">
      <c r="A44" s="36" t="s">
        <v>48</v>
      </c>
      <c r="B44" s="199" t="s">
        <v>314</v>
      </c>
      <c r="C44" t="s">
        <v>284</v>
      </c>
      <c r="E44" s="264">
        <f>'Ppl Cost_Original'!E40*$C$4</f>
        <v>0</v>
      </c>
      <c r="F44" s="83"/>
      <c r="G44" s="66">
        <v>1</v>
      </c>
      <c r="H44" s="239">
        <f>$D$4*'Ppl Cost_Original'!H40</f>
        <v>440000.00000000006</v>
      </c>
      <c r="I44" s="83">
        <f t="shared" si="8"/>
        <v>440000.00000000006</v>
      </c>
      <c r="J44" s="212">
        <f t="shared" si="9"/>
        <v>1</v>
      </c>
      <c r="K44" s="124">
        <f>$E$4*'Ppl Cost_Original'!K40</f>
        <v>440000.00000000006</v>
      </c>
      <c r="L44" s="97">
        <f t="shared" si="2"/>
        <v>440000.00000000006</v>
      </c>
      <c r="M44" s="212">
        <f t="shared" si="3"/>
        <v>1</v>
      </c>
      <c r="N44" s="124">
        <f>$F$4*'Ppl Cost_Original'!N40</f>
        <v>435600.00000000012</v>
      </c>
      <c r="O44" s="213">
        <f t="shared" si="4"/>
        <v>435600.00000000012</v>
      </c>
      <c r="P44" s="212">
        <f t="shared" si="5"/>
        <v>1</v>
      </c>
      <c r="Q44" s="83">
        <f>$G$4*'Ppl Cost_Original'!Q40</f>
        <v>425920.00000000012</v>
      </c>
      <c r="R44" s="213">
        <f t="shared" si="6"/>
        <v>425920.00000000012</v>
      </c>
    </row>
    <row r="45" spans="1:18" x14ac:dyDescent="0.3">
      <c r="A45" s="36" t="s">
        <v>49</v>
      </c>
      <c r="B45" s="199" t="s">
        <v>317</v>
      </c>
      <c r="C45" t="s">
        <v>284</v>
      </c>
      <c r="D45">
        <v>1</v>
      </c>
      <c r="E45" s="264">
        <f>'Ppl Cost_Original'!E41*$C$4</f>
        <v>162000</v>
      </c>
      <c r="F45" s="83">
        <f t="shared" si="7"/>
        <v>162000</v>
      </c>
      <c r="G45" s="66">
        <v>1</v>
      </c>
      <c r="H45" s="239">
        <f>$D$4*'Ppl Cost_Original'!H41</f>
        <v>155925</v>
      </c>
      <c r="I45" s="83">
        <f t="shared" si="8"/>
        <v>155925</v>
      </c>
      <c r="J45" s="212">
        <f t="shared" si="9"/>
        <v>1</v>
      </c>
      <c r="K45" s="124">
        <f>$E$4*'Ppl Cost_Original'!K41</f>
        <v>155925</v>
      </c>
      <c r="L45" s="97">
        <f t="shared" si="2"/>
        <v>155925</v>
      </c>
      <c r="M45" s="212">
        <f t="shared" si="3"/>
        <v>1</v>
      </c>
      <c r="N45" s="124">
        <f>$F$4*'Ppl Cost_Original'!N41</f>
        <v>154365.75</v>
      </c>
      <c r="O45" s="213">
        <f t="shared" si="4"/>
        <v>154365.75</v>
      </c>
      <c r="P45" s="212">
        <f t="shared" si="5"/>
        <v>1</v>
      </c>
      <c r="Q45" s="83">
        <f>$G$4*'Ppl Cost_Original'!Q41</f>
        <v>150935.40000000002</v>
      </c>
      <c r="R45" s="213">
        <f t="shared" si="6"/>
        <v>150935.40000000002</v>
      </c>
    </row>
    <row r="46" spans="1:18" x14ac:dyDescent="0.3">
      <c r="A46" s="36" t="s">
        <v>48</v>
      </c>
      <c r="B46" s="199" t="s">
        <v>327</v>
      </c>
      <c r="C46" t="s">
        <v>284</v>
      </c>
      <c r="D46">
        <v>1</v>
      </c>
      <c r="E46" s="264">
        <f>'Ppl Cost_Original'!E42*$C$4</f>
        <v>270000</v>
      </c>
      <c r="F46" s="83">
        <f t="shared" si="7"/>
        <v>270000</v>
      </c>
      <c r="G46" s="66">
        <v>1</v>
      </c>
      <c r="H46" s="239">
        <f>$D$4*'Ppl Cost_Original'!H42</f>
        <v>259875.00000000003</v>
      </c>
      <c r="I46" s="83">
        <f t="shared" si="8"/>
        <v>259875.00000000003</v>
      </c>
      <c r="J46" s="212">
        <f t="shared" si="9"/>
        <v>1</v>
      </c>
      <c r="K46" s="124">
        <f>$E$4*'Ppl Cost_Original'!K42</f>
        <v>259875.00000000003</v>
      </c>
      <c r="L46" s="97">
        <f t="shared" si="2"/>
        <v>259875.00000000003</v>
      </c>
      <c r="M46" s="212">
        <f t="shared" si="3"/>
        <v>1</v>
      </c>
      <c r="N46" s="124">
        <f>$F$4*'Ppl Cost_Original'!N42</f>
        <v>257276.25000000006</v>
      </c>
      <c r="O46" s="213">
        <f t="shared" si="4"/>
        <v>257276.25000000006</v>
      </c>
      <c r="P46" s="212">
        <f t="shared" si="5"/>
        <v>1</v>
      </c>
      <c r="Q46" s="83">
        <f>$G$4*'Ppl Cost_Original'!Q42</f>
        <v>251559.00000000012</v>
      </c>
      <c r="R46" s="213">
        <f t="shared" si="6"/>
        <v>251559.00000000012</v>
      </c>
    </row>
    <row r="47" spans="1:18" x14ac:dyDescent="0.3">
      <c r="A47" s="36" t="s">
        <v>48</v>
      </c>
      <c r="B47" s="199" t="s">
        <v>328</v>
      </c>
      <c r="C47" t="s">
        <v>284</v>
      </c>
      <c r="D47">
        <v>1</v>
      </c>
      <c r="E47" s="264">
        <f>'Ppl Cost_Original'!E43*$C$4</f>
        <v>228000</v>
      </c>
      <c r="F47" s="83">
        <f t="shared" si="7"/>
        <v>228000</v>
      </c>
      <c r="G47" s="66">
        <v>1</v>
      </c>
      <c r="H47" s="239">
        <f>$D$4*'Ppl Cost_Original'!H43</f>
        <v>219450.00000000003</v>
      </c>
      <c r="I47" s="83">
        <f t="shared" si="8"/>
        <v>219450.00000000003</v>
      </c>
      <c r="J47" s="212">
        <f t="shared" si="9"/>
        <v>1</v>
      </c>
      <c r="K47" s="124">
        <f>$E$4*'Ppl Cost_Original'!K43</f>
        <v>219450.00000000003</v>
      </c>
      <c r="L47" s="97">
        <f t="shared" si="2"/>
        <v>219450.00000000003</v>
      </c>
      <c r="M47" s="212">
        <f t="shared" si="3"/>
        <v>1</v>
      </c>
      <c r="N47" s="124">
        <f>$F$4*'Ppl Cost_Original'!N43</f>
        <v>217255.50000000006</v>
      </c>
      <c r="O47" s="213">
        <f t="shared" si="4"/>
        <v>217255.50000000006</v>
      </c>
      <c r="P47" s="212">
        <f t="shared" si="5"/>
        <v>1</v>
      </c>
      <c r="Q47" s="83">
        <f>$G$4*'Ppl Cost_Original'!Q43</f>
        <v>212427.60000000006</v>
      </c>
      <c r="R47" s="213">
        <f t="shared" si="6"/>
        <v>212427.60000000006</v>
      </c>
    </row>
    <row r="48" spans="1:18" x14ac:dyDescent="0.3">
      <c r="A48" s="36" t="s">
        <v>49</v>
      </c>
      <c r="B48" s="199" t="s">
        <v>329</v>
      </c>
      <c r="C48" t="s">
        <v>284</v>
      </c>
      <c r="D48">
        <v>2</v>
      </c>
      <c r="E48" s="264">
        <f>'Ppl Cost_Original'!E44*$C$4</f>
        <v>150000</v>
      </c>
      <c r="F48" s="83">
        <f t="shared" si="7"/>
        <v>300000</v>
      </c>
      <c r="G48" s="66">
        <v>4</v>
      </c>
      <c r="H48" s="239">
        <f>$D$4*'Ppl Cost_Original'!H44</f>
        <v>144375</v>
      </c>
      <c r="I48" s="83">
        <f t="shared" si="8"/>
        <v>577500</v>
      </c>
      <c r="J48" s="212">
        <v>6</v>
      </c>
      <c r="K48" s="124">
        <f>$E$4*'Ppl Cost_Original'!K44</f>
        <v>144375</v>
      </c>
      <c r="L48" s="97">
        <f t="shared" si="2"/>
        <v>866250</v>
      </c>
      <c r="M48" s="212">
        <v>8</v>
      </c>
      <c r="N48" s="124">
        <f>$F$4*'Ppl Cost_Original'!N44</f>
        <v>142931.25</v>
      </c>
      <c r="O48" s="213">
        <f t="shared" si="4"/>
        <v>1143450</v>
      </c>
      <c r="P48" s="212">
        <v>10</v>
      </c>
      <c r="Q48" s="83">
        <f>$G$4*'Ppl Cost_Original'!Q44</f>
        <v>139755</v>
      </c>
      <c r="R48" s="213">
        <f t="shared" si="6"/>
        <v>1397550</v>
      </c>
    </row>
    <row r="49" spans="1:18" x14ac:dyDescent="0.3">
      <c r="A49" s="36" t="s">
        <v>49</v>
      </c>
      <c r="B49" s="199" t="s">
        <v>409</v>
      </c>
      <c r="C49" t="s">
        <v>284</v>
      </c>
      <c r="D49">
        <v>1</v>
      </c>
      <c r="E49" s="264">
        <f>'Ppl Cost_Original'!E45*$C$4</f>
        <v>120000</v>
      </c>
      <c r="F49" s="83">
        <f t="shared" si="7"/>
        <v>120000</v>
      </c>
      <c r="G49" s="66">
        <v>1</v>
      </c>
      <c r="H49" s="239">
        <f>$D$4*'Ppl Cost_Original'!H45</f>
        <v>115500.00000000001</v>
      </c>
      <c r="I49" s="83">
        <f t="shared" si="8"/>
        <v>115500.00000000001</v>
      </c>
      <c r="J49" s="212">
        <v>2</v>
      </c>
      <c r="K49" s="124">
        <f>$E$4*'Ppl Cost_Original'!K45</f>
        <v>115500.00000000001</v>
      </c>
      <c r="L49" s="97">
        <f t="shared" si="2"/>
        <v>231000.00000000003</v>
      </c>
      <c r="M49" s="212">
        <f t="shared" ref="M49:M56" si="12">J49</f>
        <v>2</v>
      </c>
      <c r="N49" s="124">
        <f>$F$4*'Ppl Cost_Original'!N45</f>
        <v>114345.00000000003</v>
      </c>
      <c r="O49" s="213">
        <f t="shared" si="4"/>
        <v>228690.00000000006</v>
      </c>
      <c r="P49" s="212">
        <f t="shared" ref="P49" si="13">M49</f>
        <v>2</v>
      </c>
      <c r="Q49" s="83">
        <f>$G$4*'Ppl Cost_Original'!Q45</f>
        <v>111804.00000000003</v>
      </c>
      <c r="R49" s="213">
        <f t="shared" si="6"/>
        <v>223608.00000000006</v>
      </c>
    </row>
    <row r="50" spans="1:18" x14ac:dyDescent="0.3">
      <c r="A50" s="36"/>
      <c r="B50" s="199"/>
      <c r="E50" s="264">
        <f>'Ppl Cost_Original'!E46*$C$4</f>
        <v>0</v>
      </c>
      <c r="F50" s="83"/>
      <c r="H50" s="239">
        <f>$D$4*'Ppl Cost_Original'!H46</f>
        <v>0</v>
      </c>
      <c r="I50" s="83"/>
      <c r="J50" s="212"/>
      <c r="K50" s="124">
        <f>$E$4*'Ppl Cost_Original'!K46</f>
        <v>0</v>
      </c>
      <c r="L50" s="97"/>
      <c r="M50" s="212"/>
      <c r="N50" s="124">
        <f>$F$4*'Ppl Cost_Original'!N46</f>
        <v>0</v>
      </c>
      <c r="O50" s="213"/>
      <c r="P50" s="212"/>
      <c r="Q50" s="83">
        <f>$G$4*'Ppl Cost_Original'!Q46</f>
        <v>0</v>
      </c>
      <c r="R50" s="213"/>
    </row>
    <row r="51" spans="1:18" x14ac:dyDescent="0.3">
      <c r="A51" s="36"/>
      <c r="B51" s="197" t="s">
        <v>320</v>
      </c>
      <c r="C51" s="195"/>
      <c r="E51" s="264">
        <f>'Ppl Cost_Original'!E47*$C$4</f>
        <v>0</v>
      </c>
      <c r="F51" s="83"/>
      <c r="H51" s="239">
        <f>$D$4*'Ppl Cost_Original'!H47</f>
        <v>0</v>
      </c>
      <c r="I51" s="83"/>
      <c r="J51" s="212"/>
      <c r="K51" s="124">
        <f>$E$4*'Ppl Cost_Original'!K47</f>
        <v>0</v>
      </c>
      <c r="L51" s="97"/>
      <c r="M51" s="212"/>
      <c r="N51" s="124">
        <f>$F$4*'Ppl Cost_Original'!N47</f>
        <v>0</v>
      </c>
      <c r="O51" s="213"/>
      <c r="P51" s="212"/>
      <c r="Q51" s="83">
        <f>$G$4*'Ppl Cost_Original'!Q47</f>
        <v>0</v>
      </c>
      <c r="R51" s="213"/>
    </row>
    <row r="52" spans="1:18" x14ac:dyDescent="0.3">
      <c r="A52" s="36" t="s">
        <v>49</v>
      </c>
      <c r="B52" s="199" t="s">
        <v>295</v>
      </c>
      <c r="C52" t="s">
        <v>296</v>
      </c>
      <c r="D52">
        <v>1</v>
      </c>
      <c r="E52" s="264">
        <f>'Ppl Cost_Original'!E48*$C$4</f>
        <v>72000</v>
      </c>
      <c r="F52" s="83">
        <f t="shared" si="7"/>
        <v>72000</v>
      </c>
      <c r="G52" s="66">
        <v>1</v>
      </c>
      <c r="H52" s="239">
        <f>$D$4*'Ppl Cost_Original'!H48</f>
        <v>72600</v>
      </c>
      <c r="I52" s="83">
        <f t="shared" ref="I52:I56" si="14">G52*H52</f>
        <v>72600</v>
      </c>
      <c r="J52" s="212">
        <v>2</v>
      </c>
      <c r="K52" s="124">
        <f>$E$4*'Ppl Cost_Original'!K48</f>
        <v>72600</v>
      </c>
      <c r="L52" s="97">
        <f t="shared" si="2"/>
        <v>145200</v>
      </c>
      <c r="M52" s="212">
        <f t="shared" si="12"/>
        <v>2</v>
      </c>
      <c r="N52" s="124">
        <f>$F$4*'Ppl Cost_Original'!N48</f>
        <v>71874</v>
      </c>
      <c r="O52" s="213">
        <f t="shared" si="4"/>
        <v>143748</v>
      </c>
      <c r="P52" s="212">
        <f t="shared" ref="P52:P56" si="15">M52</f>
        <v>2</v>
      </c>
      <c r="Q52" s="83">
        <f>$G$4*'Ppl Cost_Original'!Q48</f>
        <v>70276.800000000003</v>
      </c>
      <c r="R52" s="213">
        <f t="shared" ref="R52:R56" si="16">P52*Q52</f>
        <v>140553.60000000001</v>
      </c>
    </row>
    <row r="53" spans="1:18" x14ac:dyDescent="0.3">
      <c r="A53" s="36" t="s">
        <v>49</v>
      </c>
      <c r="B53" s="199" t="s">
        <v>128</v>
      </c>
      <c r="C53" t="s">
        <v>284</v>
      </c>
      <c r="D53">
        <v>1</v>
      </c>
      <c r="E53" s="264">
        <f>'Ppl Cost_Original'!E49*$C$4</f>
        <v>210000</v>
      </c>
      <c r="F53" s="83">
        <f t="shared" si="7"/>
        <v>210000</v>
      </c>
      <c r="G53" s="66">
        <v>2</v>
      </c>
      <c r="H53" s="239">
        <f>$D$4*'Ppl Cost_Original'!H49</f>
        <v>202125.00000000003</v>
      </c>
      <c r="I53" s="83">
        <f t="shared" si="14"/>
        <v>404250.00000000006</v>
      </c>
      <c r="J53" s="212">
        <v>3</v>
      </c>
      <c r="K53" s="124">
        <f>$E$4*'Ppl Cost_Original'!K49</f>
        <v>202125.00000000003</v>
      </c>
      <c r="L53" s="97">
        <f t="shared" si="2"/>
        <v>606375.00000000012</v>
      </c>
      <c r="M53" s="212">
        <f t="shared" si="12"/>
        <v>3</v>
      </c>
      <c r="N53" s="124">
        <f>$F$4*'Ppl Cost_Original'!N49</f>
        <v>200103.75000000006</v>
      </c>
      <c r="O53" s="213">
        <f t="shared" si="4"/>
        <v>600311.25000000023</v>
      </c>
      <c r="P53" s="212">
        <f t="shared" si="15"/>
        <v>3</v>
      </c>
      <c r="Q53" s="83">
        <f>$G$4*'Ppl Cost_Original'!Q49</f>
        <v>195657.00000000009</v>
      </c>
      <c r="R53" s="213">
        <f t="shared" si="16"/>
        <v>586971.00000000023</v>
      </c>
    </row>
    <row r="54" spans="1:18" x14ac:dyDescent="0.3">
      <c r="A54" s="36" t="s">
        <v>49</v>
      </c>
      <c r="B54" s="199" t="s">
        <v>292</v>
      </c>
      <c r="C54" t="s">
        <v>284</v>
      </c>
      <c r="D54">
        <v>1</v>
      </c>
      <c r="E54" s="264">
        <f>'Ppl Cost_Original'!E50*$C$4</f>
        <v>180000</v>
      </c>
      <c r="F54" s="83">
        <f t="shared" si="7"/>
        <v>180000</v>
      </c>
      <c r="G54" s="66">
        <v>1</v>
      </c>
      <c r="H54" s="239">
        <f>$D$4*'Ppl Cost_Original'!H50</f>
        <v>173250</v>
      </c>
      <c r="I54" s="83">
        <f t="shared" si="14"/>
        <v>173250</v>
      </c>
      <c r="J54" s="212">
        <v>2</v>
      </c>
      <c r="K54" s="124">
        <f>$E$4*'Ppl Cost_Original'!K50</f>
        <v>173250</v>
      </c>
      <c r="L54" s="97">
        <f t="shared" si="2"/>
        <v>346500</v>
      </c>
      <c r="M54" s="212">
        <f t="shared" si="12"/>
        <v>2</v>
      </c>
      <c r="N54" s="124">
        <f>$F$4*'Ppl Cost_Original'!N50</f>
        <v>171517.50000000003</v>
      </c>
      <c r="O54" s="213">
        <f t="shared" si="4"/>
        <v>343035.00000000006</v>
      </c>
      <c r="P54" s="212">
        <f t="shared" si="15"/>
        <v>2</v>
      </c>
      <c r="Q54" s="83">
        <f>$G$4*'Ppl Cost_Original'!Q50</f>
        <v>167706.00000000006</v>
      </c>
      <c r="R54" s="213">
        <f t="shared" si="16"/>
        <v>335412.00000000012</v>
      </c>
    </row>
    <row r="55" spans="1:18" x14ac:dyDescent="0.3">
      <c r="A55" s="36" t="s">
        <v>49</v>
      </c>
      <c r="B55" s="199" t="s">
        <v>148</v>
      </c>
      <c r="C55" t="s">
        <v>284</v>
      </c>
      <c r="D55">
        <v>1</v>
      </c>
      <c r="E55" s="264">
        <f>'Ppl Cost_Original'!E51*$C$4</f>
        <v>120000</v>
      </c>
      <c r="F55" s="83">
        <f t="shared" si="7"/>
        <v>120000</v>
      </c>
      <c r="G55" s="66">
        <v>1</v>
      </c>
      <c r="H55" s="239">
        <f>$D$4*'Ppl Cost_Original'!H51</f>
        <v>115500.00000000001</v>
      </c>
      <c r="I55" s="83">
        <f t="shared" si="14"/>
        <v>115500.00000000001</v>
      </c>
      <c r="J55" s="212">
        <v>2</v>
      </c>
      <c r="K55" s="124">
        <f>$E$4*'Ppl Cost_Original'!K51</f>
        <v>115500.00000000001</v>
      </c>
      <c r="L55" s="97">
        <f t="shared" si="2"/>
        <v>231000.00000000003</v>
      </c>
      <c r="M55" s="212">
        <f t="shared" si="12"/>
        <v>2</v>
      </c>
      <c r="N55" s="124">
        <f>$F$4*'Ppl Cost_Original'!N51</f>
        <v>114345.00000000003</v>
      </c>
      <c r="O55" s="213">
        <f t="shared" si="4"/>
        <v>228690.00000000006</v>
      </c>
      <c r="P55" s="212">
        <f t="shared" si="15"/>
        <v>2</v>
      </c>
      <c r="Q55" s="83">
        <f>$G$4*'Ppl Cost_Original'!Q51</f>
        <v>111804.00000000003</v>
      </c>
      <c r="R55" s="213">
        <f t="shared" si="16"/>
        <v>223608.00000000006</v>
      </c>
    </row>
    <row r="56" spans="1:18" x14ac:dyDescent="0.3">
      <c r="A56" s="36" t="s">
        <v>49</v>
      </c>
      <c r="B56" s="199" t="s">
        <v>319</v>
      </c>
      <c r="C56" t="s">
        <v>284</v>
      </c>
      <c r="D56">
        <v>1</v>
      </c>
      <c r="E56" s="264">
        <f>'Ppl Cost_Original'!E52*$C$4</f>
        <v>180000</v>
      </c>
      <c r="F56" s="83">
        <f t="shared" si="7"/>
        <v>180000</v>
      </c>
      <c r="G56" s="66">
        <v>1</v>
      </c>
      <c r="H56" s="239">
        <f>$D$4*'Ppl Cost_Original'!H52</f>
        <v>173250</v>
      </c>
      <c r="I56" s="83">
        <f t="shared" si="14"/>
        <v>173250</v>
      </c>
      <c r="J56" s="212">
        <v>2</v>
      </c>
      <c r="K56" s="124">
        <f>$E$4*'Ppl Cost_Original'!K52</f>
        <v>173250</v>
      </c>
      <c r="L56" s="97">
        <f t="shared" si="2"/>
        <v>346500</v>
      </c>
      <c r="M56" s="212">
        <f t="shared" si="12"/>
        <v>2</v>
      </c>
      <c r="N56" s="124">
        <f>$F$4*'Ppl Cost_Original'!N52</f>
        <v>171517.50000000003</v>
      </c>
      <c r="O56" s="213">
        <f t="shared" si="4"/>
        <v>343035.00000000006</v>
      </c>
      <c r="P56" s="212">
        <f t="shared" si="15"/>
        <v>2</v>
      </c>
      <c r="Q56" s="83">
        <f>$G$4*'Ppl Cost_Original'!Q52</f>
        <v>167706.00000000006</v>
      </c>
      <c r="R56" s="213">
        <f t="shared" si="16"/>
        <v>335412.00000000012</v>
      </c>
    </row>
    <row r="57" spans="1:18" x14ac:dyDescent="0.3">
      <c r="A57" s="29"/>
      <c r="B57" s="198" t="s">
        <v>50</v>
      </c>
      <c r="C57" s="196"/>
      <c r="D57" s="119">
        <f t="shared" ref="D57:R57" si="17">SUM(D11:D56)</f>
        <v>35</v>
      </c>
      <c r="E57" s="267">
        <f t="shared" si="17"/>
        <v>10689000</v>
      </c>
      <c r="F57" s="120">
        <f t="shared" si="17"/>
        <v>10488000</v>
      </c>
      <c r="G57" s="120">
        <f t="shared" si="17"/>
        <v>41</v>
      </c>
      <c r="H57" s="267">
        <f t="shared" si="17"/>
        <v>11318450</v>
      </c>
      <c r="I57" s="120">
        <f t="shared" si="17"/>
        <v>11608025</v>
      </c>
      <c r="J57" s="214">
        <f t="shared" si="17"/>
        <v>55</v>
      </c>
      <c r="K57" s="267">
        <f t="shared" si="17"/>
        <v>12718450</v>
      </c>
      <c r="L57" s="120">
        <f t="shared" si="17"/>
        <v>14824400</v>
      </c>
      <c r="M57" s="214">
        <f t="shared" si="17"/>
        <v>62</v>
      </c>
      <c r="N57" s="120">
        <f t="shared" si="17"/>
        <v>13204986.75</v>
      </c>
      <c r="O57" s="215">
        <f t="shared" si="17"/>
        <v>16261809.75</v>
      </c>
      <c r="P57" s="214">
        <f t="shared" si="17"/>
        <v>69</v>
      </c>
      <c r="Q57" s="120">
        <f t="shared" si="17"/>
        <v>13093455.100000001</v>
      </c>
      <c r="R57" s="215">
        <f t="shared" si="17"/>
        <v>17298882.700000003</v>
      </c>
    </row>
    <row r="58" spans="1:18" x14ac:dyDescent="0.3">
      <c r="B58" s="219" t="s">
        <v>49</v>
      </c>
      <c r="C58" s="53"/>
      <c r="D58" s="28">
        <f>+SUMIF($A$11:$A$56,"JM",D11:D56)</f>
        <v>20</v>
      </c>
      <c r="E58" s="52"/>
      <c r="F58" s="52"/>
      <c r="G58" s="28">
        <f>+SUMIF($A$11:$A$56,"JM",G11:G56)</f>
        <v>24</v>
      </c>
      <c r="H58" s="268"/>
      <c r="I58" s="132"/>
      <c r="J58" s="28">
        <f>+SUMIF($A$11:$A$56,"JM",J11:J56)</f>
        <v>35</v>
      </c>
      <c r="K58" s="268"/>
      <c r="L58" s="132"/>
      <c r="M58" s="28">
        <f>+SUMIF($A$11:$A$56,"JM",M11:M56)</f>
        <v>37</v>
      </c>
      <c r="N58" s="132"/>
      <c r="O58" s="132"/>
      <c r="P58" s="28">
        <f>+SUMIF($A$11:$A$56,"JM",P11:P56)</f>
        <v>39</v>
      </c>
      <c r="Q58" s="132"/>
      <c r="R58" s="133"/>
    </row>
    <row r="59" spans="1:18" x14ac:dyDescent="0.3">
      <c r="B59" s="62" t="s">
        <v>48</v>
      </c>
      <c r="C59" s="34"/>
      <c r="D59" s="28">
        <f>+SUMIF($A$11:$A$56,"M",D12:D57)</f>
        <v>13</v>
      </c>
      <c r="E59" s="28"/>
      <c r="F59" s="28"/>
      <c r="G59" s="28">
        <f>+SUMIF($A$11:$A$56,"M",G12:G57)</f>
        <v>18</v>
      </c>
      <c r="H59" s="254"/>
      <c r="I59" s="99"/>
      <c r="J59" s="28">
        <f>+SUMIF($A$11:$A$56,"M",J12:J57)</f>
        <v>23</v>
      </c>
      <c r="K59" s="254"/>
      <c r="L59" s="99"/>
      <c r="M59" s="28">
        <f>+SUMIF($A$11:$A$56,"M",M12:M57)</f>
        <v>30</v>
      </c>
      <c r="N59" s="99"/>
      <c r="O59" s="99"/>
      <c r="P59" s="28">
        <f>+SUMIF($A$11:$A$56,"M",P12:P57)</f>
        <v>37</v>
      </c>
      <c r="Q59" s="99"/>
      <c r="R59" s="131"/>
    </row>
    <row r="60" spans="1:18" x14ac:dyDescent="0.3">
      <c r="B60" s="62" t="s">
        <v>51</v>
      </c>
      <c r="C60" s="34"/>
      <c r="D60">
        <f>D58</f>
        <v>20</v>
      </c>
      <c r="E60" s="28"/>
      <c r="F60" s="28"/>
      <c r="G60" s="99">
        <f>G58-D58</f>
        <v>4</v>
      </c>
      <c r="H60" s="254"/>
      <c r="I60" s="99"/>
      <c r="J60" s="99">
        <f>J58-G58</f>
        <v>11</v>
      </c>
      <c r="K60" s="254"/>
      <c r="L60" s="99"/>
      <c r="M60" s="99">
        <f>M58-J58</f>
        <v>2</v>
      </c>
      <c r="N60" s="99"/>
      <c r="O60" s="99"/>
      <c r="P60" s="99">
        <f>P58-M58</f>
        <v>2</v>
      </c>
      <c r="Q60" s="99"/>
      <c r="R60" s="131" t="s">
        <v>330</v>
      </c>
    </row>
    <row r="61" spans="1:18" x14ac:dyDescent="0.3">
      <c r="B61" s="63" t="s">
        <v>52</v>
      </c>
      <c r="C61" s="220"/>
      <c r="D61" s="64">
        <f>D59</f>
        <v>13</v>
      </c>
      <c r="E61" s="64"/>
      <c r="F61" s="64"/>
      <c r="G61" s="161">
        <f>G59-D59</f>
        <v>5</v>
      </c>
      <c r="H61" s="269"/>
      <c r="I61" s="161"/>
      <c r="J61" s="161">
        <f>J59-G59</f>
        <v>5</v>
      </c>
      <c r="K61" s="269"/>
      <c r="L61" s="161"/>
      <c r="M61" s="161">
        <f>M59-J59</f>
        <v>7</v>
      </c>
      <c r="N61" s="161"/>
      <c r="O61" s="161"/>
      <c r="P61" s="161">
        <f>P59-M59</f>
        <v>7</v>
      </c>
      <c r="Q61" s="161"/>
      <c r="R61" s="162"/>
    </row>
    <row r="64" spans="1:18" x14ac:dyDescent="0.3">
      <c r="B64" s="8" t="s">
        <v>433</v>
      </c>
    </row>
    <row r="65" spans="1:18" x14ac:dyDescent="0.3">
      <c r="A65" s="28"/>
      <c r="B65" s="319" t="s">
        <v>44</v>
      </c>
      <c r="C65" s="319" t="s">
        <v>282</v>
      </c>
      <c r="D65" s="321" t="s">
        <v>0</v>
      </c>
      <c r="E65" s="322"/>
      <c r="F65" s="323"/>
      <c r="G65" s="324" t="s">
        <v>1</v>
      </c>
      <c r="H65" s="325"/>
      <c r="I65" s="326"/>
      <c r="J65" s="327" t="s">
        <v>2</v>
      </c>
      <c r="K65" s="328"/>
      <c r="L65" s="328"/>
      <c r="M65" s="316" t="s">
        <v>3</v>
      </c>
      <c r="N65" s="317"/>
      <c r="O65" s="318"/>
      <c r="P65" s="316" t="s">
        <v>4</v>
      </c>
      <c r="Q65" s="317"/>
      <c r="R65" s="318"/>
    </row>
    <row r="66" spans="1:18" x14ac:dyDescent="0.3">
      <c r="A66" s="29"/>
      <c r="B66" s="320"/>
      <c r="C66" s="320" t="s">
        <v>282</v>
      </c>
      <c r="D66" s="43" t="s">
        <v>45</v>
      </c>
      <c r="E66" s="265" t="s">
        <v>46</v>
      </c>
      <c r="F66" s="204" t="s">
        <v>47</v>
      </c>
      <c r="G66" s="205" t="s">
        <v>45</v>
      </c>
      <c r="H66" s="265" t="s">
        <v>46</v>
      </c>
      <c r="I66" s="203" t="s">
        <v>47</v>
      </c>
      <c r="J66" s="206" t="s">
        <v>45</v>
      </c>
      <c r="K66" s="270" t="s">
        <v>46</v>
      </c>
      <c r="L66" s="207" t="s">
        <v>47</v>
      </c>
      <c r="M66" s="208" t="s">
        <v>45</v>
      </c>
      <c r="N66" s="203" t="s">
        <v>46</v>
      </c>
      <c r="O66" s="209" t="s">
        <v>47</v>
      </c>
      <c r="P66" s="208" t="s">
        <v>45</v>
      </c>
      <c r="Q66" s="203" t="s">
        <v>46</v>
      </c>
      <c r="R66" s="209" t="s">
        <v>47</v>
      </c>
    </row>
    <row r="67" spans="1:18" x14ac:dyDescent="0.3">
      <c r="A67" s="29"/>
      <c r="B67" s="201" t="s">
        <v>431</v>
      </c>
      <c r="C67" s="202"/>
      <c r="D67" s="89"/>
      <c r="E67" s="266"/>
      <c r="F67" s="84"/>
      <c r="G67" s="84"/>
      <c r="H67" s="266"/>
      <c r="I67" s="84"/>
      <c r="J67" s="210"/>
      <c r="K67" s="266"/>
      <c r="L67" s="84"/>
      <c r="M67" s="210"/>
      <c r="N67" s="84"/>
      <c r="O67" s="211"/>
      <c r="P67" s="210"/>
      <c r="Q67" s="84"/>
      <c r="R67" s="211"/>
    </row>
    <row r="68" spans="1:18" x14ac:dyDescent="0.3">
      <c r="A68" s="36" t="s">
        <v>48</v>
      </c>
      <c r="B68" s="200" t="s">
        <v>286</v>
      </c>
      <c r="C68" t="s">
        <v>287</v>
      </c>
      <c r="D68">
        <v>1</v>
      </c>
      <c r="E68" s="264">
        <f>'Ppl Cost_Original'!E7*'Ppl Cost (D2C &amp; Corp.)'!$C$5</f>
        <v>240000</v>
      </c>
      <c r="F68" s="83">
        <f>D68*E68</f>
        <v>240000</v>
      </c>
      <c r="G68" s="66">
        <f>D68</f>
        <v>1</v>
      </c>
      <c r="H68" s="239">
        <f>$D$5*'Ppl Cost_Original'!H7</f>
        <v>297000</v>
      </c>
      <c r="I68" s="83">
        <f>G68*H68</f>
        <v>297000</v>
      </c>
      <c r="J68" s="212">
        <f>G68</f>
        <v>1</v>
      </c>
      <c r="K68" s="124">
        <f>$E$5*'Ppl Cost_Original'!K7</f>
        <v>363000.00000000006</v>
      </c>
      <c r="L68" s="97">
        <f>J68*K68</f>
        <v>363000.00000000006</v>
      </c>
      <c r="M68" s="212">
        <f>J68</f>
        <v>1</v>
      </c>
      <c r="N68" s="124">
        <f>$F$5*'Ppl Cost_Original'!N7</f>
        <v>439230.00000000017</v>
      </c>
      <c r="O68" s="213">
        <f>M68*N68</f>
        <v>439230.00000000017</v>
      </c>
      <c r="P68" s="212">
        <f>M68</f>
        <v>1</v>
      </c>
      <c r="Q68" s="83">
        <f>$G$5*'Ppl Cost_Original'!Q7</f>
        <v>527076.00000000023</v>
      </c>
      <c r="R68" s="213">
        <f>P68*Q68</f>
        <v>527076.00000000023</v>
      </c>
    </row>
    <row r="69" spans="1:18" x14ac:dyDescent="0.3">
      <c r="A69" s="36" t="s">
        <v>48</v>
      </c>
      <c r="B69" s="199" t="s">
        <v>288</v>
      </c>
      <c r="C69" t="s">
        <v>289</v>
      </c>
      <c r="D69">
        <v>1</v>
      </c>
      <c r="E69" s="264">
        <f>'Ppl Cost_Original'!E8*'Ppl Cost (D2C &amp; Corp.)'!$C$5</f>
        <v>368000</v>
      </c>
      <c r="F69" s="83">
        <f>D69*E69</f>
        <v>368000</v>
      </c>
      <c r="G69" s="66">
        <f t="shared" ref="G69:G74" si="18">D69</f>
        <v>1</v>
      </c>
      <c r="H69" s="239">
        <f>$D$5*'Ppl Cost_Original'!H8</f>
        <v>455400</v>
      </c>
      <c r="I69" s="83">
        <f>G69*H69</f>
        <v>455400</v>
      </c>
      <c r="J69" s="212">
        <f t="shared" ref="J69:J70" si="19">G69</f>
        <v>1</v>
      </c>
      <c r="K69" s="124">
        <f>$E$5*'Ppl Cost_Original'!K8</f>
        <v>556600</v>
      </c>
      <c r="L69" s="97">
        <f t="shared" ref="L69:L74" si="20">J69*K69</f>
        <v>556600</v>
      </c>
      <c r="M69" s="212">
        <f t="shared" ref="M69:M74" si="21">J69</f>
        <v>1</v>
      </c>
      <c r="N69" s="124">
        <f>$F$5*'Ppl Cost_Original'!N8</f>
        <v>673486</v>
      </c>
      <c r="O69" s="213">
        <f t="shared" ref="O69:O74" si="22">M69*N69</f>
        <v>673486</v>
      </c>
      <c r="P69" s="212">
        <f t="shared" ref="P69:P74" si="23">M69</f>
        <v>1</v>
      </c>
      <c r="Q69" s="83">
        <f>$G$5*'Ppl Cost_Original'!Q8</f>
        <v>808183.2</v>
      </c>
      <c r="R69" s="213">
        <f t="shared" ref="R69:R74" si="24">P69*Q69</f>
        <v>808183.2</v>
      </c>
    </row>
    <row r="70" spans="1:18" x14ac:dyDescent="0.3">
      <c r="A70" s="36" t="s">
        <v>49</v>
      </c>
      <c r="B70" s="199" t="s">
        <v>125</v>
      </c>
      <c r="C70" t="s">
        <v>291</v>
      </c>
      <c r="D70">
        <v>1</v>
      </c>
      <c r="E70" s="264">
        <f>'Ppl Cost_Original'!E9*'Ppl Cost (D2C &amp; Corp.)'!$C$5</f>
        <v>108000</v>
      </c>
      <c r="F70" s="83">
        <f t="shared" ref="F70:F75" si="25">D70*E70</f>
        <v>108000</v>
      </c>
      <c r="G70" s="66">
        <f t="shared" si="18"/>
        <v>1</v>
      </c>
      <c r="H70" s="239">
        <f>$D$5*'Ppl Cost_Original'!H9</f>
        <v>133650</v>
      </c>
      <c r="I70" s="83">
        <f t="shared" ref="I70:I74" si="26">G70*H70</f>
        <v>133650</v>
      </c>
      <c r="J70" s="212">
        <f t="shared" si="19"/>
        <v>1</v>
      </c>
      <c r="K70" s="124">
        <f>$E$5*'Ppl Cost_Original'!K9</f>
        <v>163350</v>
      </c>
      <c r="L70" s="97">
        <f t="shared" si="20"/>
        <v>163350</v>
      </c>
      <c r="M70" s="212">
        <f t="shared" si="21"/>
        <v>1</v>
      </c>
      <c r="N70" s="124">
        <f>$F$5*'Ppl Cost_Original'!N9</f>
        <v>197653.50000000003</v>
      </c>
      <c r="O70" s="213">
        <f t="shared" si="22"/>
        <v>197653.50000000003</v>
      </c>
      <c r="P70" s="212">
        <f t="shared" si="23"/>
        <v>1</v>
      </c>
      <c r="Q70" s="83">
        <f>$G$5*'Ppl Cost_Original'!Q9</f>
        <v>237184.2</v>
      </c>
      <c r="R70" s="213">
        <f t="shared" si="24"/>
        <v>237184.2</v>
      </c>
    </row>
    <row r="71" spans="1:18" x14ac:dyDescent="0.3">
      <c r="A71" s="36" t="s">
        <v>49</v>
      </c>
      <c r="B71" s="199" t="s">
        <v>293</v>
      </c>
      <c r="C71" t="s">
        <v>294</v>
      </c>
      <c r="D71">
        <v>1</v>
      </c>
      <c r="E71" s="264">
        <f>'Ppl Cost_Original'!E10*'Ppl Cost (D2C &amp; Corp.)'!$C$5</f>
        <v>100000</v>
      </c>
      <c r="F71" s="83">
        <f t="shared" si="25"/>
        <v>100000</v>
      </c>
      <c r="G71" s="66">
        <f t="shared" si="18"/>
        <v>1</v>
      </c>
      <c r="H71" s="239">
        <f>$D$5*'Ppl Cost_Original'!H10</f>
        <v>123750</v>
      </c>
      <c r="I71" s="83">
        <f t="shared" si="26"/>
        <v>123750</v>
      </c>
      <c r="J71" s="212">
        <v>2</v>
      </c>
      <c r="K71" s="124">
        <f>$E$5*'Ppl Cost_Original'!K10</f>
        <v>151250</v>
      </c>
      <c r="L71" s="97">
        <f t="shared" si="20"/>
        <v>302500</v>
      </c>
      <c r="M71" s="212">
        <f t="shared" si="21"/>
        <v>2</v>
      </c>
      <c r="N71" s="124">
        <f>$F$5*'Ppl Cost_Original'!N10</f>
        <v>183012.50000000003</v>
      </c>
      <c r="O71" s="213">
        <f t="shared" si="22"/>
        <v>366025.00000000006</v>
      </c>
      <c r="P71" s="212">
        <f t="shared" si="23"/>
        <v>2</v>
      </c>
      <c r="Q71" s="83">
        <f>$G$5*'Ppl Cost_Original'!Q10</f>
        <v>219615.00000000003</v>
      </c>
      <c r="R71" s="213">
        <f t="shared" si="24"/>
        <v>439230.00000000006</v>
      </c>
    </row>
    <row r="72" spans="1:18" x14ac:dyDescent="0.3">
      <c r="A72" s="36" t="s">
        <v>49</v>
      </c>
      <c r="B72" s="199" t="s">
        <v>298</v>
      </c>
      <c r="C72" t="s">
        <v>299</v>
      </c>
      <c r="D72">
        <v>1</v>
      </c>
      <c r="E72" s="264">
        <f>'Ppl Cost_Original'!E11*'Ppl Cost (D2C &amp; Corp.)'!$C$5</f>
        <v>112000</v>
      </c>
      <c r="F72" s="83">
        <f t="shared" si="25"/>
        <v>112000</v>
      </c>
      <c r="G72" s="66">
        <f t="shared" si="18"/>
        <v>1</v>
      </c>
      <c r="H72" s="239">
        <f>$D$5*'Ppl Cost_Original'!H11</f>
        <v>138600</v>
      </c>
      <c r="I72" s="83">
        <f t="shared" si="26"/>
        <v>138600</v>
      </c>
      <c r="J72" s="212">
        <v>2</v>
      </c>
      <c r="K72" s="124">
        <f>$E$5*'Ppl Cost_Original'!K11</f>
        <v>169400</v>
      </c>
      <c r="L72" s="97">
        <f t="shared" si="20"/>
        <v>338800</v>
      </c>
      <c r="M72" s="212">
        <f t="shared" si="21"/>
        <v>2</v>
      </c>
      <c r="N72" s="124">
        <f>$F$5*'Ppl Cost_Original'!N11</f>
        <v>204974.00000000006</v>
      </c>
      <c r="O72" s="213">
        <f t="shared" si="22"/>
        <v>409948.00000000012</v>
      </c>
      <c r="P72" s="212">
        <f t="shared" si="23"/>
        <v>2</v>
      </c>
      <c r="Q72" s="83">
        <f>$G$5*'Ppl Cost_Original'!Q11</f>
        <v>245968.80000000005</v>
      </c>
      <c r="R72" s="213">
        <f t="shared" si="24"/>
        <v>491937.60000000009</v>
      </c>
    </row>
    <row r="73" spans="1:18" x14ac:dyDescent="0.3">
      <c r="A73" s="36" t="s">
        <v>49</v>
      </c>
      <c r="B73" s="199" t="s">
        <v>136</v>
      </c>
      <c r="C73" t="s">
        <v>301</v>
      </c>
      <c r="D73">
        <v>1</v>
      </c>
      <c r="E73" s="264">
        <f>'Ppl Cost_Original'!E12*'Ppl Cost (D2C &amp; Corp.)'!$C$5</f>
        <v>120000</v>
      </c>
      <c r="F73" s="83">
        <f t="shared" si="25"/>
        <v>120000</v>
      </c>
      <c r="G73" s="66">
        <f t="shared" si="18"/>
        <v>1</v>
      </c>
      <c r="H73" s="239">
        <f>$D$5*'Ppl Cost_Original'!H12</f>
        <v>148500</v>
      </c>
      <c r="I73" s="83">
        <f t="shared" si="26"/>
        <v>148500</v>
      </c>
      <c r="J73" s="212">
        <v>2</v>
      </c>
      <c r="K73" s="124">
        <f>$E$5*'Ppl Cost_Original'!K12</f>
        <v>181500.00000000003</v>
      </c>
      <c r="L73" s="97">
        <f t="shared" si="20"/>
        <v>363000.00000000006</v>
      </c>
      <c r="M73" s="212">
        <f t="shared" si="21"/>
        <v>2</v>
      </c>
      <c r="N73" s="124">
        <f>$F$5*'Ppl Cost_Original'!N12</f>
        <v>219615.00000000009</v>
      </c>
      <c r="O73" s="213">
        <f t="shared" si="22"/>
        <v>439230.00000000017</v>
      </c>
      <c r="P73" s="212">
        <f t="shared" si="23"/>
        <v>2</v>
      </c>
      <c r="Q73" s="83">
        <f>$G$5*'Ppl Cost_Original'!Q12</f>
        <v>263538.00000000012</v>
      </c>
      <c r="R73" s="213">
        <f t="shared" si="24"/>
        <v>527076.00000000023</v>
      </c>
    </row>
    <row r="74" spans="1:18" x14ac:dyDescent="0.3">
      <c r="A74" s="36" t="s">
        <v>48</v>
      </c>
      <c r="B74" s="199" t="s">
        <v>303</v>
      </c>
      <c r="C74" t="s">
        <v>304</v>
      </c>
      <c r="D74">
        <v>1</v>
      </c>
      <c r="E74" s="264">
        <f>'Ppl Cost_Original'!E13*'Ppl Cost (D2C &amp; Corp.)'!$C$5</f>
        <v>720000</v>
      </c>
      <c r="F74" s="83">
        <f t="shared" si="25"/>
        <v>720000</v>
      </c>
      <c r="G74" s="66">
        <f t="shared" si="18"/>
        <v>1</v>
      </c>
      <c r="H74" s="239">
        <f>$D$5*'Ppl Cost_Original'!H13</f>
        <v>891000.00000000012</v>
      </c>
      <c r="I74" s="83">
        <f t="shared" si="26"/>
        <v>891000.00000000012</v>
      </c>
      <c r="J74" s="212">
        <f t="shared" ref="J74" si="27">G74</f>
        <v>1</v>
      </c>
      <c r="K74" s="124">
        <f>$E$5*'Ppl Cost_Original'!K13</f>
        <v>1089000.0000000002</v>
      </c>
      <c r="L74" s="97">
        <f t="shared" si="20"/>
        <v>1089000.0000000002</v>
      </c>
      <c r="M74" s="212">
        <f t="shared" si="21"/>
        <v>1</v>
      </c>
      <c r="N74" s="124">
        <f>$F$5*'Ppl Cost_Original'!N13</f>
        <v>1317690.0000000007</v>
      </c>
      <c r="O74" s="213">
        <f t="shared" si="22"/>
        <v>1317690.0000000007</v>
      </c>
      <c r="P74" s="212">
        <f t="shared" si="23"/>
        <v>1</v>
      </c>
      <c r="Q74" s="83">
        <f>$G$5*'Ppl Cost_Original'!Q13</f>
        <v>1581228.0000000007</v>
      </c>
      <c r="R74" s="213">
        <f t="shared" si="24"/>
        <v>1581228.0000000007</v>
      </c>
    </row>
    <row r="75" spans="1:18" x14ac:dyDescent="0.3">
      <c r="A75" s="36" t="s">
        <v>48</v>
      </c>
      <c r="B75" s="199" t="s">
        <v>372</v>
      </c>
      <c r="C75" t="s">
        <v>305</v>
      </c>
      <c r="D75">
        <v>1</v>
      </c>
      <c r="E75" s="264">
        <f>'Ppl Cost_Original'!E14*'Ppl Cost (D2C &amp; Corp.)'!$C$5</f>
        <v>320000</v>
      </c>
      <c r="F75" s="124">
        <f t="shared" si="25"/>
        <v>320000</v>
      </c>
      <c r="G75" s="66">
        <v>0</v>
      </c>
      <c r="H75" s="239">
        <f>$D$5*'Ppl Cost_Original'!H14</f>
        <v>0</v>
      </c>
      <c r="I75" s="83"/>
      <c r="J75" s="212"/>
      <c r="K75" s="124">
        <f>$E$5*'Ppl Cost_Original'!K14</f>
        <v>0</v>
      </c>
      <c r="L75" s="97"/>
      <c r="M75" s="212"/>
      <c r="N75" s="124">
        <f>$F$5*'Ppl Cost_Original'!N14</f>
        <v>0</v>
      </c>
      <c r="O75" s="213"/>
      <c r="P75" s="212"/>
      <c r="Q75" s="83">
        <f>$G$5*'Ppl Cost_Original'!Q14</f>
        <v>0</v>
      </c>
      <c r="R75" s="213"/>
    </row>
    <row r="76" spans="1:18" x14ac:dyDescent="0.3">
      <c r="A76" s="36" t="s">
        <v>48</v>
      </c>
      <c r="B76" s="199" t="s">
        <v>371</v>
      </c>
      <c r="E76" s="264">
        <f>'Ppl Cost_Original'!E15*'Ppl Cost (D2C &amp; Corp.)'!$C$5</f>
        <v>0</v>
      </c>
      <c r="F76" s="124"/>
      <c r="G76" s="66">
        <v>1</v>
      </c>
      <c r="H76" s="239">
        <f>$D$5*'Ppl Cost_Original'!H15</f>
        <v>202500</v>
      </c>
      <c r="I76" s="83">
        <f t="shared" ref="I76:I81" si="28">G76*H76</f>
        <v>202500</v>
      </c>
      <c r="J76" s="212">
        <f>G76</f>
        <v>1</v>
      </c>
      <c r="K76" s="124">
        <f>$E$5*'Ppl Cost_Original'!K15</f>
        <v>247500.00000000003</v>
      </c>
      <c r="L76" s="97">
        <f t="shared" ref="L76:L81" si="29">J76*K76</f>
        <v>247500.00000000003</v>
      </c>
      <c r="M76" s="212">
        <f>J76</f>
        <v>1</v>
      </c>
      <c r="N76" s="124">
        <f>$F$5*'Ppl Cost_Original'!N15</f>
        <v>299475.00000000012</v>
      </c>
      <c r="O76" s="213">
        <f t="shared" ref="O76:O81" si="30">M76*N76</f>
        <v>299475.00000000012</v>
      </c>
      <c r="P76" s="212">
        <f>M76</f>
        <v>1</v>
      </c>
      <c r="Q76" s="83">
        <f>$G$5*'Ppl Cost_Original'!Q15</f>
        <v>359370.00000000012</v>
      </c>
      <c r="R76" s="213">
        <f t="shared" ref="R76:R81" si="31">P76*Q76</f>
        <v>359370.00000000012</v>
      </c>
    </row>
    <row r="77" spans="1:18" x14ac:dyDescent="0.3">
      <c r="A77" s="36" t="s">
        <v>49</v>
      </c>
      <c r="B77" s="199" t="s">
        <v>132</v>
      </c>
      <c r="C77" t="s">
        <v>306</v>
      </c>
      <c r="D77">
        <v>0</v>
      </c>
      <c r="E77" s="264">
        <f>'Ppl Cost_Original'!E16*'Ppl Cost (D2C &amp; Corp.)'!$C$5</f>
        <v>114000</v>
      </c>
      <c r="F77" s="83">
        <f t="shared" ref="F77:F81" si="32">D77*E77</f>
        <v>0</v>
      </c>
      <c r="G77" s="66">
        <f>D77</f>
        <v>0</v>
      </c>
      <c r="H77" s="239">
        <f>$D$5*'Ppl Cost_Original'!H16</f>
        <v>141075</v>
      </c>
      <c r="I77" s="83">
        <f t="shared" si="28"/>
        <v>0</v>
      </c>
      <c r="J77" s="212">
        <f t="shared" ref="J77:J81" si="33">G77</f>
        <v>0</v>
      </c>
      <c r="K77" s="124">
        <f>$E$5*'Ppl Cost_Original'!K16</f>
        <v>172425</v>
      </c>
      <c r="L77" s="97">
        <f t="shared" si="29"/>
        <v>0</v>
      </c>
      <c r="M77" s="212">
        <f t="shared" ref="M77:M81" si="34">J77</f>
        <v>0</v>
      </c>
      <c r="N77" s="124">
        <f>$F$5*'Ppl Cost_Original'!N16</f>
        <v>208634.25000000006</v>
      </c>
      <c r="O77" s="213">
        <f t="shared" si="30"/>
        <v>0</v>
      </c>
      <c r="P77" s="212">
        <f t="shared" ref="P77:P81" si="35">M77</f>
        <v>0</v>
      </c>
      <c r="Q77" s="83">
        <f>$G$5*'Ppl Cost_Original'!Q16</f>
        <v>250361.10000000006</v>
      </c>
      <c r="R77" s="213">
        <f t="shared" si="31"/>
        <v>0</v>
      </c>
    </row>
    <row r="78" spans="1:18" x14ac:dyDescent="0.3">
      <c r="A78" s="36" t="s">
        <v>49</v>
      </c>
      <c r="B78" s="199" t="s">
        <v>307</v>
      </c>
      <c r="C78" t="s">
        <v>308</v>
      </c>
      <c r="D78">
        <v>1</v>
      </c>
      <c r="E78" s="264">
        <f>'Ppl Cost_Original'!E17*'Ppl Cost (D2C &amp; Corp.)'!$C$5</f>
        <v>116000</v>
      </c>
      <c r="F78" s="83">
        <f t="shared" si="32"/>
        <v>116000</v>
      </c>
      <c r="G78" s="66">
        <f>D78</f>
        <v>1</v>
      </c>
      <c r="H78" s="239">
        <f>$D$5*'Ppl Cost_Original'!H17</f>
        <v>143550</v>
      </c>
      <c r="I78" s="83">
        <f t="shared" si="28"/>
        <v>143550</v>
      </c>
      <c r="J78" s="212">
        <f t="shared" si="33"/>
        <v>1</v>
      </c>
      <c r="K78" s="124">
        <f>$E$5*'Ppl Cost_Original'!K17</f>
        <v>175450</v>
      </c>
      <c r="L78" s="97">
        <f t="shared" si="29"/>
        <v>175450</v>
      </c>
      <c r="M78" s="212">
        <f t="shared" si="34"/>
        <v>1</v>
      </c>
      <c r="N78" s="124">
        <f>$F$5*'Ppl Cost_Original'!N17</f>
        <v>212294.50000000006</v>
      </c>
      <c r="O78" s="213">
        <f t="shared" si="30"/>
        <v>212294.50000000006</v>
      </c>
      <c r="P78" s="212">
        <f t="shared" si="35"/>
        <v>1</v>
      </c>
      <c r="Q78" s="83">
        <f>$G$5*'Ppl Cost_Original'!Q17</f>
        <v>254753.40000000005</v>
      </c>
      <c r="R78" s="213">
        <f t="shared" si="31"/>
        <v>254753.40000000005</v>
      </c>
    </row>
    <row r="79" spans="1:18" x14ac:dyDescent="0.3">
      <c r="A79" s="36" t="s">
        <v>49</v>
      </c>
      <c r="B79" s="199" t="s">
        <v>309</v>
      </c>
      <c r="C79" t="s">
        <v>310</v>
      </c>
      <c r="D79">
        <v>1</v>
      </c>
      <c r="E79" s="264">
        <f>'Ppl Cost_Original'!E18*'Ppl Cost (D2C &amp; Corp.)'!$C$5</f>
        <v>100000</v>
      </c>
      <c r="F79" s="83">
        <f t="shared" si="32"/>
        <v>100000</v>
      </c>
      <c r="G79" s="66">
        <f>D79</f>
        <v>1</v>
      </c>
      <c r="H79" s="239">
        <f>$D$5*'Ppl Cost_Original'!H18</f>
        <v>123750</v>
      </c>
      <c r="I79" s="83">
        <f t="shared" si="28"/>
        <v>123750</v>
      </c>
      <c r="J79" s="212">
        <f t="shared" si="33"/>
        <v>1</v>
      </c>
      <c r="K79" s="124">
        <f>$E$5*'Ppl Cost_Original'!K18</f>
        <v>151250</v>
      </c>
      <c r="L79" s="97">
        <f t="shared" si="29"/>
        <v>151250</v>
      </c>
      <c r="M79" s="212">
        <f t="shared" si="34"/>
        <v>1</v>
      </c>
      <c r="N79" s="124">
        <f>$F$5*'Ppl Cost_Original'!N18</f>
        <v>183012.50000000003</v>
      </c>
      <c r="O79" s="213">
        <f t="shared" si="30"/>
        <v>183012.50000000003</v>
      </c>
      <c r="P79" s="212">
        <f t="shared" si="35"/>
        <v>1</v>
      </c>
      <c r="Q79" s="83">
        <f>$G$5*'Ppl Cost_Original'!Q18</f>
        <v>219615.00000000003</v>
      </c>
      <c r="R79" s="213">
        <f t="shared" si="31"/>
        <v>219615.00000000003</v>
      </c>
    </row>
    <row r="80" spans="1:18" x14ac:dyDescent="0.3">
      <c r="A80" s="36" t="s">
        <v>49</v>
      </c>
      <c r="B80" s="199" t="s">
        <v>309</v>
      </c>
      <c r="C80" t="s">
        <v>311</v>
      </c>
      <c r="D80">
        <v>1</v>
      </c>
      <c r="E80" s="264">
        <f>'Ppl Cost_Original'!E19*'Ppl Cost (D2C &amp; Corp.)'!$C$5</f>
        <v>100000</v>
      </c>
      <c r="F80" s="83">
        <f t="shared" si="32"/>
        <v>100000</v>
      </c>
      <c r="G80" s="66">
        <f>D80</f>
        <v>1</v>
      </c>
      <c r="H80" s="239">
        <f>$D$5*'Ppl Cost_Original'!H19</f>
        <v>123750</v>
      </c>
      <c r="I80" s="83">
        <f t="shared" si="28"/>
        <v>123750</v>
      </c>
      <c r="J80" s="212">
        <f t="shared" si="33"/>
        <v>1</v>
      </c>
      <c r="K80" s="124">
        <f>$E$5*'Ppl Cost_Original'!K19</f>
        <v>151250</v>
      </c>
      <c r="L80" s="97">
        <f t="shared" si="29"/>
        <v>151250</v>
      </c>
      <c r="M80" s="212">
        <f t="shared" si="34"/>
        <v>1</v>
      </c>
      <c r="N80" s="124">
        <f>$F$5*'Ppl Cost_Original'!N19</f>
        <v>183012.50000000003</v>
      </c>
      <c r="O80" s="213">
        <f t="shared" si="30"/>
        <v>183012.50000000003</v>
      </c>
      <c r="P80" s="212">
        <f t="shared" si="35"/>
        <v>1</v>
      </c>
      <c r="Q80" s="83">
        <f>$G$5*'Ppl Cost_Original'!Q19</f>
        <v>219615.00000000003</v>
      </c>
      <c r="R80" s="213">
        <f t="shared" si="31"/>
        <v>219615.00000000003</v>
      </c>
    </row>
    <row r="81" spans="1:18" x14ac:dyDescent="0.3">
      <c r="A81" s="36" t="s">
        <v>48</v>
      </c>
      <c r="B81" s="199" t="s">
        <v>312</v>
      </c>
      <c r="C81" t="s">
        <v>313</v>
      </c>
      <c r="D81">
        <v>1</v>
      </c>
      <c r="E81" s="264">
        <f>'Ppl Cost_Original'!E20*'Ppl Cost (D2C &amp; Corp.)'!$C$5</f>
        <v>660000</v>
      </c>
      <c r="F81" s="83">
        <f t="shared" si="32"/>
        <v>660000</v>
      </c>
      <c r="G81" s="66">
        <f>D81</f>
        <v>1</v>
      </c>
      <c r="H81" s="239">
        <f>$D$5*'Ppl Cost_Original'!H20</f>
        <v>816750.00000000012</v>
      </c>
      <c r="I81" s="83">
        <f t="shared" si="28"/>
        <v>816750.00000000012</v>
      </c>
      <c r="J81" s="212">
        <f t="shared" si="33"/>
        <v>1</v>
      </c>
      <c r="K81" s="124">
        <f>$E$5*'Ppl Cost_Original'!K20</f>
        <v>998250.00000000023</v>
      </c>
      <c r="L81" s="97">
        <f t="shared" si="29"/>
        <v>998250.00000000023</v>
      </c>
      <c r="M81" s="212">
        <f t="shared" si="34"/>
        <v>1</v>
      </c>
      <c r="N81" s="124">
        <f>$F$5*'Ppl Cost_Original'!N20</f>
        <v>1207882.5000000005</v>
      </c>
      <c r="O81" s="213">
        <f t="shared" si="30"/>
        <v>1207882.5000000005</v>
      </c>
      <c r="P81" s="212">
        <f t="shared" si="35"/>
        <v>1</v>
      </c>
      <c r="Q81" s="83">
        <f>$G$5*'Ppl Cost_Original'!Q20</f>
        <v>1449459.0000000005</v>
      </c>
      <c r="R81" s="213">
        <f t="shared" si="31"/>
        <v>1449459.0000000005</v>
      </c>
    </row>
    <row r="82" spans="1:18" x14ac:dyDescent="0.3">
      <c r="A82" s="36"/>
      <c r="B82" s="199" t="s">
        <v>315</v>
      </c>
      <c r="C82" t="s">
        <v>316</v>
      </c>
      <c r="E82" s="264">
        <f>'Ppl Cost_Original'!E21*'Ppl Cost (D2C &amp; Corp.)'!$C$5</f>
        <v>0</v>
      </c>
      <c r="F82" s="83"/>
      <c r="H82" s="239">
        <f>$D$5*'Ppl Cost_Original'!H21</f>
        <v>0</v>
      </c>
      <c r="I82" s="83"/>
      <c r="J82" s="212"/>
      <c r="K82" s="124">
        <f>$E$5*'Ppl Cost_Original'!K21</f>
        <v>0</v>
      </c>
      <c r="L82" s="97"/>
      <c r="M82" s="212"/>
      <c r="N82" s="124">
        <f>$F$5*'Ppl Cost_Original'!N21</f>
        <v>0</v>
      </c>
      <c r="O82" s="213"/>
      <c r="P82" s="212"/>
      <c r="Q82" s="83">
        <f>$G$5*'Ppl Cost_Original'!Q21</f>
        <v>0</v>
      </c>
      <c r="R82" s="213"/>
    </row>
    <row r="83" spans="1:18" x14ac:dyDescent="0.3">
      <c r="A83" s="36" t="s">
        <v>48</v>
      </c>
      <c r="B83" s="199" t="s">
        <v>283</v>
      </c>
      <c r="C83" t="s">
        <v>284</v>
      </c>
      <c r="D83">
        <v>1</v>
      </c>
      <c r="E83" s="264">
        <f>'Ppl Cost_Original'!E22*'Ppl Cost (D2C &amp; Corp.)'!$C$5</f>
        <v>480000</v>
      </c>
      <c r="F83" s="83">
        <f t="shared" ref="F83" si="36">D83*E83</f>
        <v>480000</v>
      </c>
      <c r="G83" s="66">
        <f>D83</f>
        <v>1</v>
      </c>
      <c r="H83" s="239">
        <f>$D$5*'Ppl Cost_Original'!H22</f>
        <v>567000</v>
      </c>
      <c r="I83" s="83">
        <f t="shared" ref="I83:I88" si="37">G83*H83</f>
        <v>567000</v>
      </c>
      <c r="J83" s="212">
        <f t="shared" ref="J83:J84" si="38">G83</f>
        <v>1</v>
      </c>
      <c r="K83" s="124">
        <f>$E$5*'Ppl Cost_Original'!K22</f>
        <v>693000</v>
      </c>
      <c r="L83" s="97">
        <f t="shared" ref="L83:L88" si="39">J83*K83</f>
        <v>693000</v>
      </c>
      <c r="M83" s="212">
        <f t="shared" ref="M83:M84" si="40">J83</f>
        <v>1</v>
      </c>
      <c r="N83" s="124">
        <f>$F$5*'Ppl Cost_Original'!N22</f>
        <v>952875.00000000012</v>
      </c>
      <c r="O83" s="213">
        <f t="shared" ref="O83:O106" si="41">M83*N83</f>
        <v>952875.00000000012</v>
      </c>
      <c r="P83" s="212">
        <f t="shared" ref="P83" si="42">M83</f>
        <v>1</v>
      </c>
      <c r="Q83" s="83">
        <f>$G$5*'Ppl Cost_Original'!Q22</f>
        <v>1299375</v>
      </c>
      <c r="R83" s="213">
        <f t="shared" ref="R83:R106" si="43">P83*Q83</f>
        <v>1299375</v>
      </c>
    </row>
    <row r="84" spans="1:18" x14ac:dyDescent="0.3">
      <c r="A84" s="36" t="s">
        <v>48</v>
      </c>
      <c r="B84" s="199" t="s">
        <v>127</v>
      </c>
      <c r="C84" t="s">
        <v>284</v>
      </c>
      <c r="E84" s="264">
        <f>'Ppl Cost_Original'!E23*'Ppl Cost (D2C &amp; Corp.)'!$C$5</f>
        <v>0</v>
      </c>
      <c r="F84" s="83"/>
      <c r="G84" s="66">
        <v>1</v>
      </c>
      <c r="H84" s="239">
        <f>$D$5*'Ppl Cost_Original'!H23</f>
        <v>225000</v>
      </c>
      <c r="I84" s="83">
        <f t="shared" si="37"/>
        <v>225000</v>
      </c>
      <c r="J84" s="212">
        <f t="shared" si="38"/>
        <v>1</v>
      </c>
      <c r="K84" s="124">
        <f>$E$5*'Ppl Cost_Original'!K23</f>
        <v>275000</v>
      </c>
      <c r="L84" s="97">
        <f t="shared" si="39"/>
        <v>275000</v>
      </c>
      <c r="M84" s="212">
        <f t="shared" si="40"/>
        <v>1</v>
      </c>
      <c r="N84" s="124">
        <f>$F$5*'Ppl Cost_Original'!N23</f>
        <v>332750</v>
      </c>
      <c r="O84" s="213">
        <f t="shared" si="41"/>
        <v>332750</v>
      </c>
      <c r="P84" s="212">
        <v>2</v>
      </c>
      <c r="Q84" s="83">
        <f>$G$5*'Ppl Cost_Original'!Q23</f>
        <v>399300</v>
      </c>
      <c r="R84" s="213">
        <f t="shared" si="43"/>
        <v>798600</v>
      </c>
    </row>
    <row r="85" spans="1:18" x14ac:dyDescent="0.3">
      <c r="A85" s="36" t="s">
        <v>48</v>
      </c>
      <c r="B85" s="199" t="s">
        <v>285</v>
      </c>
      <c r="C85" t="s">
        <v>284</v>
      </c>
      <c r="D85">
        <v>1</v>
      </c>
      <c r="E85" s="264">
        <f>'Ppl Cost_Original'!E24*'Ppl Cost (D2C &amp; Corp.)'!$C$5</f>
        <v>120000</v>
      </c>
      <c r="F85" s="83">
        <f t="shared" ref="F85" si="44">D85*E85</f>
        <v>120000</v>
      </c>
      <c r="G85" s="66">
        <v>1</v>
      </c>
      <c r="H85" s="239">
        <f>$D$5*'Ppl Cost_Original'!H24</f>
        <v>141750</v>
      </c>
      <c r="I85" s="83">
        <f t="shared" si="37"/>
        <v>141750</v>
      </c>
      <c r="J85" s="212">
        <v>2</v>
      </c>
      <c r="K85" s="124">
        <f>$E$5*'Ppl Cost_Original'!K24</f>
        <v>173250</v>
      </c>
      <c r="L85" s="97">
        <f t="shared" si="39"/>
        <v>346500</v>
      </c>
      <c r="M85" s="212">
        <v>6</v>
      </c>
      <c r="N85" s="124">
        <f>$F$5*'Ppl Cost_Original'!N24</f>
        <v>209632.50000000006</v>
      </c>
      <c r="O85" s="213">
        <f t="shared" si="41"/>
        <v>1257795.0000000005</v>
      </c>
      <c r="P85" s="212">
        <v>10</v>
      </c>
      <c r="Q85" s="83">
        <f>$G$5*'Ppl Cost_Original'!Q24</f>
        <v>251559.00000000006</v>
      </c>
      <c r="R85" s="213">
        <f t="shared" si="43"/>
        <v>2515590.0000000005</v>
      </c>
    </row>
    <row r="86" spans="1:18" x14ac:dyDescent="0.3">
      <c r="A86" s="36" t="s">
        <v>49</v>
      </c>
      <c r="B86" s="199" t="s">
        <v>325</v>
      </c>
      <c r="C86" t="s">
        <v>284</v>
      </c>
      <c r="E86" s="264">
        <f>'Ppl Cost_Original'!E25*'Ppl Cost (D2C &amp; Corp.)'!$C$5</f>
        <v>0</v>
      </c>
      <c r="F86" s="83"/>
      <c r="G86" s="66">
        <v>1</v>
      </c>
      <c r="H86" s="239">
        <f>$D$5*'Ppl Cost_Original'!H25</f>
        <v>270000</v>
      </c>
      <c r="I86" s="83">
        <f t="shared" si="37"/>
        <v>270000</v>
      </c>
      <c r="J86" s="212">
        <f t="shared" ref="J86:J88" si="45">G86</f>
        <v>1</v>
      </c>
      <c r="K86" s="124">
        <f>$E$5*'Ppl Cost_Original'!K25</f>
        <v>330000</v>
      </c>
      <c r="L86" s="97">
        <f t="shared" si="39"/>
        <v>330000</v>
      </c>
      <c r="M86" s="212">
        <f t="shared" ref="M86:M88" si="46">J86</f>
        <v>1</v>
      </c>
      <c r="N86" s="124">
        <f>$F$5*'Ppl Cost_Original'!N25</f>
        <v>399300.00000000012</v>
      </c>
      <c r="O86" s="213">
        <f t="shared" si="41"/>
        <v>399300.00000000012</v>
      </c>
      <c r="P86" s="212">
        <f t="shared" ref="P86:P88" si="47">M86</f>
        <v>1</v>
      </c>
      <c r="Q86" s="83">
        <f>$G$5*'Ppl Cost_Original'!Q25</f>
        <v>479160.00000000012</v>
      </c>
      <c r="R86" s="213">
        <f t="shared" si="43"/>
        <v>479160.00000000012</v>
      </c>
    </row>
    <row r="87" spans="1:18" x14ac:dyDescent="0.3">
      <c r="A87" s="36" t="s">
        <v>48</v>
      </c>
      <c r="B87" s="199" t="s">
        <v>290</v>
      </c>
      <c r="C87" t="s">
        <v>284</v>
      </c>
      <c r="D87">
        <v>1</v>
      </c>
      <c r="E87" s="264">
        <f>'Ppl Cost_Original'!E26*'Ppl Cost (D2C &amp; Corp.)'!$C$5</f>
        <v>160000</v>
      </c>
      <c r="F87" s="83">
        <f t="shared" ref="F87:F88" si="48">D87*E87</f>
        <v>160000</v>
      </c>
      <c r="G87" s="66">
        <v>1</v>
      </c>
      <c r="H87" s="239">
        <f>$D$5*'Ppl Cost_Original'!H26</f>
        <v>189000</v>
      </c>
      <c r="I87" s="83">
        <f t="shared" si="37"/>
        <v>189000</v>
      </c>
      <c r="J87" s="212">
        <f t="shared" si="45"/>
        <v>1</v>
      </c>
      <c r="K87" s="124">
        <f>$E$5*'Ppl Cost_Original'!K26</f>
        <v>231000.00000000003</v>
      </c>
      <c r="L87" s="97">
        <f t="shared" si="39"/>
        <v>231000.00000000003</v>
      </c>
      <c r="M87" s="212">
        <f t="shared" si="46"/>
        <v>1</v>
      </c>
      <c r="N87" s="124">
        <f>$F$5*'Ppl Cost_Original'!N26</f>
        <v>279510.00000000006</v>
      </c>
      <c r="O87" s="213">
        <f t="shared" si="41"/>
        <v>279510.00000000006</v>
      </c>
      <c r="P87" s="212">
        <f t="shared" si="47"/>
        <v>1</v>
      </c>
      <c r="Q87" s="83">
        <f>$G$5*'Ppl Cost_Original'!Q26</f>
        <v>335412.00000000006</v>
      </c>
      <c r="R87" s="213">
        <f t="shared" si="43"/>
        <v>335412.00000000006</v>
      </c>
    </row>
    <row r="88" spans="1:18" x14ac:dyDescent="0.3">
      <c r="A88" s="36" t="s">
        <v>48</v>
      </c>
      <c r="B88" s="199" t="s">
        <v>373</v>
      </c>
      <c r="C88" t="s">
        <v>284</v>
      </c>
      <c r="D88">
        <v>1</v>
      </c>
      <c r="E88" s="264">
        <f>'Ppl Cost_Original'!E27*'Ppl Cost (D2C &amp; Corp.)'!$C$5</f>
        <v>360000</v>
      </c>
      <c r="F88" s="83">
        <f t="shared" si="48"/>
        <v>360000</v>
      </c>
      <c r="G88" s="66">
        <v>1</v>
      </c>
      <c r="H88" s="239">
        <f>$D$5*'Ppl Cost_Original'!H27</f>
        <v>425250</v>
      </c>
      <c r="I88" s="83">
        <f t="shared" si="37"/>
        <v>425250</v>
      </c>
      <c r="J88" s="212">
        <f t="shared" si="45"/>
        <v>1</v>
      </c>
      <c r="K88" s="124">
        <f>$E$5*'Ppl Cost_Original'!K27</f>
        <v>519750.00000000006</v>
      </c>
      <c r="L88" s="97">
        <f t="shared" si="39"/>
        <v>519750.00000000006</v>
      </c>
      <c r="M88" s="212">
        <f t="shared" si="46"/>
        <v>1</v>
      </c>
      <c r="N88" s="124">
        <f>$F$5*'Ppl Cost_Original'!N27</f>
        <v>714656.25000000023</v>
      </c>
      <c r="O88" s="213">
        <f t="shared" si="41"/>
        <v>714656.25000000023</v>
      </c>
      <c r="P88" s="212">
        <f t="shared" si="47"/>
        <v>1</v>
      </c>
      <c r="Q88" s="83">
        <f>$G$5*'Ppl Cost_Original'!Q27</f>
        <v>974531.25000000012</v>
      </c>
      <c r="R88" s="213">
        <f t="shared" si="43"/>
        <v>974531.25000000012</v>
      </c>
    </row>
    <row r="89" spans="1:18" x14ac:dyDescent="0.3">
      <c r="A89" s="36" t="s">
        <v>48</v>
      </c>
      <c r="B89" s="199" t="s">
        <v>139</v>
      </c>
      <c r="E89" s="264">
        <f>'Ppl Cost_Original'!E28*'Ppl Cost (D2C &amp; Corp.)'!$C$5</f>
        <v>0</v>
      </c>
      <c r="F89" s="83"/>
      <c r="H89" s="239">
        <f>$D$5*'Ppl Cost_Original'!H28</f>
        <v>0</v>
      </c>
      <c r="I89" s="83"/>
      <c r="J89" s="212"/>
      <c r="K89" s="124">
        <f>$E$5*'Ppl Cost_Original'!K28</f>
        <v>0</v>
      </c>
      <c r="L89" s="97"/>
      <c r="M89" s="212">
        <v>1</v>
      </c>
      <c r="N89" s="124">
        <f>$F$5*'Ppl Cost_Original'!N28</f>
        <v>550000</v>
      </c>
      <c r="O89" s="213">
        <f t="shared" si="41"/>
        <v>550000</v>
      </c>
      <c r="P89" s="212">
        <v>1</v>
      </c>
      <c r="Q89" s="83">
        <f>$G$5*'Ppl Cost_Original'!Q28</f>
        <v>660000</v>
      </c>
      <c r="R89" s="213">
        <f t="shared" si="43"/>
        <v>660000</v>
      </c>
    </row>
    <row r="90" spans="1:18" x14ac:dyDescent="0.3">
      <c r="A90" s="36" t="s">
        <v>49</v>
      </c>
      <c r="B90" s="199" t="s">
        <v>169</v>
      </c>
      <c r="C90" t="s">
        <v>284</v>
      </c>
      <c r="D90">
        <v>1</v>
      </c>
      <c r="E90" s="264">
        <f>'Ppl Cost_Original'!E29*'Ppl Cost (D2C &amp; Corp.)'!$C$5</f>
        <v>160000</v>
      </c>
      <c r="F90" s="83">
        <f t="shared" ref="F90:F91" si="49">D90*E90</f>
        <v>160000</v>
      </c>
      <c r="G90" s="66">
        <v>1</v>
      </c>
      <c r="H90" s="239">
        <f>$D$5*'Ppl Cost_Original'!H29</f>
        <v>189000</v>
      </c>
      <c r="I90" s="83">
        <f t="shared" ref="I90:I91" si="50">G90*H90</f>
        <v>189000</v>
      </c>
      <c r="J90" s="212">
        <f t="shared" ref="J90:J91" si="51">G90</f>
        <v>1</v>
      </c>
      <c r="K90" s="124">
        <f>$E$5*'Ppl Cost_Original'!K29</f>
        <v>231000.00000000003</v>
      </c>
      <c r="L90" s="97">
        <f t="shared" ref="L90:L106" si="52">J90*K90</f>
        <v>231000.00000000003</v>
      </c>
      <c r="M90" s="212">
        <f t="shared" ref="M90:M104" si="53">J90</f>
        <v>1</v>
      </c>
      <c r="N90" s="124">
        <f>$F$5*'Ppl Cost_Original'!N29</f>
        <v>279510.00000000006</v>
      </c>
      <c r="O90" s="213">
        <f t="shared" si="41"/>
        <v>279510.00000000006</v>
      </c>
      <c r="P90" s="212">
        <f t="shared" ref="P90:P104" si="54">M90</f>
        <v>1</v>
      </c>
      <c r="Q90" s="83">
        <f>$G$5*'Ppl Cost_Original'!Q29</f>
        <v>335412.00000000006</v>
      </c>
      <c r="R90" s="213">
        <f t="shared" si="43"/>
        <v>335412.00000000006</v>
      </c>
    </row>
    <row r="91" spans="1:18" x14ac:dyDescent="0.3">
      <c r="A91" s="36" t="s">
        <v>48</v>
      </c>
      <c r="B91" s="199" t="s">
        <v>297</v>
      </c>
      <c r="C91" t="s">
        <v>284</v>
      </c>
      <c r="D91">
        <v>1</v>
      </c>
      <c r="E91" s="264">
        <f>'Ppl Cost_Original'!E30*'Ppl Cost (D2C &amp; Corp.)'!$C$5</f>
        <v>240000</v>
      </c>
      <c r="F91" s="83">
        <f t="shared" si="49"/>
        <v>240000</v>
      </c>
      <c r="G91" s="66">
        <v>1</v>
      </c>
      <c r="H91" s="239">
        <f>$D$5*'Ppl Cost_Original'!H30</f>
        <v>283500</v>
      </c>
      <c r="I91" s="83">
        <f t="shared" si="50"/>
        <v>283500</v>
      </c>
      <c r="J91" s="212">
        <f t="shared" si="51"/>
        <v>1</v>
      </c>
      <c r="K91" s="124">
        <f>$E$5*'Ppl Cost_Original'!K30</f>
        <v>346500</v>
      </c>
      <c r="L91" s="97">
        <f t="shared" si="52"/>
        <v>346500</v>
      </c>
      <c r="M91" s="212">
        <f t="shared" si="53"/>
        <v>1</v>
      </c>
      <c r="N91" s="124">
        <f>$F$5*'Ppl Cost_Original'!N30</f>
        <v>419265.00000000012</v>
      </c>
      <c r="O91" s="213">
        <f t="shared" si="41"/>
        <v>419265.00000000012</v>
      </c>
      <c r="P91" s="212">
        <f t="shared" si="54"/>
        <v>1</v>
      </c>
      <c r="Q91" s="83">
        <f>$G$5*'Ppl Cost_Original'!Q30</f>
        <v>503118.00000000012</v>
      </c>
      <c r="R91" s="213">
        <f t="shared" si="43"/>
        <v>503118.00000000012</v>
      </c>
    </row>
    <row r="92" spans="1:18" x14ac:dyDescent="0.3">
      <c r="A92" s="36" t="s">
        <v>48</v>
      </c>
      <c r="B92" s="199" t="s">
        <v>322</v>
      </c>
      <c r="C92" t="s">
        <v>284</v>
      </c>
      <c r="E92" s="264">
        <f>'Ppl Cost_Original'!E31*'Ppl Cost (D2C &amp; Corp.)'!$C$5</f>
        <v>0</v>
      </c>
      <c r="F92" s="83"/>
      <c r="H92" s="239">
        <f>$D$5*'Ppl Cost_Original'!H31</f>
        <v>0</v>
      </c>
      <c r="I92" s="83"/>
      <c r="J92" s="212">
        <v>1</v>
      </c>
      <c r="K92" s="124">
        <f>$E$5*'Ppl Cost_Original'!K31</f>
        <v>1000000</v>
      </c>
      <c r="L92" s="97">
        <f t="shared" si="52"/>
        <v>1000000</v>
      </c>
      <c r="M92" s="212">
        <f t="shared" si="53"/>
        <v>1</v>
      </c>
      <c r="N92" s="124">
        <f>$F$5*'Ppl Cost_Original'!N31</f>
        <v>1210000</v>
      </c>
      <c r="O92" s="213">
        <f t="shared" si="41"/>
        <v>1210000</v>
      </c>
      <c r="P92" s="212">
        <f t="shared" si="54"/>
        <v>1</v>
      </c>
      <c r="Q92" s="83">
        <f>$G$5*'Ppl Cost_Original'!Q31</f>
        <v>1452000</v>
      </c>
      <c r="R92" s="213">
        <f t="shared" si="43"/>
        <v>1452000</v>
      </c>
    </row>
    <row r="93" spans="1:18" x14ac:dyDescent="0.3">
      <c r="A93" s="36" t="s">
        <v>48</v>
      </c>
      <c r="B93" s="199" t="s">
        <v>300</v>
      </c>
      <c r="C93" t="s">
        <v>284</v>
      </c>
      <c r="D93">
        <v>1</v>
      </c>
      <c r="E93" s="264">
        <f>'Ppl Cost_Original'!E32*'Ppl Cost (D2C &amp; Corp.)'!$C$5</f>
        <v>400000</v>
      </c>
      <c r="F93" s="83">
        <f t="shared" ref="F93" si="55">D93*E93</f>
        <v>400000</v>
      </c>
      <c r="G93" s="66">
        <v>1</v>
      </c>
      <c r="H93" s="239">
        <f>$D$5*'Ppl Cost_Original'!H32</f>
        <v>472500</v>
      </c>
      <c r="I93" s="83">
        <f t="shared" ref="I93" si="56">G93*H93</f>
        <v>472500</v>
      </c>
      <c r="J93" s="212">
        <f t="shared" ref="J93" si="57">G93</f>
        <v>1</v>
      </c>
      <c r="K93" s="124">
        <f>$E$5*'Ppl Cost_Original'!K32</f>
        <v>577500</v>
      </c>
      <c r="L93" s="97">
        <f t="shared" si="52"/>
        <v>577500</v>
      </c>
      <c r="M93" s="212">
        <f t="shared" si="53"/>
        <v>1</v>
      </c>
      <c r="N93" s="124">
        <f>$F$5*'Ppl Cost_Original'!N32</f>
        <v>698775</v>
      </c>
      <c r="O93" s="213">
        <f t="shared" si="41"/>
        <v>698775</v>
      </c>
      <c r="P93" s="212">
        <f t="shared" si="54"/>
        <v>1</v>
      </c>
      <c r="Q93" s="83">
        <f>$G$5*'Ppl Cost_Original'!Q32</f>
        <v>838530</v>
      </c>
      <c r="R93" s="213">
        <f t="shared" si="43"/>
        <v>838530</v>
      </c>
    </row>
    <row r="94" spans="1:18" x14ac:dyDescent="0.3">
      <c r="A94" s="36" t="s">
        <v>48</v>
      </c>
      <c r="B94" s="199" t="s">
        <v>326</v>
      </c>
      <c r="C94" t="s">
        <v>284</v>
      </c>
      <c r="E94" s="264">
        <f>'Ppl Cost_Original'!E33*'Ppl Cost (D2C &amp; Corp.)'!$C$5</f>
        <v>0</v>
      </c>
      <c r="F94" s="83"/>
      <c r="H94" s="239">
        <f>$D$5*'Ppl Cost_Original'!H33</f>
        <v>0</v>
      </c>
      <c r="I94" s="83"/>
      <c r="J94" s="212">
        <v>1</v>
      </c>
      <c r="K94" s="124">
        <f>$E$5*'Ppl Cost_Original'!K33</f>
        <v>400000</v>
      </c>
      <c r="L94" s="97">
        <f t="shared" si="52"/>
        <v>400000</v>
      </c>
      <c r="M94" s="212">
        <f t="shared" si="53"/>
        <v>1</v>
      </c>
      <c r="N94" s="124">
        <f>$F$5*'Ppl Cost_Original'!N33</f>
        <v>484000.00000000012</v>
      </c>
      <c r="O94" s="213">
        <f t="shared" si="41"/>
        <v>484000.00000000012</v>
      </c>
      <c r="P94" s="212">
        <f t="shared" si="54"/>
        <v>1</v>
      </c>
      <c r="Q94" s="83">
        <f>$G$5*'Ppl Cost_Original'!Q33</f>
        <v>580800.00000000012</v>
      </c>
      <c r="R94" s="213">
        <f t="shared" si="43"/>
        <v>580800.00000000012</v>
      </c>
    </row>
    <row r="95" spans="1:18" x14ac:dyDescent="0.3">
      <c r="A95" s="36" t="s">
        <v>49</v>
      </c>
      <c r="B95" s="199" t="s">
        <v>386</v>
      </c>
      <c r="C95" t="s">
        <v>284</v>
      </c>
      <c r="D95">
        <v>1</v>
      </c>
      <c r="E95" s="264">
        <f>'Ppl Cost_Original'!E34*'Ppl Cost (D2C &amp; Corp.)'!$C$5</f>
        <v>80000</v>
      </c>
      <c r="F95" s="83">
        <f t="shared" ref="F95:F100" si="58">D95*E95</f>
        <v>80000</v>
      </c>
      <c r="G95" s="66">
        <v>1</v>
      </c>
      <c r="H95" s="239">
        <f>$D$5*'Ppl Cost_Original'!H34</f>
        <v>94500</v>
      </c>
      <c r="I95" s="83">
        <f t="shared" ref="I95:I106" si="59">G95*H95</f>
        <v>94500</v>
      </c>
      <c r="J95" s="212">
        <f t="shared" ref="J95:J104" si="60">G95</f>
        <v>1</v>
      </c>
      <c r="K95" s="124">
        <f>$E$5*'Ppl Cost_Original'!K34</f>
        <v>115500.00000000001</v>
      </c>
      <c r="L95" s="97">
        <f t="shared" si="52"/>
        <v>115500.00000000001</v>
      </c>
      <c r="M95" s="212">
        <f t="shared" si="53"/>
        <v>1</v>
      </c>
      <c r="N95" s="124">
        <f>$F$5*'Ppl Cost_Original'!N34</f>
        <v>139755.00000000003</v>
      </c>
      <c r="O95" s="213">
        <f t="shared" si="41"/>
        <v>139755.00000000003</v>
      </c>
      <c r="P95" s="212">
        <f t="shared" si="54"/>
        <v>1</v>
      </c>
      <c r="Q95" s="83">
        <f>$G$5*'Ppl Cost_Original'!Q34</f>
        <v>167706.00000000003</v>
      </c>
      <c r="R95" s="213">
        <f t="shared" si="43"/>
        <v>167706.00000000003</v>
      </c>
    </row>
    <row r="96" spans="1:18" x14ac:dyDescent="0.3">
      <c r="A96" s="36"/>
      <c r="B96" s="199" t="s">
        <v>410</v>
      </c>
      <c r="C96" t="s">
        <v>284</v>
      </c>
      <c r="D96">
        <v>0</v>
      </c>
      <c r="E96" s="264">
        <f>'Ppl Cost_Original'!E35*'Ppl Cost (D2C &amp; Corp.)'!$C$5</f>
        <v>120000</v>
      </c>
      <c r="F96" s="83">
        <f t="shared" si="58"/>
        <v>0</v>
      </c>
      <c r="G96" s="66">
        <v>0</v>
      </c>
      <c r="H96" s="239">
        <f>$D$5*'Ppl Cost_Original'!H35</f>
        <v>141750</v>
      </c>
      <c r="I96" s="83">
        <f t="shared" si="59"/>
        <v>0</v>
      </c>
      <c r="J96" s="212">
        <f t="shared" si="60"/>
        <v>0</v>
      </c>
      <c r="K96" s="124">
        <f>$E$5*'Ppl Cost_Original'!K35</f>
        <v>173250</v>
      </c>
      <c r="L96" s="97">
        <f t="shared" si="52"/>
        <v>0</v>
      </c>
      <c r="M96" s="212">
        <f t="shared" si="53"/>
        <v>0</v>
      </c>
      <c r="N96" s="124">
        <f>$F$5*'Ppl Cost_Original'!N35</f>
        <v>209632.50000000006</v>
      </c>
      <c r="O96" s="213">
        <f t="shared" si="41"/>
        <v>0</v>
      </c>
      <c r="P96" s="212">
        <f t="shared" si="54"/>
        <v>0</v>
      </c>
      <c r="Q96" s="83">
        <f>$G$5*'Ppl Cost_Original'!Q35</f>
        <v>251559.00000000006</v>
      </c>
      <c r="R96" s="213">
        <f t="shared" si="43"/>
        <v>0</v>
      </c>
    </row>
    <row r="97" spans="1:18" x14ac:dyDescent="0.3">
      <c r="A97" s="36" t="s">
        <v>49</v>
      </c>
      <c r="B97" s="199" t="s">
        <v>323</v>
      </c>
      <c r="C97" t="s">
        <v>284</v>
      </c>
      <c r="D97">
        <v>1</v>
      </c>
      <c r="E97" s="264">
        <f>'Ppl Cost_Original'!E36*'Ppl Cost (D2C &amp; Corp.)'!$C$5</f>
        <v>120000</v>
      </c>
      <c r="F97" s="83">
        <f t="shared" si="58"/>
        <v>120000</v>
      </c>
      <c r="G97" s="66">
        <v>1</v>
      </c>
      <c r="H97" s="239">
        <f>$D$5*'Ppl Cost_Original'!H36</f>
        <v>141750</v>
      </c>
      <c r="I97" s="83">
        <f t="shared" si="59"/>
        <v>141750</v>
      </c>
      <c r="J97" s="212">
        <f t="shared" si="60"/>
        <v>1</v>
      </c>
      <c r="K97" s="124">
        <f>$E$5*'Ppl Cost_Original'!K36</f>
        <v>173250</v>
      </c>
      <c r="L97" s="97">
        <f t="shared" si="52"/>
        <v>173250</v>
      </c>
      <c r="M97" s="212">
        <f t="shared" si="53"/>
        <v>1</v>
      </c>
      <c r="N97" s="124">
        <f>$F$5*'Ppl Cost_Original'!N36</f>
        <v>209632.50000000006</v>
      </c>
      <c r="O97" s="213">
        <f t="shared" si="41"/>
        <v>209632.50000000006</v>
      </c>
      <c r="P97" s="212">
        <f t="shared" si="54"/>
        <v>1</v>
      </c>
      <c r="Q97" s="83">
        <f>$G$5*'Ppl Cost_Original'!Q36</f>
        <v>251559.00000000006</v>
      </c>
      <c r="R97" s="213">
        <f t="shared" si="43"/>
        <v>251559.00000000006</v>
      </c>
    </row>
    <row r="98" spans="1:18" x14ac:dyDescent="0.3">
      <c r="A98" s="36" t="s">
        <v>49</v>
      </c>
      <c r="B98" s="199" t="s">
        <v>302</v>
      </c>
      <c r="C98" t="s">
        <v>284</v>
      </c>
      <c r="D98">
        <v>1</v>
      </c>
      <c r="E98" s="264">
        <f>'Ppl Cost_Original'!E37*'Ppl Cost (D2C &amp; Corp.)'!$C$5</f>
        <v>100000</v>
      </c>
      <c r="F98" s="83">
        <f t="shared" si="58"/>
        <v>100000</v>
      </c>
      <c r="G98" s="66">
        <v>1</v>
      </c>
      <c r="H98" s="239">
        <f>$D$5*'Ppl Cost_Original'!H37</f>
        <v>118125</v>
      </c>
      <c r="I98" s="83">
        <f t="shared" si="59"/>
        <v>118125</v>
      </c>
      <c r="J98" s="212">
        <f t="shared" si="60"/>
        <v>1</v>
      </c>
      <c r="K98" s="124">
        <f>$E$5*'Ppl Cost_Original'!K37</f>
        <v>144375</v>
      </c>
      <c r="L98" s="97">
        <f t="shared" si="52"/>
        <v>144375</v>
      </c>
      <c r="M98" s="212">
        <f t="shared" si="53"/>
        <v>1</v>
      </c>
      <c r="N98" s="124">
        <f>$F$5*'Ppl Cost_Original'!N37</f>
        <v>174693.75</v>
      </c>
      <c r="O98" s="213">
        <f t="shared" si="41"/>
        <v>174693.75</v>
      </c>
      <c r="P98" s="212">
        <f t="shared" si="54"/>
        <v>1</v>
      </c>
      <c r="Q98" s="83">
        <f>$G$5*'Ppl Cost_Original'!Q37</f>
        <v>209632.5</v>
      </c>
      <c r="R98" s="213">
        <f t="shared" si="43"/>
        <v>209632.5</v>
      </c>
    </row>
    <row r="99" spans="1:18" x14ac:dyDescent="0.3">
      <c r="A99" s="36" t="s">
        <v>48</v>
      </c>
      <c r="B99" s="199" t="s">
        <v>318</v>
      </c>
      <c r="C99" t="s">
        <v>284</v>
      </c>
      <c r="D99">
        <v>1</v>
      </c>
      <c r="E99" s="264">
        <f>'Ppl Cost_Original'!E38*'Ppl Cost (D2C &amp; Corp.)'!$C$5</f>
        <v>280000</v>
      </c>
      <c r="F99" s="83">
        <f t="shared" si="58"/>
        <v>280000</v>
      </c>
      <c r="G99" s="66">
        <v>1</v>
      </c>
      <c r="H99" s="239">
        <f>$D$5*'Ppl Cost_Original'!H38</f>
        <v>330750</v>
      </c>
      <c r="I99" s="83">
        <f t="shared" si="59"/>
        <v>330750</v>
      </c>
      <c r="J99" s="212">
        <f t="shared" si="60"/>
        <v>1</v>
      </c>
      <c r="K99" s="124">
        <f>$E$5*'Ppl Cost_Original'!K38</f>
        <v>404250.00000000006</v>
      </c>
      <c r="L99" s="97">
        <f t="shared" si="52"/>
        <v>404250.00000000006</v>
      </c>
      <c r="M99" s="212">
        <f t="shared" si="53"/>
        <v>1</v>
      </c>
      <c r="N99" s="124">
        <f>$F$5*'Ppl Cost_Original'!N38</f>
        <v>489142.50000000017</v>
      </c>
      <c r="O99" s="213">
        <f t="shared" si="41"/>
        <v>489142.50000000017</v>
      </c>
      <c r="P99" s="212">
        <f t="shared" si="54"/>
        <v>1</v>
      </c>
      <c r="Q99" s="83">
        <f>$G$5*'Ppl Cost_Original'!Q38</f>
        <v>586971.00000000023</v>
      </c>
      <c r="R99" s="213">
        <f t="shared" si="43"/>
        <v>586971.00000000023</v>
      </c>
    </row>
    <row r="100" spans="1:18" x14ac:dyDescent="0.3">
      <c r="A100" s="36" t="s">
        <v>48</v>
      </c>
      <c r="B100" s="199" t="s">
        <v>374</v>
      </c>
      <c r="C100" t="s">
        <v>284</v>
      </c>
      <c r="D100">
        <v>1</v>
      </c>
      <c r="E100" s="264">
        <f>'Ppl Cost_Original'!E39*'Ppl Cost (D2C &amp; Corp.)'!$C$5</f>
        <v>200000</v>
      </c>
      <c r="F100" s="83">
        <f t="shared" si="58"/>
        <v>200000</v>
      </c>
      <c r="G100" s="66">
        <v>1</v>
      </c>
      <c r="H100" s="239">
        <f>$D$5*'Ppl Cost_Original'!H39</f>
        <v>236250</v>
      </c>
      <c r="I100" s="83">
        <f t="shared" si="59"/>
        <v>236250</v>
      </c>
      <c r="J100" s="212">
        <f t="shared" si="60"/>
        <v>1</v>
      </c>
      <c r="K100" s="124">
        <f>$E$5*'Ppl Cost_Original'!K39</f>
        <v>288750</v>
      </c>
      <c r="L100" s="97">
        <f t="shared" si="52"/>
        <v>288750</v>
      </c>
      <c r="M100" s="212">
        <f t="shared" si="53"/>
        <v>1</v>
      </c>
      <c r="N100" s="124">
        <f>$F$5*'Ppl Cost_Original'!N39</f>
        <v>349387.5</v>
      </c>
      <c r="O100" s="213">
        <f t="shared" si="41"/>
        <v>349387.5</v>
      </c>
      <c r="P100" s="212">
        <f t="shared" si="54"/>
        <v>1</v>
      </c>
      <c r="Q100" s="83">
        <f>$G$5*'Ppl Cost_Original'!Q39</f>
        <v>419265</v>
      </c>
      <c r="R100" s="213">
        <f t="shared" si="43"/>
        <v>419265</v>
      </c>
    </row>
    <row r="101" spans="1:18" x14ac:dyDescent="0.3">
      <c r="A101" s="36" t="s">
        <v>48</v>
      </c>
      <c r="B101" s="199" t="s">
        <v>314</v>
      </c>
      <c r="C101" t="s">
        <v>284</v>
      </c>
      <c r="E101" s="264">
        <f>'Ppl Cost_Original'!E40*'Ppl Cost (D2C &amp; Corp.)'!$C$5</f>
        <v>0</v>
      </c>
      <c r="F101" s="83"/>
      <c r="G101" s="66">
        <v>1</v>
      </c>
      <c r="H101" s="239">
        <f>$D$5*'Ppl Cost_Original'!H40</f>
        <v>360000</v>
      </c>
      <c r="I101" s="83">
        <f t="shared" si="59"/>
        <v>360000</v>
      </c>
      <c r="J101" s="212">
        <f t="shared" si="60"/>
        <v>1</v>
      </c>
      <c r="K101" s="124">
        <f>$E$5*'Ppl Cost_Original'!K40</f>
        <v>440000.00000000006</v>
      </c>
      <c r="L101" s="97">
        <f t="shared" si="52"/>
        <v>440000.00000000006</v>
      </c>
      <c r="M101" s="212">
        <f t="shared" si="53"/>
        <v>1</v>
      </c>
      <c r="N101" s="124">
        <f>$F$5*'Ppl Cost_Original'!N40</f>
        <v>532400.00000000012</v>
      </c>
      <c r="O101" s="213">
        <f t="shared" si="41"/>
        <v>532400.00000000012</v>
      </c>
      <c r="P101" s="212">
        <f t="shared" si="54"/>
        <v>1</v>
      </c>
      <c r="Q101" s="83">
        <f>$G$5*'Ppl Cost_Original'!Q40</f>
        <v>638880.00000000012</v>
      </c>
      <c r="R101" s="213">
        <f t="shared" si="43"/>
        <v>638880.00000000012</v>
      </c>
    </row>
    <row r="102" spans="1:18" x14ac:dyDescent="0.3">
      <c r="A102" s="36" t="s">
        <v>49</v>
      </c>
      <c r="B102" s="199" t="s">
        <v>317</v>
      </c>
      <c r="C102" t="s">
        <v>284</v>
      </c>
      <c r="D102">
        <v>1</v>
      </c>
      <c r="E102" s="264">
        <f>'Ppl Cost_Original'!E41*'Ppl Cost (D2C &amp; Corp.)'!$C$5</f>
        <v>108000</v>
      </c>
      <c r="F102" s="83">
        <f t="shared" ref="F102:F106" si="61">D102*E102</f>
        <v>108000</v>
      </c>
      <c r="G102" s="66">
        <v>1</v>
      </c>
      <c r="H102" s="239">
        <f>$D$5*'Ppl Cost_Original'!H41</f>
        <v>127575</v>
      </c>
      <c r="I102" s="83">
        <f t="shared" si="59"/>
        <v>127575</v>
      </c>
      <c r="J102" s="212">
        <f t="shared" si="60"/>
        <v>1</v>
      </c>
      <c r="K102" s="124">
        <f>$E$5*'Ppl Cost_Original'!K41</f>
        <v>155925</v>
      </c>
      <c r="L102" s="97">
        <f t="shared" si="52"/>
        <v>155925</v>
      </c>
      <c r="M102" s="212">
        <f t="shared" si="53"/>
        <v>1</v>
      </c>
      <c r="N102" s="124">
        <f>$F$5*'Ppl Cost_Original'!N41</f>
        <v>188669.25000000003</v>
      </c>
      <c r="O102" s="213">
        <f t="shared" si="41"/>
        <v>188669.25000000003</v>
      </c>
      <c r="P102" s="212">
        <f t="shared" si="54"/>
        <v>1</v>
      </c>
      <c r="Q102" s="83">
        <f>$G$5*'Ppl Cost_Original'!Q41</f>
        <v>226403.10000000003</v>
      </c>
      <c r="R102" s="213">
        <f t="shared" si="43"/>
        <v>226403.10000000003</v>
      </c>
    </row>
    <row r="103" spans="1:18" x14ac:dyDescent="0.3">
      <c r="A103" s="36" t="s">
        <v>48</v>
      </c>
      <c r="B103" s="199" t="s">
        <v>327</v>
      </c>
      <c r="C103" t="s">
        <v>284</v>
      </c>
      <c r="D103">
        <v>1</v>
      </c>
      <c r="E103" s="264">
        <f>'Ppl Cost_Original'!E42*'Ppl Cost (D2C &amp; Corp.)'!$C$5</f>
        <v>180000</v>
      </c>
      <c r="F103" s="83">
        <f t="shared" si="61"/>
        <v>180000</v>
      </c>
      <c r="G103" s="66">
        <v>1</v>
      </c>
      <c r="H103" s="239">
        <f>$D$5*'Ppl Cost_Original'!H42</f>
        <v>212625</v>
      </c>
      <c r="I103" s="83">
        <f t="shared" si="59"/>
        <v>212625</v>
      </c>
      <c r="J103" s="212">
        <f t="shared" si="60"/>
        <v>1</v>
      </c>
      <c r="K103" s="124">
        <f>$E$5*'Ppl Cost_Original'!K42</f>
        <v>259875.00000000003</v>
      </c>
      <c r="L103" s="97">
        <f t="shared" si="52"/>
        <v>259875.00000000003</v>
      </c>
      <c r="M103" s="212">
        <f t="shared" si="53"/>
        <v>1</v>
      </c>
      <c r="N103" s="124">
        <f>$F$5*'Ppl Cost_Original'!N42</f>
        <v>314448.75000000012</v>
      </c>
      <c r="O103" s="213">
        <f t="shared" si="41"/>
        <v>314448.75000000012</v>
      </c>
      <c r="P103" s="212">
        <f t="shared" si="54"/>
        <v>1</v>
      </c>
      <c r="Q103" s="83">
        <f>$G$5*'Ppl Cost_Original'!Q42</f>
        <v>377338.50000000012</v>
      </c>
      <c r="R103" s="213">
        <f t="shared" si="43"/>
        <v>377338.50000000012</v>
      </c>
    </row>
    <row r="104" spans="1:18" x14ac:dyDescent="0.3">
      <c r="A104" s="36" t="s">
        <v>48</v>
      </c>
      <c r="B104" s="199" t="s">
        <v>328</v>
      </c>
      <c r="C104" t="s">
        <v>284</v>
      </c>
      <c r="D104">
        <v>1</v>
      </c>
      <c r="E104" s="264">
        <f>'Ppl Cost_Original'!E43*'Ppl Cost (D2C &amp; Corp.)'!$C$5</f>
        <v>152000</v>
      </c>
      <c r="F104" s="83">
        <f t="shared" si="61"/>
        <v>152000</v>
      </c>
      <c r="G104" s="66">
        <v>1</v>
      </c>
      <c r="H104" s="239">
        <f>$D$5*'Ppl Cost_Original'!H43</f>
        <v>179550</v>
      </c>
      <c r="I104" s="83">
        <f t="shared" si="59"/>
        <v>179550</v>
      </c>
      <c r="J104" s="212">
        <f t="shared" si="60"/>
        <v>1</v>
      </c>
      <c r="K104" s="124">
        <f>$E$5*'Ppl Cost_Original'!K43</f>
        <v>219450.00000000003</v>
      </c>
      <c r="L104" s="97">
        <f t="shared" si="52"/>
        <v>219450.00000000003</v>
      </c>
      <c r="M104" s="212">
        <f t="shared" si="53"/>
        <v>1</v>
      </c>
      <c r="N104" s="124">
        <f>$F$5*'Ppl Cost_Original'!N43</f>
        <v>265534.50000000006</v>
      </c>
      <c r="O104" s="213">
        <f t="shared" si="41"/>
        <v>265534.50000000006</v>
      </c>
      <c r="P104" s="212">
        <f t="shared" si="54"/>
        <v>1</v>
      </c>
      <c r="Q104" s="83">
        <f>$G$5*'Ppl Cost_Original'!Q43</f>
        <v>318641.40000000008</v>
      </c>
      <c r="R104" s="213">
        <f t="shared" si="43"/>
        <v>318641.40000000008</v>
      </c>
    </row>
    <row r="105" spans="1:18" x14ac:dyDescent="0.3">
      <c r="A105" s="36" t="s">
        <v>49</v>
      </c>
      <c r="B105" s="199" t="s">
        <v>329</v>
      </c>
      <c r="C105" t="s">
        <v>284</v>
      </c>
      <c r="D105">
        <v>2</v>
      </c>
      <c r="E105" s="264">
        <f>'Ppl Cost_Original'!E44*'Ppl Cost (D2C &amp; Corp.)'!$C$5</f>
        <v>100000</v>
      </c>
      <c r="F105" s="83">
        <f t="shared" si="61"/>
        <v>200000</v>
      </c>
      <c r="G105" s="66">
        <v>4</v>
      </c>
      <c r="H105" s="239">
        <f>$D$5*'Ppl Cost_Original'!H44</f>
        <v>118125</v>
      </c>
      <c r="I105" s="83">
        <f t="shared" si="59"/>
        <v>472500</v>
      </c>
      <c r="J105" s="212">
        <v>6</v>
      </c>
      <c r="K105" s="124">
        <f>$E$5*'Ppl Cost_Original'!K44</f>
        <v>144375</v>
      </c>
      <c r="L105" s="97">
        <f t="shared" si="52"/>
        <v>866250</v>
      </c>
      <c r="M105" s="212">
        <v>8</v>
      </c>
      <c r="N105" s="124">
        <f>$F$5*'Ppl Cost_Original'!N44</f>
        <v>174693.75</v>
      </c>
      <c r="O105" s="213">
        <f t="shared" si="41"/>
        <v>1397550</v>
      </c>
      <c r="P105" s="212">
        <v>10</v>
      </c>
      <c r="Q105" s="83">
        <f>$G$5*'Ppl Cost_Original'!Q44</f>
        <v>209632.5</v>
      </c>
      <c r="R105" s="213">
        <f t="shared" si="43"/>
        <v>2096325</v>
      </c>
    </row>
    <row r="106" spans="1:18" x14ac:dyDescent="0.3">
      <c r="A106" s="36" t="s">
        <v>49</v>
      </c>
      <c r="B106" s="199" t="s">
        <v>409</v>
      </c>
      <c r="C106" t="s">
        <v>284</v>
      </c>
      <c r="D106">
        <v>1</v>
      </c>
      <c r="E106" s="264">
        <f>'Ppl Cost_Original'!E45*'Ppl Cost (D2C &amp; Corp.)'!$C$5</f>
        <v>80000</v>
      </c>
      <c r="F106" s="83">
        <f t="shared" si="61"/>
        <v>80000</v>
      </c>
      <c r="G106" s="66">
        <v>1</v>
      </c>
      <c r="H106" s="239">
        <f>$D$5*'Ppl Cost_Original'!H45</f>
        <v>94500</v>
      </c>
      <c r="I106" s="83">
        <f t="shared" si="59"/>
        <v>94500</v>
      </c>
      <c r="J106" s="212">
        <v>2</v>
      </c>
      <c r="K106" s="124">
        <f>$E$5*'Ppl Cost_Original'!K45</f>
        <v>115500.00000000001</v>
      </c>
      <c r="L106" s="97">
        <f t="shared" si="52"/>
        <v>231000.00000000003</v>
      </c>
      <c r="M106" s="212">
        <f t="shared" ref="M106" si="62">J106</f>
        <v>2</v>
      </c>
      <c r="N106" s="124">
        <f>$F$5*'Ppl Cost_Original'!N45</f>
        <v>139755.00000000003</v>
      </c>
      <c r="O106" s="213">
        <f t="shared" si="41"/>
        <v>279510.00000000006</v>
      </c>
      <c r="P106" s="212">
        <f t="shared" ref="P106" si="63">M106</f>
        <v>2</v>
      </c>
      <c r="Q106" s="83">
        <f>$G$5*'Ppl Cost_Original'!Q45</f>
        <v>167706.00000000003</v>
      </c>
      <c r="R106" s="213">
        <f t="shared" si="43"/>
        <v>335412.00000000006</v>
      </c>
    </row>
    <row r="107" spans="1:18" x14ac:dyDescent="0.3">
      <c r="A107" s="36"/>
      <c r="B107" s="199"/>
      <c r="E107" s="264">
        <f>'Ppl Cost_Original'!E46*'Ppl Cost (D2C &amp; Corp.)'!$C$5</f>
        <v>0</v>
      </c>
      <c r="F107" s="83"/>
      <c r="H107" s="239">
        <f>$D$5*'Ppl Cost_Original'!H46</f>
        <v>0</v>
      </c>
      <c r="I107" s="83"/>
      <c r="J107" s="212"/>
      <c r="K107" s="124">
        <f>$E$5*'Ppl Cost_Original'!K46</f>
        <v>0</v>
      </c>
      <c r="L107" s="97"/>
      <c r="M107" s="212"/>
      <c r="N107" s="124">
        <f>$F$5*'Ppl Cost_Original'!N46</f>
        <v>0</v>
      </c>
      <c r="O107" s="213"/>
      <c r="P107" s="212"/>
      <c r="Q107" s="83">
        <f>$G$5*'Ppl Cost_Original'!Q46</f>
        <v>0</v>
      </c>
      <c r="R107" s="213"/>
    </row>
    <row r="108" spans="1:18" x14ac:dyDescent="0.3">
      <c r="A108" s="36"/>
      <c r="B108" s="197" t="s">
        <v>320</v>
      </c>
      <c r="C108" s="195"/>
      <c r="E108" s="264">
        <f>'Ppl Cost_Original'!E47*'Ppl Cost (D2C &amp; Corp.)'!$C$5</f>
        <v>0</v>
      </c>
      <c r="F108" s="83"/>
      <c r="H108" s="239">
        <f>$D$5*'Ppl Cost_Original'!H47</f>
        <v>0</v>
      </c>
      <c r="I108" s="83"/>
      <c r="J108" s="212"/>
      <c r="K108" s="124">
        <f>$E$5*'Ppl Cost_Original'!K47</f>
        <v>0</v>
      </c>
      <c r="L108" s="97"/>
      <c r="M108" s="212"/>
      <c r="N108" s="124">
        <f>$F$5*'Ppl Cost_Original'!N47</f>
        <v>0</v>
      </c>
      <c r="O108" s="213"/>
      <c r="P108" s="212"/>
      <c r="Q108" s="83">
        <f>$G$5*'Ppl Cost_Original'!Q47</f>
        <v>0</v>
      </c>
      <c r="R108" s="213"/>
    </row>
    <row r="109" spans="1:18" x14ac:dyDescent="0.3">
      <c r="A109" s="36" t="s">
        <v>49</v>
      </c>
      <c r="B109" s="199" t="s">
        <v>295</v>
      </c>
      <c r="C109" t="s">
        <v>296</v>
      </c>
      <c r="D109">
        <v>1</v>
      </c>
      <c r="E109" s="264">
        <f>'Ppl Cost_Original'!E48*'Ppl Cost (D2C &amp; Corp.)'!$C$5</f>
        <v>48000</v>
      </c>
      <c r="F109" s="83">
        <f t="shared" ref="F109:F113" si="64">D109*E109</f>
        <v>48000</v>
      </c>
      <c r="G109" s="66">
        <v>1</v>
      </c>
      <c r="H109" s="239">
        <f>$D$5*'Ppl Cost_Original'!H48</f>
        <v>59400</v>
      </c>
      <c r="I109" s="83">
        <f t="shared" ref="I109:I113" si="65">G109*H109</f>
        <v>59400</v>
      </c>
      <c r="J109" s="212">
        <v>2</v>
      </c>
      <c r="K109" s="124">
        <f>$E$5*'Ppl Cost_Original'!K48</f>
        <v>72600</v>
      </c>
      <c r="L109" s="97">
        <f t="shared" ref="L109:L113" si="66">J109*K109</f>
        <v>145200</v>
      </c>
      <c r="M109" s="212">
        <f t="shared" ref="M109:M113" si="67">J109</f>
        <v>2</v>
      </c>
      <c r="N109" s="124">
        <f>$F$5*'Ppl Cost_Original'!N48</f>
        <v>87846</v>
      </c>
      <c r="O109" s="213">
        <f t="shared" ref="O109:O113" si="68">M109*N109</f>
        <v>175692</v>
      </c>
      <c r="P109" s="212">
        <f t="shared" ref="P109:P113" si="69">M109</f>
        <v>2</v>
      </c>
      <c r="Q109" s="83">
        <f>$G$5*'Ppl Cost_Original'!Q48</f>
        <v>105415.2</v>
      </c>
      <c r="R109" s="213">
        <f t="shared" ref="R109:R113" si="70">P109*Q109</f>
        <v>210830.4</v>
      </c>
    </row>
    <row r="110" spans="1:18" x14ac:dyDescent="0.3">
      <c r="A110" s="36" t="s">
        <v>49</v>
      </c>
      <c r="B110" s="199" t="s">
        <v>128</v>
      </c>
      <c r="C110" t="s">
        <v>284</v>
      </c>
      <c r="D110">
        <v>1</v>
      </c>
      <c r="E110" s="264">
        <f>'Ppl Cost_Original'!E49*'Ppl Cost (D2C &amp; Corp.)'!$C$5</f>
        <v>140000</v>
      </c>
      <c r="F110" s="83">
        <f t="shared" si="64"/>
        <v>140000</v>
      </c>
      <c r="G110" s="66">
        <v>2</v>
      </c>
      <c r="H110" s="239">
        <f>$D$5*'Ppl Cost_Original'!H49</f>
        <v>165375</v>
      </c>
      <c r="I110" s="83">
        <f t="shared" si="65"/>
        <v>330750</v>
      </c>
      <c r="J110" s="212">
        <v>3</v>
      </c>
      <c r="K110" s="124">
        <f>$E$5*'Ppl Cost_Original'!K49</f>
        <v>202125.00000000003</v>
      </c>
      <c r="L110" s="97">
        <f t="shared" si="66"/>
        <v>606375.00000000012</v>
      </c>
      <c r="M110" s="212">
        <f t="shared" si="67"/>
        <v>3</v>
      </c>
      <c r="N110" s="124">
        <f>$F$5*'Ppl Cost_Original'!N49</f>
        <v>244571.25000000009</v>
      </c>
      <c r="O110" s="213">
        <f t="shared" si="68"/>
        <v>733713.75000000023</v>
      </c>
      <c r="P110" s="212">
        <f t="shared" si="69"/>
        <v>3</v>
      </c>
      <c r="Q110" s="83">
        <f>$G$5*'Ppl Cost_Original'!Q49</f>
        <v>293485.50000000012</v>
      </c>
      <c r="R110" s="213">
        <f t="shared" si="70"/>
        <v>880456.50000000035</v>
      </c>
    </row>
    <row r="111" spans="1:18" x14ac:dyDescent="0.3">
      <c r="A111" s="36" t="s">
        <v>49</v>
      </c>
      <c r="B111" s="199" t="s">
        <v>292</v>
      </c>
      <c r="C111" t="s">
        <v>284</v>
      </c>
      <c r="D111">
        <v>1</v>
      </c>
      <c r="E111" s="264">
        <f>'Ppl Cost_Original'!E50*'Ppl Cost (D2C &amp; Corp.)'!$C$5</f>
        <v>120000</v>
      </c>
      <c r="F111" s="83">
        <f t="shared" si="64"/>
        <v>120000</v>
      </c>
      <c r="G111" s="66">
        <v>1</v>
      </c>
      <c r="H111" s="239">
        <f>$D$5*'Ppl Cost_Original'!H50</f>
        <v>141750</v>
      </c>
      <c r="I111" s="83">
        <f t="shared" si="65"/>
        <v>141750</v>
      </c>
      <c r="J111" s="212">
        <v>2</v>
      </c>
      <c r="K111" s="124">
        <f>$E$5*'Ppl Cost_Original'!K50</f>
        <v>173250</v>
      </c>
      <c r="L111" s="97">
        <f t="shared" si="66"/>
        <v>346500</v>
      </c>
      <c r="M111" s="212">
        <f t="shared" si="67"/>
        <v>2</v>
      </c>
      <c r="N111" s="124">
        <f>$F$5*'Ppl Cost_Original'!N50</f>
        <v>209632.50000000006</v>
      </c>
      <c r="O111" s="213">
        <f t="shared" si="68"/>
        <v>419265.00000000012</v>
      </c>
      <c r="P111" s="212">
        <f t="shared" si="69"/>
        <v>2</v>
      </c>
      <c r="Q111" s="83">
        <f>$G$5*'Ppl Cost_Original'!Q50</f>
        <v>251559.00000000006</v>
      </c>
      <c r="R111" s="213">
        <f t="shared" si="70"/>
        <v>503118.00000000012</v>
      </c>
    </row>
    <row r="112" spans="1:18" x14ac:dyDescent="0.3">
      <c r="A112" s="36" t="s">
        <v>49</v>
      </c>
      <c r="B112" s="199" t="s">
        <v>148</v>
      </c>
      <c r="C112" t="s">
        <v>284</v>
      </c>
      <c r="D112">
        <v>1</v>
      </c>
      <c r="E112" s="264">
        <f>'Ppl Cost_Original'!E51*'Ppl Cost (D2C &amp; Corp.)'!$C$5</f>
        <v>80000</v>
      </c>
      <c r="F112" s="83">
        <f t="shared" si="64"/>
        <v>80000</v>
      </c>
      <c r="G112" s="66">
        <v>1</v>
      </c>
      <c r="H112" s="239">
        <f>$D$5*'Ppl Cost_Original'!H51</f>
        <v>94500</v>
      </c>
      <c r="I112" s="83">
        <f t="shared" si="65"/>
        <v>94500</v>
      </c>
      <c r="J112" s="212">
        <v>2</v>
      </c>
      <c r="K112" s="124">
        <f>$E$5*'Ppl Cost_Original'!K51</f>
        <v>115500.00000000001</v>
      </c>
      <c r="L112" s="97">
        <f t="shared" si="66"/>
        <v>231000.00000000003</v>
      </c>
      <c r="M112" s="212">
        <f t="shared" si="67"/>
        <v>2</v>
      </c>
      <c r="N112" s="124">
        <f>$F$5*'Ppl Cost_Original'!N51</f>
        <v>139755.00000000003</v>
      </c>
      <c r="O112" s="213">
        <f t="shared" si="68"/>
        <v>279510.00000000006</v>
      </c>
      <c r="P112" s="212">
        <f t="shared" si="69"/>
        <v>2</v>
      </c>
      <c r="Q112" s="83">
        <f>$G$5*'Ppl Cost_Original'!Q51</f>
        <v>167706.00000000003</v>
      </c>
      <c r="R112" s="213">
        <f t="shared" si="70"/>
        <v>335412.00000000006</v>
      </c>
    </row>
    <row r="113" spans="1:18" x14ac:dyDescent="0.3">
      <c r="A113" s="36" t="s">
        <v>49</v>
      </c>
      <c r="B113" s="199" t="s">
        <v>319</v>
      </c>
      <c r="C113" t="s">
        <v>284</v>
      </c>
      <c r="D113">
        <v>1</v>
      </c>
      <c r="E113" s="264">
        <f>'Ppl Cost_Original'!E52*'Ppl Cost (D2C &amp; Corp.)'!$C$5</f>
        <v>120000</v>
      </c>
      <c r="F113" s="83">
        <f t="shared" si="64"/>
        <v>120000</v>
      </c>
      <c r="G113" s="66">
        <v>1</v>
      </c>
      <c r="H113" s="239">
        <f>$D$5*'Ppl Cost_Original'!H52</f>
        <v>141750</v>
      </c>
      <c r="I113" s="83">
        <f t="shared" si="65"/>
        <v>141750</v>
      </c>
      <c r="J113" s="212">
        <v>2</v>
      </c>
      <c r="K113" s="124">
        <f>$E$5*'Ppl Cost_Original'!K52</f>
        <v>173250</v>
      </c>
      <c r="L113" s="97">
        <f t="shared" si="66"/>
        <v>346500</v>
      </c>
      <c r="M113" s="212">
        <f t="shared" si="67"/>
        <v>2</v>
      </c>
      <c r="N113" s="124">
        <f>$F$5*'Ppl Cost_Original'!N52</f>
        <v>209632.50000000006</v>
      </c>
      <c r="O113" s="213">
        <f t="shared" si="68"/>
        <v>419265.00000000012</v>
      </c>
      <c r="P113" s="212">
        <f t="shared" si="69"/>
        <v>2</v>
      </c>
      <c r="Q113" s="83">
        <f>$G$5*'Ppl Cost_Original'!Q52</f>
        <v>251559.00000000006</v>
      </c>
      <c r="R113" s="213">
        <f t="shared" si="70"/>
        <v>503118.00000000012</v>
      </c>
    </row>
    <row r="114" spans="1:18" x14ac:dyDescent="0.3">
      <c r="A114" s="29"/>
      <c r="B114" s="198" t="s">
        <v>50</v>
      </c>
      <c r="C114" s="196"/>
      <c r="D114" s="119">
        <f t="shared" ref="D114:R114" si="71">SUM(D68:D113)</f>
        <v>35</v>
      </c>
      <c r="E114" s="267">
        <f t="shared" si="71"/>
        <v>7126000</v>
      </c>
      <c r="F114" s="120">
        <f t="shared" si="71"/>
        <v>6992000</v>
      </c>
      <c r="G114" s="120">
        <f t="shared" si="71"/>
        <v>41</v>
      </c>
      <c r="H114" s="267">
        <f t="shared" si="71"/>
        <v>9260550</v>
      </c>
      <c r="I114" s="120">
        <f t="shared" si="71"/>
        <v>9497475</v>
      </c>
      <c r="J114" s="214">
        <f t="shared" si="71"/>
        <v>55</v>
      </c>
      <c r="K114" s="267">
        <f t="shared" si="71"/>
        <v>12718450</v>
      </c>
      <c r="L114" s="120">
        <f t="shared" si="71"/>
        <v>14824400</v>
      </c>
      <c r="M114" s="214">
        <f t="shared" si="71"/>
        <v>62</v>
      </c>
      <c r="N114" s="120">
        <f t="shared" si="71"/>
        <v>16139428.250000002</v>
      </c>
      <c r="O114" s="215">
        <f t="shared" si="71"/>
        <v>19875545.25</v>
      </c>
      <c r="P114" s="214">
        <f t="shared" si="71"/>
        <v>69</v>
      </c>
      <c r="Q114" s="120">
        <f t="shared" si="71"/>
        <v>19640182.650000002</v>
      </c>
      <c r="R114" s="215">
        <f t="shared" si="71"/>
        <v>25948324.050000001</v>
      </c>
    </row>
    <row r="115" spans="1:18" x14ac:dyDescent="0.3">
      <c r="B115" s="219"/>
      <c r="C115" s="53"/>
      <c r="D115" s="28"/>
      <c r="E115" s="52"/>
      <c r="F115" s="52"/>
      <c r="G115" s="28"/>
      <c r="H115" s="268"/>
      <c r="I115" s="132"/>
      <c r="J115" s="28"/>
      <c r="K115" s="268"/>
      <c r="L115" s="132"/>
      <c r="M115" s="28"/>
      <c r="N115" s="132"/>
      <c r="O115" s="132"/>
      <c r="P115" s="28"/>
      <c r="Q115" s="132"/>
      <c r="R115" s="133"/>
    </row>
    <row r="116" spans="1:18" x14ac:dyDescent="0.3">
      <c r="B116" s="62"/>
      <c r="C116" s="34"/>
      <c r="D116" s="28"/>
      <c r="E116" s="28"/>
      <c r="F116" s="28"/>
      <c r="G116" s="28"/>
      <c r="H116" s="254"/>
      <c r="I116" s="99"/>
      <c r="J116" s="28"/>
      <c r="K116" s="254"/>
      <c r="L116" s="99"/>
      <c r="M116" s="28"/>
      <c r="N116" s="99"/>
      <c r="O116" s="99"/>
      <c r="P116" s="28"/>
      <c r="Q116" s="99"/>
      <c r="R116" s="131"/>
    </row>
    <row r="117" spans="1:18" x14ac:dyDescent="0.3">
      <c r="B117" s="62"/>
      <c r="C117" s="34"/>
      <c r="E117" s="28"/>
      <c r="F117" s="28"/>
      <c r="G117" s="99"/>
      <c r="H117" s="254"/>
      <c r="I117" s="99"/>
      <c r="J117" s="99"/>
      <c r="K117" s="254"/>
      <c r="L117" s="99"/>
      <c r="M117" s="99"/>
      <c r="N117" s="99"/>
      <c r="O117" s="99"/>
      <c r="P117" s="99"/>
      <c r="Q117" s="99"/>
      <c r="R117" s="131"/>
    </row>
    <row r="118" spans="1:18" x14ac:dyDescent="0.3">
      <c r="B118" s="63"/>
      <c r="C118" s="220"/>
      <c r="D118" s="64"/>
      <c r="E118" s="64"/>
      <c r="F118" s="64"/>
      <c r="G118" s="161"/>
      <c r="H118" s="269"/>
      <c r="I118" s="161"/>
      <c r="J118" s="161"/>
      <c r="K118" s="269"/>
      <c r="L118" s="161"/>
      <c r="M118" s="161"/>
      <c r="N118" s="161"/>
      <c r="O118" s="161"/>
      <c r="P118" s="161"/>
      <c r="Q118" s="161"/>
      <c r="R118" s="162"/>
    </row>
    <row r="121" spans="1:18" x14ac:dyDescent="0.3">
      <c r="H121" s="66"/>
      <c r="K121" s="66"/>
    </row>
    <row r="122" spans="1:18" x14ac:dyDescent="0.3">
      <c r="H122" s="66"/>
      <c r="K122" s="66"/>
    </row>
    <row r="123" spans="1:18" x14ac:dyDescent="0.3">
      <c r="B123" t="s">
        <v>404</v>
      </c>
      <c r="C123" s="66"/>
      <c r="H123" s="66"/>
      <c r="K123" s="66"/>
    </row>
    <row r="124" spans="1:18" x14ac:dyDescent="0.3">
      <c r="B124" s="68" t="s">
        <v>434</v>
      </c>
      <c r="C124" s="66"/>
      <c r="F124" s="66">
        <f>SUM(F11:F24)+F52</f>
        <v>4668000</v>
      </c>
      <c r="H124" s="66"/>
      <c r="K124" s="66"/>
    </row>
    <row r="125" spans="1:18" x14ac:dyDescent="0.3">
      <c r="B125" s="68" t="s">
        <v>435</v>
      </c>
      <c r="C125" s="66"/>
      <c r="F125" s="66">
        <f>+SUM(F68:F81)+F109</f>
        <v>3112000</v>
      </c>
      <c r="H125" s="66"/>
      <c r="K125" s="66"/>
    </row>
    <row r="126" spans="1:18" x14ac:dyDescent="0.3">
      <c r="B126" s="308" t="s">
        <v>26</v>
      </c>
      <c r="C126" s="66"/>
      <c r="F126" s="309">
        <f>F124+F125</f>
        <v>7780000</v>
      </c>
      <c r="H126" s="66"/>
      <c r="K126" s="66"/>
    </row>
    <row r="127" spans="1:18" x14ac:dyDescent="0.3">
      <c r="B127" t="s">
        <v>405</v>
      </c>
    </row>
    <row r="128" spans="1:18" x14ac:dyDescent="0.3">
      <c r="B128" s="68" t="s">
        <v>434</v>
      </c>
      <c r="F128" s="66">
        <f>SUM(F26:F56)-F52</f>
        <v>5820000</v>
      </c>
    </row>
    <row r="129" spans="2:6" x14ac:dyDescent="0.3">
      <c r="B129" s="68" t="s">
        <v>435</v>
      </c>
      <c r="F129" s="66">
        <f>+SUM(F83:F113)-F109</f>
        <v>3880000</v>
      </c>
    </row>
    <row r="130" spans="2:6" x14ac:dyDescent="0.3">
      <c r="B130" s="308" t="s">
        <v>26</v>
      </c>
      <c r="F130" s="309">
        <f>F128+F129</f>
        <v>9700000</v>
      </c>
    </row>
    <row r="132" spans="2:6" x14ac:dyDescent="0.3">
      <c r="B132" t="s">
        <v>406</v>
      </c>
      <c r="F132" s="66">
        <f>F123/12*6</f>
        <v>0</v>
      </c>
    </row>
    <row r="133" spans="2:6" x14ac:dyDescent="0.3">
      <c r="B133" s="68" t="s">
        <v>434</v>
      </c>
      <c r="F133" s="66">
        <f>F124/12*6</f>
        <v>2334000</v>
      </c>
    </row>
    <row r="134" spans="2:6" x14ac:dyDescent="0.3">
      <c r="B134" s="68" t="s">
        <v>435</v>
      </c>
      <c r="F134" s="66">
        <f>F125/12*6</f>
        <v>1556000</v>
      </c>
    </row>
    <row r="135" spans="2:6" x14ac:dyDescent="0.3">
      <c r="B135" s="308" t="s">
        <v>26</v>
      </c>
      <c r="F135" s="309">
        <f>F133+F134</f>
        <v>3890000</v>
      </c>
    </row>
    <row r="136" spans="2:6" x14ac:dyDescent="0.3">
      <c r="B136" t="s">
        <v>407</v>
      </c>
    </row>
    <row r="137" spans="2:6" x14ac:dyDescent="0.3">
      <c r="B137" s="68" t="s">
        <v>434</v>
      </c>
      <c r="F137" s="66">
        <f>F128/12*4</f>
        <v>1940000</v>
      </c>
    </row>
    <row r="138" spans="2:6" x14ac:dyDescent="0.3">
      <c r="B138" s="68" t="s">
        <v>435</v>
      </c>
      <c r="F138" s="66">
        <f>F129/12*4</f>
        <v>1293333.3333333333</v>
      </c>
    </row>
    <row r="139" spans="2:6" x14ac:dyDescent="0.3">
      <c r="B139" s="308" t="s">
        <v>26</v>
      </c>
      <c r="F139" s="309">
        <f>F137+F138</f>
        <v>3233333.333333333</v>
      </c>
    </row>
  </sheetData>
  <mergeCells count="14">
    <mergeCell ref="P8:R8"/>
    <mergeCell ref="B65:B66"/>
    <mergeCell ref="C65:C66"/>
    <mergeCell ref="D65:F65"/>
    <mergeCell ref="G65:I65"/>
    <mergeCell ref="J65:L65"/>
    <mergeCell ref="M65:O65"/>
    <mergeCell ref="P65:R65"/>
    <mergeCell ref="B8:B9"/>
    <mergeCell ref="C8:C9"/>
    <mergeCell ref="D8:F8"/>
    <mergeCell ref="G8:I8"/>
    <mergeCell ref="J8:L8"/>
    <mergeCell ref="M8:O8"/>
  </mergeCells>
  <phoneticPr fontId="10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K24"/>
  <sheetViews>
    <sheetView workbookViewId="0">
      <selection activeCell="C16" sqref="C16"/>
    </sheetView>
  </sheetViews>
  <sheetFormatPr defaultRowHeight="14.4" x14ac:dyDescent="0.3"/>
  <cols>
    <col min="1" max="1" width="5" customWidth="1"/>
    <col min="2" max="2" width="35.33203125" customWidth="1"/>
    <col min="3" max="4" width="16.88671875" bestFit="1" customWidth="1"/>
    <col min="5" max="5" width="18" bestFit="1" customWidth="1"/>
    <col min="6" max="6" width="17.109375" customWidth="1"/>
    <col min="7" max="7" width="18.5546875" customWidth="1"/>
    <col min="9" max="9" width="16.88671875" bestFit="1" customWidth="1"/>
    <col min="10" max="10" width="11" customWidth="1"/>
  </cols>
  <sheetData>
    <row r="2" spans="2:11" x14ac:dyDescent="0.3">
      <c r="F2" s="67"/>
    </row>
    <row r="3" spans="2:11" x14ac:dyDescent="0.3">
      <c r="B3" t="s">
        <v>335</v>
      </c>
      <c r="C3" s="222">
        <v>40000000</v>
      </c>
      <c r="D3" s="222">
        <v>120000000</v>
      </c>
      <c r="E3" s="222">
        <v>200000000</v>
      </c>
      <c r="F3" s="222">
        <v>400000000</v>
      </c>
      <c r="G3" s="222">
        <v>560000000</v>
      </c>
      <c r="I3" t="s">
        <v>334</v>
      </c>
      <c r="J3" t="s">
        <v>336</v>
      </c>
      <c r="K3" s="221">
        <v>80</v>
      </c>
    </row>
    <row r="4" spans="2:11" x14ac:dyDescent="0.3">
      <c r="D4" s="70"/>
    </row>
    <row r="5" spans="2:11" s="1" customFormat="1" x14ac:dyDescent="0.3">
      <c r="C5" s="2" t="s">
        <v>117</v>
      </c>
      <c r="D5" s="2" t="s">
        <v>70</v>
      </c>
      <c r="E5" s="2" t="s">
        <v>71</v>
      </c>
      <c r="F5" s="2" t="s">
        <v>72</v>
      </c>
      <c r="G5" s="2" t="s">
        <v>73</v>
      </c>
    </row>
    <row r="6" spans="2:11" x14ac:dyDescent="0.3">
      <c r="B6" t="s">
        <v>121</v>
      </c>
    </row>
    <row r="7" spans="2:11" x14ac:dyDescent="0.3">
      <c r="B7" s="68" t="s">
        <v>118</v>
      </c>
      <c r="C7" s="47" t="s">
        <v>90</v>
      </c>
      <c r="D7" s="74">
        <v>0</v>
      </c>
      <c r="E7" s="74">
        <v>0.05</v>
      </c>
      <c r="F7" s="74">
        <v>0.08</v>
      </c>
      <c r="G7" s="74">
        <v>0.1</v>
      </c>
      <c r="J7" s="70"/>
    </row>
    <row r="8" spans="2:11" x14ac:dyDescent="0.3">
      <c r="B8" s="68" t="s">
        <v>8</v>
      </c>
      <c r="C8" s="67">
        <v>1</v>
      </c>
      <c r="D8" s="67">
        <f>100%-D7-SUM(D9:D10)</f>
        <v>0.8</v>
      </c>
      <c r="E8" s="67">
        <f>100%-E7-SUM(E9:E10)</f>
        <v>0.64999999999999991</v>
      </c>
      <c r="F8" s="67">
        <f>100%-F7-SUM(F9:F11)</f>
        <v>0.52</v>
      </c>
      <c r="G8" s="67">
        <f>100%-G7-SUM(G9:G11)</f>
        <v>0.52</v>
      </c>
      <c r="I8" s="70"/>
    </row>
    <row r="9" spans="2:11" x14ac:dyDescent="0.3">
      <c r="B9" s="68" t="s">
        <v>7</v>
      </c>
      <c r="C9" s="67"/>
      <c r="D9" s="67">
        <v>0.2</v>
      </c>
      <c r="E9" s="67">
        <v>0.25</v>
      </c>
      <c r="F9" s="67">
        <v>0.25</v>
      </c>
      <c r="G9" s="67">
        <v>0.18</v>
      </c>
      <c r="I9" s="70"/>
    </row>
    <row r="10" spans="2:11" x14ac:dyDescent="0.3">
      <c r="B10" s="68" t="s">
        <v>113</v>
      </c>
      <c r="C10" s="78" t="s">
        <v>90</v>
      </c>
      <c r="D10" s="67">
        <v>0</v>
      </c>
      <c r="E10" s="67">
        <v>0.05</v>
      </c>
      <c r="F10" s="67">
        <v>0.1</v>
      </c>
      <c r="G10" s="67">
        <v>0.12</v>
      </c>
      <c r="I10" s="70"/>
    </row>
    <row r="11" spans="2:11" x14ac:dyDescent="0.3">
      <c r="B11" s="68" t="s">
        <v>119</v>
      </c>
      <c r="C11" s="78" t="s">
        <v>90</v>
      </c>
      <c r="D11" s="78" t="s">
        <v>90</v>
      </c>
      <c r="E11" s="78" t="s">
        <v>90</v>
      </c>
      <c r="F11" s="67">
        <v>0.05</v>
      </c>
      <c r="G11" s="67">
        <v>0.08</v>
      </c>
      <c r="I11" s="70"/>
    </row>
    <row r="12" spans="2:11" ht="15" thickBot="1" x14ac:dyDescent="0.35">
      <c r="B12" s="75" t="s">
        <v>5</v>
      </c>
      <c r="C12" s="76">
        <f>SUM(C7:C11)</f>
        <v>1</v>
      </c>
      <c r="D12" s="76">
        <f>SUM(D7:D11)</f>
        <v>1</v>
      </c>
      <c r="E12" s="76">
        <f>SUM(E7:E11)</f>
        <v>1</v>
      </c>
      <c r="F12" s="76">
        <f>SUM(F7:F11)</f>
        <v>1</v>
      </c>
      <c r="G12" s="76">
        <f>SUM(G7:G11)</f>
        <v>1</v>
      </c>
    </row>
    <row r="13" spans="2:11" ht="15" thickTop="1" x14ac:dyDescent="0.3"/>
    <row r="14" spans="2:11" x14ac:dyDescent="0.3">
      <c r="B14" t="s">
        <v>402</v>
      </c>
    </row>
    <row r="15" spans="2:11" x14ac:dyDescent="0.3">
      <c r="B15" s="68" t="s">
        <v>118</v>
      </c>
      <c r="C15" s="78" t="s">
        <v>90</v>
      </c>
      <c r="D15" s="78">
        <f>$D$3*D7</f>
        <v>0</v>
      </c>
      <c r="E15" s="78">
        <f>$E$3*E7</f>
        <v>10000000</v>
      </c>
      <c r="F15" s="78">
        <f>$F$3*F7</f>
        <v>32000000</v>
      </c>
      <c r="G15" s="78">
        <f>$G$3*G7</f>
        <v>56000000</v>
      </c>
      <c r="I15" s="70"/>
    </row>
    <row r="16" spans="2:11" x14ac:dyDescent="0.3">
      <c r="B16" s="68" t="s">
        <v>8</v>
      </c>
      <c r="C16" s="78">
        <f>$C$3*C8*(1+'sensitivity analysis'!B3)</f>
        <v>40000000</v>
      </c>
      <c r="D16" s="78">
        <f>$D$3*D8*(1+'sensitivity analysis'!B3)</f>
        <v>96000000</v>
      </c>
      <c r="E16" s="78">
        <f>$E$3*E8*(1+'sensitivity analysis'!B3)</f>
        <v>129999999.99999999</v>
      </c>
      <c r="F16" s="78">
        <f>$F$3*F8*(1+'sensitivity analysis'!B3)</f>
        <v>208000000</v>
      </c>
      <c r="G16" s="78">
        <f>$G$3*G8*(1+'sensitivity analysis'!B3)</f>
        <v>291200000</v>
      </c>
    </row>
    <row r="17" spans="1:7" x14ac:dyDescent="0.3">
      <c r="B17" s="68" t="s">
        <v>7</v>
      </c>
      <c r="C17" s="78">
        <f>$C$3*C9</f>
        <v>0</v>
      </c>
      <c r="D17" s="78">
        <f>$D$3*D9</f>
        <v>24000000</v>
      </c>
      <c r="E17" s="78">
        <f>$E$3*E9</f>
        <v>50000000</v>
      </c>
      <c r="F17" s="78">
        <f>$F$3*F9</f>
        <v>100000000</v>
      </c>
      <c r="G17" s="78">
        <f>$G$3*G9</f>
        <v>100800000</v>
      </c>
    </row>
    <row r="18" spans="1:7" x14ac:dyDescent="0.3">
      <c r="B18" s="68" t="s">
        <v>113</v>
      </c>
      <c r="C18" s="78" t="s">
        <v>90</v>
      </c>
      <c r="D18" s="78">
        <f>$D$3*D10</f>
        <v>0</v>
      </c>
      <c r="E18" s="78">
        <f>$E$3*E10</f>
        <v>10000000</v>
      </c>
      <c r="F18" s="78">
        <f>$F$3*F10</f>
        <v>40000000</v>
      </c>
      <c r="G18" s="78">
        <f>$G$3*G10</f>
        <v>67200000</v>
      </c>
    </row>
    <row r="19" spans="1:7" x14ac:dyDescent="0.3">
      <c r="B19" s="68" t="s">
        <v>119</v>
      </c>
      <c r="C19" s="78"/>
      <c r="D19" s="78" t="s">
        <v>90</v>
      </c>
      <c r="E19" s="78"/>
      <c r="F19" s="78">
        <f>$F$3*F11</f>
        <v>20000000</v>
      </c>
      <c r="G19" s="78">
        <f>$G$3*G11</f>
        <v>44800000</v>
      </c>
    </row>
    <row r="20" spans="1:7" ht="15" thickBot="1" x14ac:dyDescent="0.35">
      <c r="B20" s="75" t="s">
        <v>5</v>
      </c>
      <c r="C20" s="77">
        <f>SUM(C15:C19)</f>
        <v>40000000</v>
      </c>
      <c r="D20" s="77">
        <f>SUM(D15:D19)</f>
        <v>120000000</v>
      </c>
      <c r="E20" s="77">
        <f>SUM(E15:E19)</f>
        <v>200000000</v>
      </c>
      <c r="F20" s="77">
        <f>SUM(F15:F19)</f>
        <v>400000000</v>
      </c>
      <c r="G20" s="77">
        <f>SUM(G15:G19)</f>
        <v>560000000</v>
      </c>
    </row>
    <row r="21" spans="1:7" ht="15" thickTop="1" x14ac:dyDescent="0.3"/>
    <row r="22" spans="1:7" x14ac:dyDescent="0.3">
      <c r="D22" s="71"/>
      <c r="E22" s="71"/>
    </row>
    <row r="23" spans="1:7" x14ac:dyDescent="0.3">
      <c r="D23" s="71"/>
    </row>
    <row r="24" spans="1:7" x14ac:dyDescent="0.3">
      <c r="A24" s="67"/>
      <c r="C24" s="71"/>
      <c r="D24" s="71"/>
      <c r="E24" s="71"/>
      <c r="F24" s="71"/>
      <c r="G24" s="7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7"/>
  <sheetViews>
    <sheetView workbookViewId="0">
      <pane xSplit="2" ySplit="2" topLeftCell="C103" activePane="bottomRight" state="frozen"/>
      <selection pane="topRight" activeCell="C1" sqref="C1"/>
      <selection pane="bottomLeft" activeCell="A3" sqref="A3"/>
      <selection pane="bottomRight" activeCell="H121" sqref="H121"/>
    </sheetView>
  </sheetViews>
  <sheetFormatPr defaultRowHeight="14.4" x14ac:dyDescent="0.3"/>
  <cols>
    <col min="1" max="1" width="8.88671875" customWidth="1"/>
    <col min="2" max="2" width="37.44140625" style="3" customWidth="1"/>
    <col min="3" max="3" width="15.109375" customWidth="1"/>
    <col min="4" max="4" width="18.88671875" customWidth="1"/>
    <col min="5" max="5" width="15.88671875" customWidth="1"/>
    <col min="6" max="8" width="12.6640625" customWidth="1"/>
    <col min="9" max="9" width="14.33203125" customWidth="1"/>
    <col min="10" max="10" width="12.33203125" customWidth="1"/>
    <col min="12" max="12" width="24.6640625" customWidth="1"/>
  </cols>
  <sheetData>
    <row r="1" spans="2:14" x14ac:dyDescent="0.3">
      <c r="B1" s="3" t="s">
        <v>385</v>
      </c>
    </row>
    <row r="2" spans="2:14" s="1" customFormat="1" x14ac:dyDescent="0.3">
      <c r="B2" s="4"/>
      <c r="C2" s="2" t="s">
        <v>111</v>
      </c>
      <c r="D2" s="2" t="s">
        <v>112</v>
      </c>
      <c r="E2" s="2" t="s">
        <v>1</v>
      </c>
      <c r="F2" s="2" t="s">
        <v>2</v>
      </c>
      <c r="G2" s="2" t="s">
        <v>3</v>
      </c>
      <c r="H2" s="2" t="s">
        <v>4</v>
      </c>
    </row>
    <row r="3" spans="2:14" x14ac:dyDescent="0.3">
      <c r="C3" s="8"/>
      <c r="D3" s="8"/>
      <c r="E3" s="8"/>
      <c r="F3" s="8"/>
      <c r="G3" s="8"/>
      <c r="H3" s="8"/>
    </row>
    <row r="4" spans="2:14" x14ac:dyDescent="0.3">
      <c r="B4" s="13" t="s">
        <v>10</v>
      </c>
      <c r="C4" s="7"/>
      <c r="D4" s="132">
        <v>5526458</v>
      </c>
      <c r="E4" s="132">
        <f>D7</f>
        <v>6451458</v>
      </c>
      <c r="F4" s="132">
        <f t="shared" ref="F4:H4" si="0">E7</f>
        <v>6736458</v>
      </c>
      <c r="G4" s="132">
        <f t="shared" si="0"/>
        <v>7161458</v>
      </c>
      <c r="H4" s="133">
        <f t="shared" si="0"/>
        <v>7486458</v>
      </c>
    </row>
    <row r="5" spans="2:14" x14ac:dyDescent="0.3">
      <c r="B5" s="15" t="s">
        <v>11</v>
      </c>
      <c r="D5" s="71">
        <f>D27</f>
        <v>925000</v>
      </c>
      <c r="E5" s="71">
        <f t="shared" ref="E5:H5" si="1">E27</f>
        <v>285000</v>
      </c>
      <c r="F5" s="71">
        <f t="shared" si="1"/>
        <v>425000</v>
      </c>
      <c r="G5" s="71">
        <f t="shared" si="1"/>
        <v>325000</v>
      </c>
      <c r="H5" s="128">
        <f t="shared" si="1"/>
        <v>325000</v>
      </c>
    </row>
    <row r="6" spans="2:14" x14ac:dyDescent="0.3">
      <c r="B6" s="15" t="s">
        <v>12</v>
      </c>
      <c r="H6" s="3"/>
    </row>
    <row r="7" spans="2:14" x14ac:dyDescent="0.3">
      <c r="B7" s="15" t="s">
        <v>13</v>
      </c>
      <c r="D7" s="99">
        <f t="shared" ref="D7:H7" si="2">D4+D5-D6</f>
        <v>6451458</v>
      </c>
      <c r="E7" s="99">
        <f t="shared" si="2"/>
        <v>6736458</v>
      </c>
      <c r="F7" s="99">
        <f t="shared" si="2"/>
        <v>7161458</v>
      </c>
      <c r="G7" s="99">
        <f t="shared" si="2"/>
        <v>7486458</v>
      </c>
      <c r="H7" s="131">
        <f t="shared" si="2"/>
        <v>7811458</v>
      </c>
    </row>
    <row r="8" spans="2:14" x14ac:dyDescent="0.3">
      <c r="B8" s="15"/>
      <c r="H8" s="3"/>
    </row>
    <row r="9" spans="2:14" x14ac:dyDescent="0.3">
      <c r="B9" s="118" t="s">
        <v>366</v>
      </c>
      <c r="D9" s="254">
        <v>1700000</v>
      </c>
      <c r="E9" s="254">
        <v>2000000</v>
      </c>
      <c r="F9" s="99">
        <v>20000000</v>
      </c>
      <c r="G9" s="99">
        <v>25000000</v>
      </c>
      <c r="H9" s="131"/>
    </row>
    <row r="10" spans="2:14" x14ac:dyDescent="0.3">
      <c r="B10" s="15"/>
      <c r="D10" s="71"/>
      <c r="H10" s="3"/>
      <c r="M10" s="142"/>
      <c r="N10" s="142"/>
    </row>
    <row r="11" spans="2:14" x14ac:dyDescent="0.3">
      <c r="B11" s="15" t="s">
        <v>229</v>
      </c>
      <c r="H11" s="3"/>
      <c r="L11" s="142"/>
    </row>
    <row r="12" spans="2:14" x14ac:dyDescent="0.3">
      <c r="B12" s="15" t="s">
        <v>15</v>
      </c>
      <c r="D12" s="99">
        <v>3569264</v>
      </c>
      <c r="E12" s="99">
        <f>D16</f>
        <v>4234736.8661000002</v>
      </c>
      <c r="F12" s="99">
        <f t="shared" ref="F12:H12" si="3">E16</f>
        <v>5332209.7971999999</v>
      </c>
      <c r="G12" s="99">
        <f t="shared" si="3"/>
        <v>7136048.9119999995</v>
      </c>
      <c r="H12" s="131">
        <f t="shared" si="3"/>
        <v>11122448.216800001</v>
      </c>
    </row>
    <row r="13" spans="2:14" x14ac:dyDescent="0.3">
      <c r="B13" s="15" t="s">
        <v>16</v>
      </c>
      <c r="D13" s="99">
        <f>SUM(D84:D88)</f>
        <v>507988.61609999998</v>
      </c>
      <c r="E13" s="99">
        <f>E92+SUM(E84:E88)</f>
        <v>1049977.6811000002</v>
      </c>
      <c r="F13" s="99">
        <f>F92+F93+SUM(F84:F88)</f>
        <v>733012.86479999998</v>
      </c>
      <c r="G13" s="254">
        <f>SUM(G84:G88)+SUM(G92:G94)+G99</f>
        <v>2708902.0548</v>
      </c>
      <c r="H13" s="273">
        <f>SUM(H84:H88)+SUM(H92:H95)+SUM(H99:H100)</f>
        <v>4985973.5608000001</v>
      </c>
      <c r="J13" s="143"/>
    </row>
    <row r="14" spans="2:14" x14ac:dyDescent="0.3">
      <c r="B14" s="15" t="s">
        <v>17</v>
      </c>
      <c r="D14" s="99">
        <f>D92</f>
        <v>157484.25</v>
      </c>
      <c r="E14" s="99">
        <f>E93</f>
        <v>47495.25</v>
      </c>
      <c r="F14" s="99">
        <f>F94+F99</f>
        <v>1070826.25</v>
      </c>
      <c r="G14" s="99">
        <f>G95+G100</f>
        <v>1277497.25</v>
      </c>
      <c r="H14" s="131">
        <f>H96</f>
        <v>27497.25</v>
      </c>
      <c r="M14" s="142"/>
    </row>
    <row r="15" spans="2:14" x14ac:dyDescent="0.3">
      <c r="B15" s="15" t="s">
        <v>18</v>
      </c>
      <c r="D15" s="99"/>
      <c r="E15" s="99"/>
      <c r="F15" s="99"/>
      <c r="G15" s="99"/>
      <c r="H15" s="131"/>
    </row>
    <row r="16" spans="2:14" x14ac:dyDescent="0.3">
      <c r="B16" s="15" t="s">
        <v>19</v>
      </c>
      <c r="D16" s="99">
        <f>D12+D13+D14-D15</f>
        <v>4234736.8661000002</v>
      </c>
      <c r="E16" s="99">
        <f t="shared" ref="E16:H16" si="4">E12+E13+E14-E15</f>
        <v>5332209.7971999999</v>
      </c>
      <c r="F16" s="99">
        <f t="shared" si="4"/>
        <v>7136048.9119999995</v>
      </c>
      <c r="G16" s="99">
        <f t="shared" si="4"/>
        <v>11122448.216800001</v>
      </c>
      <c r="H16" s="131">
        <f t="shared" si="4"/>
        <v>16135919.027600002</v>
      </c>
    </row>
    <row r="17" spans="1:10" x14ac:dyDescent="0.3">
      <c r="B17" s="15"/>
      <c r="H17" s="3"/>
    </row>
    <row r="18" spans="1:10" x14ac:dyDescent="0.3">
      <c r="B18" s="15" t="s">
        <v>20</v>
      </c>
      <c r="H18" s="3"/>
    </row>
    <row r="19" spans="1:10" x14ac:dyDescent="0.3">
      <c r="B19" s="15" t="s">
        <v>21</v>
      </c>
      <c r="D19">
        <f>C20</f>
        <v>0</v>
      </c>
      <c r="E19" s="99">
        <f t="shared" ref="E19:H19" si="5">D20</f>
        <v>3916721.1338999998</v>
      </c>
      <c r="F19" s="99">
        <f t="shared" si="5"/>
        <v>3404248.2028000001</v>
      </c>
      <c r="G19" s="99">
        <f t="shared" si="5"/>
        <v>20025409.088</v>
      </c>
      <c r="H19" s="131">
        <f t="shared" si="5"/>
        <v>21364009.783199999</v>
      </c>
    </row>
    <row r="20" spans="1:10" x14ac:dyDescent="0.3">
      <c r="B20" s="16" t="s">
        <v>13</v>
      </c>
      <c r="C20" s="1">
        <v>0</v>
      </c>
      <c r="D20" s="129">
        <f>D7+D9-D16</f>
        <v>3916721.1338999998</v>
      </c>
      <c r="E20" s="129">
        <f t="shared" ref="E20:H20" si="6">E7+E9-E16</f>
        <v>3404248.2028000001</v>
      </c>
      <c r="F20" s="129">
        <f t="shared" si="6"/>
        <v>20025409.088</v>
      </c>
      <c r="G20" s="129">
        <f t="shared" si="6"/>
        <v>21364009.783199999</v>
      </c>
      <c r="H20" s="130">
        <f t="shared" si="6"/>
        <v>-8324461.0276000015</v>
      </c>
      <c r="I20" s="71"/>
      <c r="J20" s="184"/>
    </row>
    <row r="21" spans="1:10" x14ac:dyDescent="0.3">
      <c r="D21" s="71"/>
      <c r="E21" s="71"/>
      <c r="F21" s="71"/>
      <c r="G21" s="71"/>
      <c r="H21" s="71"/>
    </row>
    <row r="23" spans="1:10" x14ac:dyDescent="0.3">
      <c r="B23" s="159" t="s">
        <v>22</v>
      </c>
      <c r="C23" s="7"/>
      <c r="D23" s="7"/>
      <c r="E23" s="7"/>
      <c r="F23" s="7"/>
      <c r="G23" s="7"/>
      <c r="H23" s="14"/>
    </row>
    <row r="24" spans="1:10" x14ac:dyDescent="0.3">
      <c r="A24" s="17">
        <v>20000</v>
      </c>
      <c r="B24" s="160" t="s">
        <v>23</v>
      </c>
      <c r="D24" s="99">
        <f>$A$24*D30</f>
        <v>400000</v>
      </c>
      <c r="E24" s="99">
        <f t="shared" ref="E24:H24" si="7">$A$24*E30</f>
        <v>80000</v>
      </c>
      <c r="F24" s="99">
        <f t="shared" si="7"/>
        <v>220000</v>
      </c>
      <c r="G24" s="99">
        <f t="shared" si="7"/>
        <v>40000</v>
      </c>
      <c r="H24" s="131">
        <f t="shared" si="7"/>
        <v>40000</v>
      </c>
    </row>
    <row r="25" spans="1:10" x14ac:dyDescent="0.3">
      <c r="A25" s="17">
        <v>40000</v>
      </c>
      <c r="B25" s="160" t="s">
        <v>24</v>
      </c>
      <c r="D25" s="99">
        <f>$A$25*D31</f>
        <v>520000</v>
      </c>
      <c r="E25" s="99">
        <f t="shared" ref="E25:H25" si="8">$A$25*E31</f>
        <v>200000</v>
      </c>
      <c r="F25" s="99">
        <f t="shared" si="8"/>
        <v>200000</v>
      </c>
      <c r="G25" s="99">
        <f t="shared" si="8"/>
        <v>280000</v>
      </c>
      <c r="H25" s="131">
        <f t="shared" si="8"/>
        <v>280000</v>
      </c>
    </row>
    <row r="26" spans="1:10" x14ac:dyDescent="0.3">
      <c r="A26" s="17">
        <v>5000</v>
      </c>
      <c r="B26" s="160" t="s">
        <v>25</v>
      </c>
      <c r="D26" s="99">
        <f>$A$26*D32</f>
        <v>5000</v>
      </c>
      <c r="E26" s="99">
        <f t="shared" ref="E26:H26" si="9">$A$26*E32</f>
        <v>5000</v>
      </c>
      <c r="F26" s="99">
        <f t="shared" si="9"/>
        <v>5000</v>
      </c>
      <c r="G26" s="99">
        <f t="shared" si="9"/>
        <v>5000</v>
      </c>
      <c r="H26" s="131">
        <f t="shared" si="9"/>
        <v>5000</v>
      </c>
    </row>
    <row r="27" spans="1:10" x14ac:dyDescent="0.3">
      <c r="B27" s="137" t="s">
        <v>26</v>
      </c>
      <c r="C27" s="1"/>
      <c r="D27" s="161">
        <f>SUM(D24:D26)</f>
        <v>925000</v>
      </c>
      <c r="E27" s="161">
        <f t="shared" ref="E27:H27" si="10">SUM(E24:E26)</f>
        <v>285000</v>
      </c>
      <c r="F27" s="161">
        <f t="shared" si="10"/>
        <v>425000</v>
      </c>
      <c r="G27" s="161">
        <f t="shared" si="10"/>
        <v>325000</v>
      </c>
      <c r="H27" s="162">
        <f t="shared" si="10"/>
        <v>325000</v>
      </c>
    </row>
    <row r="29" spans="1:10" x14ac:dyDescent="0.3">
      <c r="B29" s="163" t="s">
        <v>27</v>
      </c>
      <c r="C29" s="7"/>
      <c r="D29" s="7"/>
      <c r="E29" s="7"/>
      <c r="F29" s="7"/>
      <c r="G29" s="7"/>
      <c r="H29" s="14"/>
    </row>
    <row r="30" spans="1:10" x14ac:dyDescent="0.3">
      <c r="B30" s="164" t="s">
        <v>23</v>
      </c>
      <c r="D30">
        <f>'Ppl Cost_Original'!D56</f>
        <v>20</v>
      </c>
      <c r="E30">
        <f>'Ppl Cost_Original'!G56</f>
        <v>4</v>
      </c>
      <c r="F30">
        <f>'Ppl Cost_Original'!J56</f>
        <v>11</v>
      </c>
      <c r="G30">
        <f>'Ppl Cost_Original'!M56</f>
        <v>2</v>
      </c>
      <c r="H30" s="3">
        <f>'Ppl Cost_Original'!P56</f>
        <v>2</v>
      </c>
    </row>
    <row r="31" spans="1:10" x14ac:dyDescent="0.3">
      <c r="B31" s="164" t="s">
        <v>24</v>
      </c>
      <c r="D31">
        <f>'Ppl Cost_Original'!D57</f>
        <v>13</v>
      </c>
      <c r="E31">
        <f>'Ppl Cost_Original'!G57</f>
        <v>5</v>
      </c>
      <c r="F31">
        <f>'Ppl Cost_Original'!J57</f>
        <v>5</v>
      </c>
      <c r="G31">
        <f>'Ppl Cost_Original'!M57</f>
        <v>7</v>
      </c>
      <c r="H31" s="3">
        <f>'Ppl Cost_Original'!P57</f>
        <v>7</v>
      </c>
    </row>
    <row r="32" spans="1:10" x14ac:dyDescent="0.3">
      <c r="B32" s="164" t="s">
        <v>25</v>
      </c>
      <c r="D32">
        <v>1</v>
      </c>
      <c r="E32">
        <v>1</v>
      </c>
      <c r="F32">
        <v>1</v>
      </c>
      <c r="G32">
        <v>1</v>
      </c>
      <c r="H32" s="3">
        <v>1</v>
      </c>
    </row>
    <row r="33" spans="2:8" x14ac:dyDescent="0.3">
      <c r="B33" s="151" t="s">
        <v>26</v>
      </c>
      <c r="C33" s="1"/>
      <c r="D33" s="1">
        <f>SUM(D30:D32)</f>
        <v>34</v>
      </c>
      <c r="E33" s="1">
        <f t="shared" ref="E33:H33" si="11">SUM(E30:E32)</f>
        <v>10</v>
      </c>
      <c r="F33" s="1">
        <f t="shared" si="11"/>
        <v>17</v>
      </c>
      <c r="G33" s="1">
        <f t="shared" si="11"/>
        <v>10</v>
      </c>
      <c r="H33" s="4">
        <f t="shared" si="11"/>
        <v>10</v>
      </c>
    </row>
    <row r="35" spans="2:8" hidden="1" x14ac:dyDescent="0.3">
      <c r="B35" s="18" t="s">
        <v>28</v>
      </c>
      <c r="C35" s="7"/>
      <c r="D35" s="7"/>
      <c r="E35" s="7"/>
      <c r="F35" s="7"/>
      <c r="G35" s="7"/>
      <c r="H35" s="14"/>
    </row>
    <row r="36" spans="2:8" hidden="1" x14ac:dyDescent="0.3">
      <c r="B36" s="19" t="s">
        <v>23</v>
      </c>
      <c r="H36" s="3"/>
    </row>
    <row r="37" spans="2:8" hidden="1" x14ac:dyDescent="0.3">
      <c r="B37" s="19" t="s">
        <v>24</v>
      </c>
      <c r="H37" s="3"/>
    </row>
    <row r="38" spans="2:8" hidden="1" x14ac:dyDescent="0.3">
      <c r="B38" s="20" t="s">
        <v>25</v>
      </c>
      <c r="C38" s="1"/>
      <c r="D38" s="1"/>
      <c r="E38" s="1"/>
      <c r="F38" s="1"/>
      <c r="G38" s="1"/>
      <c r="H38" s="4"/>
    </row>
    <row r="39" spans="2:8" hidden="1" x14ac:dyDescent="0.3">
      <c r="B39" s="21"/>
    </row>
    <row r="40" spans="2:8" hidden="1" x14ac:dyDescent="0.3">
      <c r="B40" s="18" t="s">
        <v>68</v>
      </c>
      <c r="C40" s="7"/>
      <c r="D40" s="7"/>
      <c r="E40" s="7"/>
      <c r="F40" s="7"/>
      <c r="G40" s="7"/>
      <c r="H40" s="14"/>
    </row>
    <row r="41" spans="2:8" hidden="1" x14ac:dyDescent="0.3">
      <c r="B41" s="19" t="s">
        <v>23</v>
      </c>
      <c r="H41" s="3"/>
    </row>
    <row r="42" spans="2:8" hidden="1" x14ac:dyDescent="0.3">
      <c r="B42" s="19" t="s">
        <v>24</v>
      </c>
      <c r="H42" s="3"/>
    </row>
    <row r="43" spans="2:8" hidden="1" x14ac:dyDescent="0.3">
      <c r="B43" s="20" t="s">
        <v>25</v>
      </c>
      <c r="C43" s="1"/>
      <c r="D43" s="1"/>
      <c r="E43" s="1"/>
      <c r="F43" s="1"/>
      <c r="G43" s="1"/>
      <c r="H43" s="4"/>
    </row>
    <row r="44" spans="2:8" hidden="1" x14ac:dyDescent="0.3">
      <c r="B44" s="21"/>
    </row>
    <row r="45" spans="2:8" hidden="1" x14ac:dyDescent="0.3">
      <c r="B45" s="18" t="s">
        <v>29</v>
      </c>
      <c r="C45" s="7"/>
      <c r="D45" s="7"/>
      <c r="E45" s="7"/>
      <c r="F45" s="7"/>
      <c r="G45" s="7"/>
      <c r="H45" s="14"/>
    </row>
    <row r="46" spans="2:8" hidden="1" x14ac:dyDescent="0.3">
      <c r="B46" s="19" t="s">
        <v>23</v>
      </c>
      <c r="H46" s="3"/>
    </row>
    <row r="47" spans="2:8" hidden="1" x14ac:dyDescent="0.3">
      <c r="B47" s="19" t="s">
        <v>24</v>
      </c>
      <c r="H47" s="3"/>
    </row>
    <row r="48" spans="2:8" hidden="1" x14ac:dyDescent="0.3">
      <c r="B48" s="20" t="s">
        <v>25</v>
      </c>
      <c r="C48" s="1"/>
      <c r="D48" s="1"/>
      <c r="E48" s="1"/>
      <c r="F48" s="1"/>
      <c r="G48" s="1"/>
      <c r="H48" s="4"/>
    </row>
    <row r="49" spans="2:8" hidden="1" x14ac:dyDescent="0.3"/>
    <row r="50" spans="2:8" hidden="1" x14ac:dyDescent="0.3">
      <c r="B50" s="18" t="s">
        <v>115</v>
      </c>
      <c r="C50" s="7"/>
      <c r="D50" s="7"/>
      <c r="E50" s="7"/>
      <c r="F50" s="7"/>
      <c r="G50" s="7"/>
      <c r="H50" s="14"/>
    </row>
    <row r="51" spans="2:8" hidden="1" x14ac:dyDescent="0.3">
      <c r="B51" s="19" t="s">
        <v>23</v>
      </c>
      <c r="H51" s="3"/>
    </row>
    <row r="52" spans="2:8" hidden="1" x14ac:dyDescent="0.3">
      <c r="B52" s="19" t="s">
        <v>24</v>
      </c>
      <c r="H52" s="3"/>
    </row>
    <row r="53" spans="2:8" hidden="1" x14ac:dyDescent="0.3">
      <c r="B53" s="20" t="s">
        <v>25</v>
      </c>
      <c r="C53" s="1"/>
      <c r="D53" s="1"/>
      <c r="E53" s="1"/>
      <c r="F53" s="1"/>
      <c r="G53" s="1"/>
      <c r="H53" s="4"/>
    </row>
    <row r="54" spans="2:8" hidden="1" x14ac:dyDescent="0.3"/>
    <row r="55" spans="2:8" hidden="1" x14ac:dyDescent="0.3"/>
    <row r="56" spans="2:8" hidden="1" x14ac:dyDescent="0.3">
      <c r="B56" s="3" t="s">
        <v>116</v>
      </c>
      <c r="E56" s="67">
        <v>0.1</v>
      </c>
      <c r="F56" s="67">
        <v>0.1</v>
      </c>
      <c r="G56" s="67">
        <v>0.1</v>
      </c>
      <c r="H56" s="67">
        <v>0.1</v>
      </c>
    </row>
    <row r="57" spans="2:8" hidden="1" x14ac:dyDescent="0.3"/>
    <row r="58" spans="2:8" s="7" customFormat="1" hidden="1" x14ac:dyDescent="0.3">
      <c r="B58" s="49" t="s">
        <v>75</v>
      </c>
    </row>
    <row r="59" spans="2:8" hidden="1" x14ac:dyDescent="0.3">
      <c r="B59" s="3" t="s">
        <v>79</v>
      </c>
      <c r="C59" s="50" t="s">
        <v>83</v>
      </c>
      <c r="D59" s="50"/>
      <c r="E59" s="50" t="s">
        <v>82</v>
      </c>
    </row>
    <row r="60" spans="2:8" hidden="1" x14ac:dyDescent="0.3">
      <c r="B60" s="26" t="s">
        <v>6</v>
      </c>
      <c r="C60" s="47" t="s">
        <v>84</v>
      </c>
      <c r="D60" s="47"/>
      <c r="E60" s="47" t="s">
        <v>78</v>
      </c>
    </row>
    <row r="61" spans="2:8" hidden="1" x14ac:dyDescent="0.3">
      <c r="B61" s="26" t="s">
        <v>8</v>
      </c>
      <c r="C61" s="47" t="s">
        <v>89</v>
      </c>
      <c r="D61" s="47"/>
      <c r="E61" s="47" t="s">
        <v>90</v>
      </c>
    </row>
    <row r="62" spans="2:8" hidden="1" x14ac:dyDescent="0.3">
      <c r="B62" s="26" t="s">
        <v>7</v>
      </c>
      <c r="C62" s="47" t="s">
        <v>86</v>
      </c>
      <c r="D62" s="47"/>
      <c r="E62" s="47" t="s">
        <v>85</v>
      </c>
      <c r="G62" s="47" t="s">
        <v>189</v>
      </c>
    </row>
    <row r="63" spans="2:8" hidden="1" x14ac:dyDescent="0.3">
      <c r="B63" s="26" t="s">
        <v>74</v>
      </c>
      <c r="C63" s="47" t="s">
        <v>87</v>
      </c>
      <c r="D63" s="47"/>
      <c r="E63" s="47" t="s">
        <v>88</v>
      </c>
    </row>
    <row r="64" spans="2:8" hidden="1" x14ac:dyDescent="0.3">
      <c r="B64" s="26" t="s">
        <v>9</v>
      </c>
      <c r="C64" s="47" t="s">
        <v>76</v>
      </c>
      <c r="D64" s="47"/>
      <c r="E64" s="47" t="s">
        <v>77</v>
      </c>
    </row>
    <row r="65" spans="2:10" hidden="1" x14ac:dyDescent="0.3"/>
    <row r="66" spans="2:10" hidden="1" x14ac:dyDescent="0.3">
      <c r="B66" s="3" t="s">
        <v>80</v>
      </c>
    </row>
    <row r="67" spans="2:10" hidden="1" x14ac:dyDescent="0.3">
      <c r="B67" s="26" t="s">
        <v>6</v>
      </c>
      <c r="C67" s="48">
        <v>48000</v>
      </c>
      <c r="D67" s="48"/>
      <c r="E67" s="47" t="s">
        <v>92</v>
      </c>
    </row>
    <row r="68" spans="2:10" hidden="1" x14ac:dyDescent="0.3">
      <c r="B68" s="26" t="s">
        <v>8</v>
      </c>
      <c r="C68" s="47" t="s">
        <v>93</v>
      </c>
      <c r="D68" s="47"/>
      <c r="E68" s="47" t="s">
        <v>90</v>
      </c>
    </row>
    <row r="69" spans="2:10" hidden="1" x14ac:dyDescent="0.3">
      <c r="B69" s="26" t="s">
        <v>7</v>
      </c>
      <c r="C69" s="47" t="s">
        <v>94</v>
      </c>
      <c r="D69" s="47"/>
      <c r="E69" s="47" t="s">
        <v>95</v>
      </c>
      <c r="G69" s="47" t="s">
        <v>188</v>
      </c>
    </row>
    <row r="70" spans="2:10" hidden="1" x14ac:dyDescent="0.3">
      <c r="B70" s="26" t="s">
        <v>74</v>
      </c>
      <c r="C70" s="47" t="s">
        <v>99</v>
      </c>
      <c r="D70" s="47"/>
      <c r="E70" s="47" t="s">
        <v>98</v>
      </c>
    </row>
    <row r="71" spans="2:10" hidden="1" x14ac:dyDescent="0.3">
      <c r="B71" s="26" t="s">
        <v>9</v>
      </c>
      <c r="C71" s="47" t="s">
        <v>97</v>
      </c>
      <c r="D71" s="47"/>
      <c r="E71" s="47" t="s">
        <v>96</v>
      </c>
    </row>
    <row r="72" spans="2:10" hidden="1" x14ac:dyDescent="0.3"/>
    <row r="73" spans="2:10" hidden="1" x14ac:dyDescent="0.3">
      <c r="B73" s="3" t="s">
        <v>81</v>
      </c>
    </row>
    <row r="74" spans="2:10" hidden="1" x14ac:dyDescent="0.3">
      <c r="B74" s="26" t="s">
        <v>6</v>
      </c>
      <c r="C74" s="47"/>
      <c r="D74" s="47"/>
      <c r="E74" s="47"/>
    </row>
    <row r="75" spans="2:10" hidden="1" x14ac:dyDescent="0.3">
      <c r="B75" s="26" t="s">
        <v>8</v>
      </c>
      <c r="C75" s="47" t="s">
        <v>100</v>
      </c>
      <c r="D75" s="47"/>
      <c r="E75" s="47"/>
    </row>
    <row r="76" spans="2:10" hidden="1" x14ac:dyDescent="0.3">
      <c r="B76" s="26" t="s">
        <v>7</v>
      </c>
      <c r="C76" s="47" t="s">
        <v>102</v>
      </c>
      <c r="D76" s="47"/>
      <c r="E76" s="47" t="s">
        <v>101</v>
      </c>
      <c r="G76" s="47" t="s">
        <v>190</v>
      </c>
    </row>
    <row r="77" spans="2:10" hidden="1" x14ac:dyDescent="0.3">
      <c r="B77" s="26" t="s">
        <v>74</v>
      </c>
      <c r="C77" s="47" t="s">
        <v>106</v>
      </c>
      <c r="D77" s="47"/>
      <c r="E77" s="47" t="s">
        <v>105</v>
      </c>
    </row>
    <row r="78" spans="2:10" hidden="1" x14ac:dyDescent="0.3">
      <c r="B78" s="26" t="s">
        <v>9</v>
      </c>
      <c r="C78" s="47" t="s">
        <v>104</v>
      </c>
      <c r="D78" s="47"/>
      <c r="E78" s="47" t="s">
        <v>103</v>
      </c>
    </row>
    <row r="80" spans="2:10" x14ac:dyDescent="0.3">
      <c r="B80" s="329" t="s">
        <v>244</v>
      </c>
      <c r="C80" s="329"/>
      <c r="D80" s="329"/>
      <c r="E80" s="329"/>
      <c r="F80" s="329"/>
      <c r="G80" s="329"/>
      <c r="H80" s="329"/>
      <c r="I80" s="329"/>
      <c r="J80" s="310"/>
    </row>
    <row r="81" spans="2:12" x14ac:dyDescent="0.3">
      <c r="B81" s="144"/>
      <c r="C81" s="145"/>
      <c r="D81" s="145"/>
      <c r="E81" s="145"/>
      <c r="F81" s="145"/>
      <c r="G81" s="145"/>
      <c r="H81" s="145"/>
      <c r="I81" s="145"/>
      <c r="J81" s="145"/>
    </row>
    <row r="82" spans="2:12" x14ac:dyDescent="0.3">
      <c r="B82" s="146" t="s">
        <v>245</v>
      </c>
      <c r="C82" s="147" t="s">
        <v>246</v>
      </c>
      <c r="D82" s="146" t="s">
        <v>112</v>
      </c>
      <c r="E82" s="146" t="s">
        <v>1</v>
      </c>
      <c r="F82" s="146" t="s">
        <v>2</v>
      </c>
      <c r="G82" s="146" t="s">
        <v>3</v>
      </c>
      <c r="H82" s="146" t="s">
        <v>4</v>
      </c>
      <c r="I82" s="146" t="s">
        <v>247</v>
      </c>
      <c r="J82" s="146" t="s">
        <v>20</v>
      </c>
    </row>
    <row r="83" spans="2:12" x14ac:dyDescent="0.3">
      <c r="B83" s="146" t="s">
        <v>396</v>
      </c>
      <c r="C83" s="147"/>
      <c r="D83" s="146"/>
      <c r="E83" s="146"/>
      <c r="F83" s="146"/>
      <c r="G83" s="146"/>
      <c r="H83" s="146"/>
      <c r="I83" s="146"/>
      <c r="J83" s="146"/>
      <c r="L83" t="s">
        <v>401</v>
      </c>
    </row>
    <row r="84" spans="2:12" x14ac:dyDescent="0.3">
      <c r="B84" s="148" t="s">
        <v>391</v>
      </c>
      <c r="C84" s="252">
        <v>1708444</v>
      </c>
      <c r="D84" s="149">
        <f>(C84*C113)/2</f>
        <v>45273.765999999996</v>
      </c>
      <c r="E84" s="149">
        <f>$C$84*$C$113</f>
        <v>90547.531999999992</v>
      </c>
      <c r="F84" s="149">
        <f>$C$84*$C$113</f>
        <v>90547.531999999992</v>
      </c>
      <c r="G84" s="149">
        <f>$C$84*$C$113</f>
        <v>90547.531999999992</v>
      </c>
      <c r="H84" s="149">
        <f>C84-L84-SUM(D84:G84)</f>
        <v>36928.638000000035</v>
      </c>
      <c r="I84" s="150">
        <f t="shared" ref="I84:I88" si="12">SUM(D84:H84)</f>
        <v>353845</v>
      </c>
      <c r="J84" s="150">
        <f>C84-I84-L84</f>
        <v>0</v>
      </c>
      <c r="L84" s="66">
        <v>1354599</v>
      </c>
    </row>
    <row r="85" spans="2:12" x14ac:dyDescent="0.3">
      <c r="B85" s="148" t="s">
        <v>392</v>
      </c>
      <c r="C85" s="252">
        <v>820800</v>
      </c>
      <c r="D85" s="149">
        <f>(C85*C114)/2</f>
        <v>38577.599999999999</v>
      </c>
      <c r="E85" s="149">
        <f>$C$85*$C$114</f>
        <v>77155.199999999997</v>
      </c>
      <c r="F85" s="149">
        <f>$C$85*$C$114</f>
        <v>77155.199999999997</v>
      </c>
      <c r="G85" s="149">
        <f t="shared" ref="G85:H85" si="13">$C$85*$C$114</f>
        <v>77155.199999999997</v>
      </c>
      <c r="H85" s="149">
        <f t="shared" si="13"/>
        <v>77155.199999999997</v>
      </c>
      <c r="I85" s="150">
        <f t="shared" si="12"/>
        <v>347198.4</v>
      </c>
      <c r="J85" s="150">
        <f t="shared" ref="J85:J88" si="14">C85-I85-L85</f>
        <v>80070.599999999977</v>
      </c>
      <c r="L85" s="66">
        <v>393531</v>
      </c>
    </row>
    <row r="86" spans="2:12" x14ac:dyDescent="0.3">
      <c r="B86" s="148" t="s">
        <v>393</v>
      </c>
      <c r="C86" s="252">
        <v>2078978</v>
      </c>
      <c r="D86" s="149">
        <f>(C86*C115)/2</f>
        <v>346461.68369999999</v>
      </c>
      <c r="E86" s="149">
        <f>C86-D86-L86</f>
        <v>411955.31630000006</v>
      </c>
      <c r="F86" s="149">
        <v>0</v>
      </c>
      <c r="G86" s="149">
        <v>0</v>
      </c>
      <c r="H86" s="256">
        <v>0</v>
      </c>
      <c r="I86" s="150">
        <f t="shared" si="12"/>
        <v>758417</v>
      </c>
      <c r="J86" s="150">
        <f t="shared" si="14"/>
        <v>0</v>
      </c>
      <c r="L86" s="66">
        <v>1320561</v>
      </c>
    </row>
    <row r="87" spans="2:12" x14ac:dyDescent="0.3">
      <c r="B87" s="148" t="s">
        <v>394</v>
      </c>
      <c r="C87" s="252">
        <v>111420</v>
      </c>
      <c r="D87" s="149">
        <f>(C87*C116)/2</f>
        <v>13816.08</v>
      </c>
      <c r="E87" s="149">
        <f>$C$87*$C$116</f>
        <v>27632.16</v>
      </c>
      <c r="F87" s="149">
        <f>$C$87*$C$116</f>
        <v>27632.16</v>
      </c>
      <c r="G87" s="149">
        <f>C87-SUM(D87:F87)-L87</f>
        <v>19258.600000000006</v>
      </c>
      <c r="H87" s="149">
        <v>0</v>
      </c>
      <c r="I87" s="150">
        <f t="shared" si="12"/>
        <v>88339</v>
      </c>
      <c r="J87" s="150">
        <f t="shared" si="14"/>
        <v>0</v>
      </c>
      <c r="L87" s="66">
        <v>23081</v>
      </c>
    </row>
    <row r="88" spans="2:12" x14ac:dyDescent="0.3">
      <c r="B88" s="148" t="s">
        <v>395</v>
      </c>
      <c r="C88" s="252">
        <v>806816</v>
      </c>
      <c r="D88" s="149">
        <f>(C88*C117)/2</f>
        <v>63859.486400000002</v>
      </c>
      <c r="E88" s="149">
        <f>$C$88*$C$117</f>
        <v>127718.9728</v>
      </c>
      <c r="F88" s="149">
        <f>$C$88*$C$117</f>
        <v>127718.9728</v>
      </c>
      <c r="G88" s="149">
        <f>$C$88*$C$117</f>
        <v>127718.9728</v>
      </c>
      <c r="H88" s="149">
        <f>$C$88*$C$117</f>
        <v>127718.9728</v>
      </c>
      <c r="I88" s="150">
        <f t="shared" si="12"/>
        <v>574735.37760000001</v>
      </c>
      <c r="J88" s="150">
        <f t="shared" si="14"/>
        <v>232080.62239999999</v>
      </c>
    </row>
    <row r="89" spans="2:12" x14ac:dyDescent="0.3">
      <c r="B89" s="146"/>
      <c r="C89" s="147"/>
      <c r="D89" s="146"/>
      <c r="E89" s="146"/>
      <c r="F89" s="146"/>
      <c r="G89" s="146"/>
      <c r="H89" s="146"/>
      <c r="I89" s="146"/>
      <c r="J89" s="146"/>
    </row>
    <row r="90" spans="2:12" x14ac:dyDescent="0.3">
      <c r="B90" s="146"/>
      <c r="C90" s="147"/>
      <c r="D90" s="146"/>
      <c r="E90" s="146"/>
      <c r="F90" s="146"/>
      <c r="G90" s="146"/>
      <c r="H90" s="146"/>
      <c r="I90" s="146"/>
      <c r="J90" s="146"/>
    </row>
    <row r="91" spans="2:12" x14ac:dyDescent="0.3">
      <c r="B91" s="146" t="s">
        <v>397</v>
      </c>
      <c r="C91" s="147"/>
      <c r="D91" s="146"/>
      <c r="E91" s="146"/>
      <c r="F91" s="146"/>
      <c r="G91" s="146"/>
      <c r="H91" s="146"/>
      <c r="I91" s="146"/>
      <c r="J91" s="146"/>
    </row>
    <row r="92" spans="2:12" x14ac:dyDescent="0.3">
      <c r="B92" s="148" t="s">
        <v>248</v>
      </c>
      <c r="C92" s="150">
        <v>945000</v>
      </c>
      <c r="D92" s="149">
        <f>(C92*C106)/2</f>
        <v>157484.25</v>
      </c>
      <c r="E92" s="149">
        <f>$C$92*$C$106</f>
        <v>314968.5</v>
      </c>
      <c r="F92" s="149">
        <f>$C$92*$C$106</f>
        <v>314968.5</v>
      </c>
      <c r="G92" s="253">
        <f>C92-SUM(D92:F92)</f>
        <v>157578.75</v>
      </c>
      <c r="H92" s="253">
        <v>0</v>
      </c>
      <c r="I92" s="150">
        <f>SUM(D92:H92)</f>
        <v>945000</v>
      </c>
      <c r="J92" s="150">
        <f>C92-I92</f>
        <v>0</v>
      </c>
    </row>
    <row r="93" spans="2:12" x14ac:dyDescent="0.3">
      <c r="B93" s="148" t="s">
        <v>249</v>
      </c>
      <c r="C93" s="150">
        <v>285000</v>
      </c>
      <c r="D93" s="149">
        <v>0</v>
      </c>
      <c r="E93" s="149">
        <f>(C93*C106)/2</f>
        <v>47495.25</v>
      </c>
      <c r="F93" s="149">
        <f>$C$93*$C$106</f>
        <v>94990.5</v>
      </c>
      <c r="G93" s="253">
        <f>$C$93*$C$106</f>
        <v>94990.5</v>
      </c>
      <c r="H93" s="253">
        <f>C93-SUM(D93:G93)</f>
        <v>47523.75</v>
      </c>
      <c r="I93" s="150">
        <f>SUM(D93:H93)</f>
        <v>285000</v>
      </c>
      <c r="J93" s="150">
        <f t="shared" ref="J93:J96" si="15">C93-I93</f>
        <v>0</v>
      </c>
    </row>
    <row r="94" spans="2:12" x14ac:dyDescent="0.3">
      <c r="B94" s="148" t="s">
        <v>250</v>
      </c>
      <c r="C94" s="150">
        <v>425000</v>
      </c>
      <c r="D94" s="149">
        <v>0</v>
      </c>
      <c r="E94" s="149">
        <v>0</v>
      </c>
      <c r="F94" s="149">
        <f>(C94*C106)/2</f>
        <v>70826.25</v>
      </c>
      <c r="G94" s="149">
        <f>$C$94*$C$106</f>
        <v>141652.5</v>
      </c>
      <c r="H94" s="149">
        <f>$C$94*$C$106</f>
        <v>141652.5</v>
      </c>
      <c r="I94" s="150">
        <f>SUM(D94:H94)</f>
        <v>354131.25</v>
      </c>
      <c r="J94" s="150">
        <f t="shared" si="15"/>
        <v>70868.75</v>
      </c>
    </row>
    <row r="95" spans="2:12" x14ac:dyDescent="0.3">
      <c r="B95" s="148" t="s">
        <v>251</v>
      </c>
      <c r="C95" s="150">
        <v>165000</v>
      </c>
      <c r="D95" s="149">
        <v>0</v>
      </c>
      <c r="E95" s="149">
        <v>0</v>
      </c>
      <c r="F95" s="149">
        <v>0</v>
      </c>
      <c r="G95" s="149">
        <f>(C95*C106)/2</f>
        <v>27497.25</v>
      </c>
      <c r="H95" s="149">
        <f>C95*C106</f>
        <v>54994.5</v>
      </c>
      <c r="I95" s="150">
        <f t="shared" ref="I95:I96" si="16">SUM(D95:H95)</f>
        <v>82491.75</v>
      </c>
      <c r="J95" s="150">
        <f t="shared" si="15"/>
        <v>82508.25</v>
      </c>
      <c r="L95" s="71"/>
    </row>
    <row r="96" spans="2:12" x14ac:dyDescent="0.3">
      <c r="B96" s="148" t="s">
        <v>252</v>
      </c>
      <c r="C96" s="150">
        <v>165000</v>
      </c>
      <c r="D96" s="149">
        <v>0</v>
      </c>
      <c r="E96" s="149">
        <v>0</v>
      </c>
      <c r="F96" s="149">
        <v>0</v>
      </c>
      <c r="G96" s="149">
        <v>0</v>
      </c>
      <c r="H96" s="149">
        <f>(C96*C106)/2</f>
        <v>27497.25</v>
      </c>
      <c r="I96" s="150">
        <f t="shared" si="16"/>
        <v>27497.25</v>
      </c>
      <c r="J96" s="150">
        <f t="shared" si="15"/>
        <v>137502.75</v>
      </c>
    </row>
    <row r="97" spans="2:10" x14ac:dyDescent="0.3">
      <c r="B97" s="148"/>
      <c r="C97" s="148"/>
      <c r="D97" s="148"/>
      <c r="E97" s="148"/>
      <c r="F97" s="148"/>
      <c r="G97" s="148"/>
      <c r="H97" s="148"/>
      <c r="I97" s="148"/>
      <c r="J97" s="148"/>
    </row>
    <row r="98" spans="2:10" x14ac:dyDescent="0.3">
      <c r="B98" s="178" t="s">
        <v>366</v>
      </c>
      <c r="C98" s="148"/>
      <c r="D98" s="149"/>
      <c r="E98" s="149"/>
      <c r="F98" s="149"/>
      <c r="G98" s="149"/>
      <c r="H98" s="148"/>
      <c r="I98" s="150"/>
      <c r="J98" s="149"/>
    </row>
    <row r="99" spans="2:10" x14ac:dyDescent="0.3">
      <c r="B99" s="148" t="s">
        <v>389</v>
      </c>
      <c r="C99" s="149">
        <v>20000000</v>
      </c>
      <c r="D99" s="149">
        <v>0</v>
      </c>
      <c r="E99" s="149">
        <v>0</v>
      </c>
      <c r="F99" s="149">
        <f>($C$99*$C$110)/2</f>
        <v>1000000</v>
      </c>
      <c r="G99" s="149">
        <f>$C$99*$C$110</f>
        <v>2000000</v>
      </c>
      <c r="H99" s="149">
        <f>$C$99*$C$110</f>
        <v>2000000</v>
      </c>
      <c r="I99" s="150">
        <f t="shared" ref="I99:I100" si="17">SUM(D99:H99)</f>
        <v>5000000</v>
      </c>
      <c r="J99" s="150">
        <f t="shared" ref="J99:J100" si="18">C99-I99</f>
        <v>15000000</v>
      </c>
    </row>
    <row r="100" spans="2:10" x14ac:dyDescent="0.3">
      <c r="B100" s="148" t="s">
        <v>390</v>
      </c>
      <c r="C100" s="149">
        <v>25000000</v>
      </c>
      <c r="D100" s="149">
        <v>0</v>
      </c>
      <c r="E100" s="149">
        <v>0</v>
      </c>
      <c r="F100" s="149"/>
      <c r="G100" s="149">
        <f>($C$100*$C$110)/2</f>
        <v>1250000</v>
      </c>
      <c r="H100" s="149">
        <f>(C100*C110)</f>
        <v>2500000</v>
      </c>
      <c r="I100" s="150">
        <f t="shared" si="17"/>
        <v>3750000</v>
      </c>
      <c r="J100" s="150">
        <f t="shared" si="18"/>
        <v>21250000</v>
      </c>
    </row>
    <row r="101" spans="2:10" x14ac:dyDescent="0.3">
      <c r="B101" s="148"/>
      <c r="C101" s="148"/>
      <c r="D101" s="148"/>
      <c r="E101" s="148"/>
      <c r="F101" s="148"/>
      <c r="G101" s="148"/>
      <c r="H101" s="148"/>
      <c r="I101" s="148"/>
      <c r="J101" s="148"/>
    </row>
    <row r="102" spans="2:10" x14ac:dyDescent="0.3">
      <c r="B102" s="148" t="s">
        <v>253</v>
      </c>
      <c r="C102" s="150">
        <f>SUM(C84:C100)</f>
        <v>52511458</v>
      </c>
      <c r="D102" s="150">
        <f t="shared" ref="D102:J102" si="19">SUM(D84:D100)</f>
        <v>665472.86609999998</v>
      </c>
      <c r="E102" s="150">
        <f t="shared" si="19"/>
        <v>1097472.9311000002</v>
      </c>
      <c r="F102" s="150">
        <f t="shared" si="19"/>
        <v>1803839.1148000001</v>
      </c>
      <c r="G102" s="150">
        <f t="shared" si="19"/>
        <v>3986399.3048</v>
      </c>
      <c r="H102" s="150">
        <f t="shared" si="19"/>
        <v>5013470.8108000001</v>
      </c>
      <c r="I102" s="150">
        <f t="shared" si="19"/>
        <v>12566655.0276</v>
      </c>
      <c r="J102" s="150">
        <f t="shared" si="19"/>
        <v>36853030.972400002</v>
      </c>
    </row>
    <row r="103" spans="2:10" x14ac:dyDescent="0.3">
      <c r="J103" s="71"/>
    </row>
    <row r="104" spans="2:10" x14ac:dyDescent="0.3">
      <c r="B104" s="263" t="s">
        <v>367</v>
      </c>
    </row>
    <row r="105" spans="2:10" x14ac:dyDescent="0.3">
      <c r="B105" s="3" t="s">
        <v>368</v>
      </c>
    </row>
    <row r="106" spans="2:10" x14ac:dyDescent="0.3">
      <c r="B106" s="3" t="s">
        <v>398</v>
      </c>
      <c r="C106" s="135">
        <v>0.33329999999999999</v>
      </c>
    </row>
    <row r="107" spans="2:10" x14ac:dyDescent="0.3">
      <c r="B107" s="3" t="s">
        <v>370</v>
      </c>
      <c r="C107" s="47" t="s">
        <v>388</v>
      </c>
    </row>
    <row r="109" spans="2:10" x14ac:dyDescent="0.3">
      <c r="B109" s="23" t="s">
        <v>366</v>
      </c>
    </row>
    <row r="110" spans="2:10" x14ac:dyDescent="0.3">
      <c r="B110" s="3" t="s">
        <v>369</v>
      </c>
      <c r="C110" s="67">
        <v>0.1</v>
      </c>
    </row>
    <row r="112" spans="2:10" x14ac:dyDescent="0.3">
      <c r="B112" s="8" t="s">
        <v>396</v>
      </c>
    </row>
    <row r="113" spans="2:3" x14ac:dyDescent="0.3">
      <c r="B113" t="s">
        <v>391</v>
      </c>
      <c r="C113" s="135">
        <v>5.2999999999999999E-2</v>
      </c>
    </row>
    <row r="114" spans="2:3" x14ac:dyDescent="0.3">
      <c r="B114" t="s">
        <v>392</v>
      </c>
      <c r="C114" s="135">
        <v>9.4E-2</v>
      </c>
    </row>
    <row r="115" spans="2:3" x14ac:dyDescent="0.3">
      <c r="B115" t="s">
        <v>393</v>
      </c>
      <c r="C115" s="135">
        <v>0.33329999999999999</v>
      </c>
    </row>
    <row r="116" spans="2:3" x14ac:dyDescent="0.3">
      <c r="B116" t="s">
        <v>394</v>
      </c>
      <c r="C116" s="135">
        <v>0.248</v>
      </c>
    </row>
    <row r="117" spans="2:3" x14ac:dyDescent="0.3">
      <c r="B117" t="s">
        <v>395</v>
      </c>
      <c r="C117" s="135">
        <v>0.1583</v>
      </c>
    </row>
  </sheetData>
  <mergeCells count="1">
    <mergeCell ref="B80:J8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P86"/>
  <sheetViews>
    <sheetView workbookViewId="0">
      <selection activeCell="G28" sqref="G28"/>
    </sheetView>
  </sheetViews>
  <sheetFormatPr defaultRowHeight="14.4" x14ac:dyDescent="0.3"/>
  <cols>
    <col min="1" max="1" width="3.44140625" customWidth="1"/>
    <col min="2" max="2" width="49" style="3" customWidth="1"/>
    <col min="3" max="3" width="14.6640625" customWidth="1"/>
    <col min="4" max="4" width="18" customWidth="1"/>
    <col min="5" max="5" width="15.6640625" customWidth="1"/>
    <col min="6" max="6" width="12.6640625" customWidth="1"/>
    <col min="7" max="7" width="15" customWidth="1"/>
    <col min="8" max="8" width="16.88671875" bestFit="1" customWidth="1"/>
    <col min="11" max="11" width="9.5546875" bestFit="1" customWidth="1"/>
    <col min="12" max="12" width="8.109375" customWidth="1"/>
    <col min="13" max="13" width="9.5546875" bestFit="1" customWidth="1"/>
    <col min="14" max="14" width="10.33203125" bestFit="1" customWidth="1"/>
    <col min="15" max="15" width="4.44140625" customWidth="1"/>
    <col min="16" max="16" width="10.33203125" bestFit="1" customWidth="1"/>
  </cols>
  <sheetData>
    <row r="1" spans="2:8" x14ac:dyDescent="0.3">
      <c r="B1" s="3" t="s">
        <v>385</v>
      </c>
    </row>
    <row r="2" spans="2:8" s="1" customFormat="1" x14ac:dyDescent="0.3">
      <c r="B2" s="4"/>
      <c r="C2" s="2"/>
      <c r="D2" s="2"/>
      <c r="E2" s="2"/>
      <c r="F2" s="2"/>
      <c r="G2" s="2"/>
    </row>
    <row r="3" spans="2:8" x14ac:dyDescent="0.3">
      <c r="B3" s="23" t="s">
        <v>30</v>
      </c>
    </row>
    <row r="4" spans="2:8" x14ac:dyDescent="0.3">
      <c r="B4" s="24"/>
      <c r="C4" s="229" t="s">
        <v>387</v>
      </c>
      <c r="D4" s="2" t="s">
        <v>112</v>
      </c>
      <c r="E4" s="2" t="s">
        <v>1</v>
      </c>
      <c r="F4" s="2" t="s">
        <v>2</v>
      </c>
      <c r="G4" s="2" t="s">
        <v>3</v>
      </c>
      <c r="H4" s="2" t="s">
        <v>4</v>
      </c>
    </row>
    <row r="5" spans="2:8" x14ac:dyDescent="0.3">
      <c r="B5" s="24"/>
      <c r="C5" s="8"/>
      <c r="D5" s="8"/>
      <c r="E5" s="8"/>
      <c r="F5" s="8"/>
      <c r="G5" s="8"/>
      <c r="H5" s="8"/>
    </row>
    <row r="6" spans="2:8" x14ac:dyDescent="0.3">
      <c r="B6" s="24" t="s">
        <v>172</v>
      </c>
      <c r="C6" s="99">
        <v>10336200</v>
      </c>
      <c r="D6" s="99">
        <f>C6</f>
        <v>10336200</v>
      </c>
      <c r="E6" s="99">
        <f t="shared" ref="E6:H6" si="0">D6</f>
        <v>10336200</v>
      </c>
      <c r="F6" s="99">
        <f t="shared" si="0"/>
        <v>10336200</v>
      </c>
      <c r="G6" s="99">
        <f t="shared" si="0"/>
        <v>10336200</v>
      </c>
      <c r="H6" s="99">
        <f t="shared" si="0"/>
        <v>10336200</v>
      </c>
    </row>
    <row r="7" spans="2:8" x14ac:dyDescent="0.3">
      <c r="B7" s="24"/>
      <c r="C7" s="8"/>
      <c r="D7" s="99"/>
      <c r="E7" s="71"/>
      <c r="F7" s="71"/>
      <c r="G7" s="71"/>
      <c r="H7" s="71"/>
    </row>
    <row r="8" spans="2:8" x14ac:dyDescent="0.3">
      <c r="B8" s="24" t="s">
        <v>173</v>
      </c>
      <c r="C8" s="8"/>
      <c r="D8" s="8"/>
      <c r="E8" s="8"/>
      <c r="F8" s="8"/>
      <c r="G8" s="8"/>
      <c r="H8" s="8"/>
    </row>
    <row r="9" spans="2:8" x14ac:dyDescent="0.3">
      <c r="B9" s="24" t="s">
        <v>174</v>
      </c>
      <c r="C9" s="8"/>
      <c r="D9" s="101">
        <f>C11</f>
        <v>16779585</v>
      </c>
      <c r="E9" s="71">
        <f>D11</f>
        <v>18010778.800566666</v>
      </c>
      <c r="F9" s="71">
        <f t="shared" ref="F9:H9" si="1">E11</f>
        <v>21575378.831552666</v>
      </c>
      <c r="G9" s="71">
        <f t="shared" si="1"/>
        <v>34130920.670091808</v>
      </c>
      <c r="H9" s="71">
        <f t="shared" si="1"/>
        <v>52778044.776925832</v>
      </c>
    </row>
    <row r="10" spans="2:8" x14ac:dyDescent="0.3">
      <c r="B10" s="24" t="s">
        <v>175</v>
      </c>
      <c r="C10" s="101"/>
      <c r="D10" s="101">
        <f>'PL-CONS'!D30</f>
        <v>1231193.8005666642</v>
      </c>
      <c r="E10" s="101">
        <f>'PL-CONS'!E30</f>
        <v>3564600.0309859999</v>
      </c>
      <c r="F10" s="101">
        <f>'PL-CONS'!F30</f>
        <v>12555541.838539142</v>
      </c>
      <c r="G10" s="101">
        <f>'PL-CONS'!G30</f>
        <v>18647124.106834028</v>
      </c>
      <c r="H10" s="101">
        <f>'PL-CONS'!H30</f>
        <v>43338178.989785008</v>
      </c>
    </row>
    <row r="11" spans="2:8" x14ac:dyDescent="0.3">
      <c r="B11" s="55" t="s">
        <v>176</v>
      </c>
      <c r="C11" s="262">
        <v>16779585</v>
      </c>
      <c r="D11" s="86">
        <f t="shared" ref="D11:H11" si="2">D9+D10</f>
        <v>18010778.800566666</v>
      </c>
      <c r="E11" s="86">
        <f t="shared" si="2"/>
        <v>21575378.831552666</v>
      </c>
      <c r="F11" s="86">
        <f t="shared" si="2"/>
        <v>34130920.670091808</v>
      </c>
      <c r="G11" s="86">
        <f t="shared" si="2"/>
        <v>52778044.776925832</v>
      </c>
      <c r="H11" s="86">
        <f t="shared" si="2"/>
        <v>96116223.766710848</v>
      </c>
    </row>
    <row r="12" spans="2:8" x14ac:dyDescent="0.3">
      <c r="B12" s="24"/>
      <c r="C12" s="71"/>
      <c r="D12" s="71"/>
      <c r="E12" s="71"/>
      <c r="F12" s="71"/>
      <c r="G12" s="71"/>
      <c r="H12" s="71"/>
    </row>
    <row r="13" spans="2:8" x14ac:dyDescent="0.3">
      <c r="B13" s="25" t="s">
        <v>31</v>
      </c>
    </row>
    <row r="14" spans="2:8" x14ac:dyDescent="0.3">
      <c r="B14" s="27" t="s">
        <v>32</v>
      </c>
      <c r="D14" s="99">
        <v>30</v>
      </c>
      <c r="E14" s="99">
        <v>30</v>
      </c>
      <c r="F14" s="99">
        <v>30</v>
      </c>
      <c r="G14" s="99">
        <v>30</v>
      </c>
      <c r="H14" s="99">
        <v>30</v>
      </c>
    </row>
    <row r="15" spans="2:8" x14ac:dyDescent="0.3">
      <c r="B15" s="251" t="s">
        <v>337</v>
      </c>
      <c r="C15" s="7"/>
      <c r="D15" s="132">
        <f>'PL-D2C'!D7</f>
        <v>27200000.000000004</v>
      </c>
      <c r="E15" s="132">
        <f>'PL-D2C'!E7</f>
        <v>64320000.000000007</v>
      </c>
      <c r="F15" s="132">
        <f>'PL-D2C'!F7</f>
        <v>85800000</v>
      </c>
      <c r="G15" s="132">
        <f>'PL-D2C'!G7</f>
        <v>133120000.00000003</v>
      </c>
      <c r="H15" s="132">
        <f>'PL-D2C'!H7</f>
        <v>183456000.00000003</v>
      </c>
    </row>
    <row r="16" spans="2:8" x14ac:dyDescent="0.3">
      <c r="B16" s="24" t="s">
        <v>31</v>
      </c>
      <c r="D16" s="99">
        <f>(D14*D15)/365</f>
        <v>2235616.4383561648</v>
      </c>
      <c r="E16" s="99">
        <f t="shared" ref="E16:H16" si="3">(E14*E15)/365</f>
        <v>5286575.3424657537</v>
      </c>
      <c r="F16" s="99">
        <f t="shared" si="3"/>
        <v>7052054.7945205476</v>
      </c>
      <c r="G16" s="99">
        <f t="shared" si="3"/>
        <v>10941369.863013702</v>
      </c>
      <c r="H16" s="99">
        <f t="shared" si="3"/>
        <v>15078575.342465756</v>
      </c>
    </row>
    <row r="17" spans="2:16" x14ac:dyDescent="0.3">
      <c r="B17" s="24"/>
      <c r="D17" s="99"/>
      <c r="E17" s="99"/>
      <c r="F17" s="99"/>
      <c r="G17" s="99"/>
      <c r="H17" s="99"/>
    </row>
    <row r="18" spans="2:16" x14ac:dyDescent="0.3">
      <c r="B18" s="24" t="s">
        <v>412</v>
      </c>
      <c r="C18" s="99">
        <v>33785780</v>
      </c>
      <c r="D18" s="99"/>
      <c r="E18" s="99"/>
      <c r="F18" s="99"/>
      <c r="G18" s="99"/>
      <c r="H18" s="99"/>
    </row>
    <row r="19" spans="2:16" x14ac:dyDescent="0.3">
      <c r="B19" s="24"/>
      <c r="D19" s="99"/>
      <c r="E19" s="99"/>
      <c r="F19" s="99"/>
      <c r="G19" s="99"/>
      <c r="H19" s="99"/>
    </row>
    <row r="20" spans="2:16" x14ac:dyDescent="0.3">
      <c r="B20" s="226" t="s">
        <v>338</v>
      </c>
      <c r="D20" s="154"/>
      <c r="E20" s="99"/>
      <c r="F20" s="99"/>
      <c r="G20" s="99"/>
      <c r="H20" s="99"/>
    </row>
    <row r="21" spans="2:16" x14ac:dyDescent="0.3">
      <c r="B21" s="24" t="s">
        <v>348</v>
      </c>
      <c r="D21" s="99"/>
      <c r="E21" s="99"/>
      <c r="F21" s="99"/>
      <c r="G21" s="99"/>
      <c r="H21" s="99"/>
    </row>
    <row r="22" spans="2:16" x14ac:dyDescent="0.3">
      <c r="B22" s="27" t="s">
        <v>349</v>
      </c>
      <c r="C22" s="99">
        <v>810182</v>
      </c>
      <c r="D22" s="99">
        <f>D23*'PL-D2C'!D3*2</f>
        <v>1918397.6217213278</v>
      </c>
      <c r="E22" s="99">
        <f>E23*'PL-D2C'!E3</f>
        <v>2302077.1460655932</v>
      </c>
      <c r="F22" s="99">
        <f>F23*'PL-D2C'!F3</f>
        <v>3117396.1352971573</v>
      </c>
      <c r="G22" s="99">
        <f>G23*'PL-D2C'!G3</f>
        <v>4987833.8164754519</v>
      </c>
      <c r="H22" s="99">
        <f>H23*'PL-D2C'!H3</f>
        <v>6982967.3430656334</v>
      </c>
    </row>
    <row r="23" spans="2:16" x14ac:dyDescent="0.3">
      <c r="B23" s="275" t="s">
        <v>255</v>
      </c>
      <c r="C23" s="99"/>
      <c r="D23" s="154">
        <f>$C$22/$C$18</f>
        <v>2.3979970271516597E-2</v>
      </c>
      <c r="E23" s="154">
        <f t="shared" ref="E23:H23" si="4">$C$22/$C$18</f>
        <v>2.3979970271516597E-2</v>
      </c>
      <c r="F23" s="154">
        <f t="shared" si="4"/>
        <v>2.3979970271516597E-2</v>
      </c>
      <c r="G23" s="154">
        <f t="shared" si="4"/>
        <v>2.3979970271516597E-2</v>
      </c>
      <c r="H23" s="154">
        <f t="shared" si="4"/>
        <v>2.3979970271516597E-2</v>
      </c>
    </row>
    <row r="24" spans="2:16" x14ac:dyDescent="0.3">
      <c r="B24" s="27" t="s">
        <v>350</v>
      </c>
      <c r="C24" s="99">
        <v>87634</v>
      </c>
      <c r="D24" s="99">
        <f>D25*'PL-D2C'!D3*2</f>
        <v>207505.05094154994</v>
      </c>
      <c r="E24" s="99">
        <f>E25*'PL-D2C'!E3</f>
        <v>249006.06112985994</v>
      </c>
      <c r="F24" s="99">
        <f>F25*'PL-D2C'!F3</f>
        <v>337195.70778001862</v>
      </c>
      <c r="G24" s="99">
        <f>G25*'PL-D2C'!G3</f>
        <v>539513.13244802982</v>
      </c>
      <c r="H24" s="99">
        <f>H25*'PL-D2C'!H3</f>
        <v>755318.3854272418</v>
      </c>
    </row>
    <row r="25" spans="2:16" x14ac:dyDescent="0.3">
      <c r="B25" s="275" t="s">
        <v>255</v>
      </c>
      <c r="C25" s="99"/>
      <c r="D25" s="155">
        <f>$C$24/$C$18</f>
        <v>2.5938131367693744E-3</v>
      </c>
      <c r="E25" s="155">
        <f t="shared" ref="E25:H25" si="5">$C$24/$C$18</f>
        <v>2.5938131367693744E-3</v>
      </c>
      <c r="F25" s="155">
        <f t="shared" si="5"/>
        <v>2.5938131367693744E-3</v>
      </c>
      <c r="G25" s="155">
        <f t="shared" si="5"/>
        <v>2.5938131367693744E-3</v>
      </c>
      <c r="H25" s="155">
        <f t="shared" si="5"/>
        <v>2.5938131367693744E-3</v>
      </c>
    </row>
    <row r="26" spans="2:16" x14ac:dyDescent="0.3">
      <c r="B26" s="227" t="s">
        <v>351</v>
      </c>
      <c r="C26" s="99">
        <v>3875511</v>
      </c>
      <c r="D26" s="99">
        <f>D27*'PL-D2C'!D3</f>
        <v>2000000</v>
      </c>
      <c r="E26" s="99">
        <f>E27*'PL-D2C'!E3</f>
        <v>4800000</v>
      </c>
      <c r="F26" s="99">
        <f>F27*'PL-D2C'!F3</f>
        <v>6500000</v>
      </c>
      <c r="G26" s="99">
        <f>G27*'PL-D2C'!G3</f>
        <v>10400000</v>
      </c>
      <c r="H26" s="99">
        <f>H27*'PL-D2C'!H3</f>
        <v>14560000</v>
      </c>
    </row>
    <row r="27" spans="2:16" x14ac:dyDescent="0.3">
      <c r="B27" s="275" t="s">
        <v>255</v>
      </c>
      <c r="C27" s="99"/>
      <c r="D27" s="154">
        <v>0.05</v>
      </c>
      <c r="E27" s="154">
        <v>0.05</v>
      </c>
      <c r="F27" s="154">
        <v>0.05</v>
      </c>
      <c r="G27" s="154">
        <v>0.05</v>
      </c>
      <c r="H27" s="154">
        <v>0.05</v>
      </c>
    </row>
    <row r="28" spans="2:16" x14ac:dyDescent="0.3">
      <c r="B28" s="227" t="s">
        <v>352</v>
      </c>
      <c r="C28" s="99">
        <v>6598539</v>
      </c>
      <c r="D28" s="99">
        <f>BS!D13-D22-D24-D26</f>
        <v>10471752.303092221</v>
      </c>
      <c r="E28" s="99">
        <f>BS!E13-E22-E24-E26</f>
        <v>11065584.022611871</v>
      </c>
      <c r="F28" s="99">
        <f>BS!F13-F22-F24-F26</f>
        <v>7248128.9329841621</v>
      </c>
      <c r="G28" s="99">
        <f>F28</f>
        <v>7248128.9329841621</v>
      </c>
      <c r="H28" s="99">
        <f t="shared" ref="H28" si="6">G28</f>
        <v>7248128.9329841621</v>
      </c>
      <c r="K28" s="71">
        <f>D28-C28</f>
        <v>3873213.3030922208</v>
      </c>
      <c r="L28" s="71">
        <f t="shared" ref="L28:O28" si="7">E28-D28</f>
        <v>593831.71951965056</v>
      </c>
      <c r="M28" s="71">
        <f t="shared" si="7"/>
        <v>-3817455.0896277092</v>
      </c>
      <c r="N28" s="71">
        <f t="shared" si="7"/>
        <v>0</v>
      </c>
      <c r="O28" s="71">
        <f t="shared" si="7"/>
        <v>0</v>
      </c>
      <c r="P28" s="71"/>
    </row>
    <row r="29" spans="2:16" x14ac:dyDescent="0.3">
      <c r="B29" s="55" t="s">
        <v>253</v>
      </c>
      <c r="C29" s="7"/>
      <c r="D29" s="132">
        <f>D22+D24+D26+D28</f>
        <v>14597654.975755099</v>
      </c>
      <c r="E29" s="132">
        <f t="shared" ref="E29:H29" si="8">E22+E24+E26+E28</f>
        <v>18416667.229807325</v>
      </c>
      <c r="F29" s="132">
        <f t="shared" si="8"/>
        <v>17202720.776061337</v>
      </c>
      <c r="G29" s="132">
        <f t="shared" si="8"/>
        <v>23175475.881907642</v>
      </c>
      <c r="H29" s="132">
        <f t="shared" si="8"/>
        <v>29546414.661477037</v>
      </c>
    </row>
    <row r="30" spans="2:16" x14ac:dyDescent="0.3">
      <c r="B30" s="24"/>
      <c r="D30" s="99"/>
      <c r="E30" s="99"/>
      <c r="F30" s="99"/>
      <c r="G30" s="99"/>
      <c r="H30" s="99"/>
    </row>
    <row r="31" spans="2:16" x14ac:dyDescent="0.3">
      <c r="B31" s="226" t="s">
        <v>339</v>
      </c>
      <c r="D31" s="99"/>
      <c r="E31" s="99"/>
      <c r="F31" s="99"/>
      <c r="G31" s="99"/>
      <c r="H31" s="99"/>
    </row>
    <row r="32" spans="2:16" x14ac:dyDescent="0.3">
      <c r="B32" s="24" t="s">
        <v>353</v>
      </c>
      <c r="D32" s="99"/>
      <c r="E32" s="99"/>
      <c r="F32" s="99"/>
      <c r="G32" s="99"/>
      <c r="H32" s="99"/>
    </row>
    <row r="33" spans="2:8" x14ac:dyDescent="0.3">
      <c r="B33" s="27" t="s">
        <v>354</v>
      </c>
      <c r="D33" s="99">
        <v>60000</v>
      </c>
      <c r="E33" s="99">
        <v>80000</v>
      </c>
      <c r="F33" s="99">
        <v>100000</v>
      </c>
      <c r="G33" s="99">
        <v>150000</v>
      </c>
      <c r="H33" s="99">
        <f t="shared" ref="H33" si="9">G33</f>
        <v>150000</v>
      </c>
    </row>
    <row r="34" spans="2:8" x14ac:dyDescent="0.3">
      <c r="B34" s="27" t="s">
        <v>355</v>
      </c>
      <c r="C34" s="99">
        <v>380831</v>
      </c>
      <c r="D34" s="66">
        <f>D35*'PL-D2C'!D3*2</f>
        <v>901754.52512861928</v>
      </c>
      <c r="E34" s="66">
        <f>E35*'PL-D2C'!E3*2</f>
        <v>2164210.8603086863</v>
      </c>
      <c r="F34" s="66">
        <f>F35*'PL-D2C'!F3*2</f>
        <v>2930702.2066680123</v>
      </c>
      <c r="G34" s="66">
        <f>G35*'PL-D2C'!G3*2</f>
        <v>4689123.5306688203</v>
      </c>
      <c r="H34" s="66">
        <f>H35*'PL-D2C'!H3*2</f>
        <v>6564772.9429363478</v>
      </c>
    </row>
    <row r="35" spans="2:8" x14ac:dyDescent="0.3">
      <c r="B35" s="275" t="s">
        <v>255</v>
      </c>
      <c r="D35" s="154">
        <f>$C$34/$C$18</f>
        <v>1.127193156410774E-2</v>
      </c>
      <c r="E35" s="154">
        <f>$C$34/$C$18</f>
        <v>1.127193156410774E-2</v>
      </c>
      <c r="F35" s="154">
        <f>$C$34/$C$18</f>
        <v>1.127193156410774E-2</v>
      </c>
      <c r="G35" s="154">
        <f>$C$34/$C$18</f>
        <v>1.127193156410774E-2</v>
      </c>
      <c r="H35" s="154">
        <f>$C$34/$C$18</f>
        <v>1.127193156410774E-2</v>
      </c>
    </row>
    <row r="36" spans="2:8" x14ac:dyDescent="0.3">
      <c r="B36" s="55" t="s">
        <v>253</v>
      </c>
      <c r="C36" s="7"/>
      <c r="D36" s="132">
        <f>D33+D34</f>
        <v>961754.52512861928</v>
      </c>
      <c r="E36" s="132">
        <f t="shared" ref="E36:H36" si="10">E33+E34</f>
        <v>2244210.8603086863</v>
      </c>
      <c r="F36" s="132">
        <f t="shared" si="10"/>
        <v>3030702.2066680123</v>
      </c>
      <c r="G36" s="132">
        <f t="shared" si="10"/>
        <v>4839123.5306688203</v>
      </c>
      <c r="H36" s="132">
        <f t="shared" si="10"/>
        <v>6714772.9429363478</v>
      </c>
    </row>
    <row r="37" spans="2:8" x14ac:dyDescent="0.3">
      <c r="B37" s="24"/>
      <c r="D37" s="99"/>
      <c r="E37" s="99"/>
      <c r="F37" s="99"/>
      <c r="G37" s="99"/>
      <c r="H37" s="99"/>
    </row>
    <row r="39" spans="2:8" x14ac:dyDescent="0.3">
      <c r="B39" s="23" t="s">
        <v>33</v>
      </c>
    </row>
    <row r="40" spans="2:8" x14ac:dyDescent="0.3">
      <c r="B40" s="23"/>
    </row>
    <row r="41" spans="2:8" x14ac:dyDescent="0.3">
      <c r="B41" s="25" t="s">
        <v>341</v>
      </c>
    </row>
    <row r="42" spans="2:8" x14ac:dyDescent="0.3">
      <c r="B42" s="3" t="s">
        <v>342</v>
      </c>
    </row>
    <row r="43" spans="2:8" x14ac:dyDescent="0.3">
      <c r="B43" s="5" t="s">
        <v>343</v>
      </c>
      <c r="D43" s="99">
        <v>21158836</v>
      </c>
      <c r="E43" s="71">
        <f>D43</f>
        <v>21158836</v>
      </c>
      <c r="F43" s="71">
        <f t="shared" ref="F43:H43" si="11">E43</f>
        <v>21158836</v>
      </c>
      <c r="G43" s="71">
        <f t="shared" si="11"/>
        <v>21158836</v>
      </c>
      <c r="H43" s="71">
        <f t="shared" si="11"/>
        <v>21158836</v>
      </c>
    </row>
    <row r="44" spans="2:8" x14ac:dyDescent="0.3">
      <c r="B44" s="23"/>
    </row>
    <row r="45" spans="2:8" x14ac:dyDescent="0.3">
      <c r="B45" s="3" t="s">
        <v>344</v>
      </c>
      <c r="D45" s="99">
        <v>1657382</v>
      </c>
      <c r="E45" s="71">
        <f>D45</f>
        <v>1657382</v>
      </c>
      <c r="F45" s="71">
        <f t="shared" ref="F45:H45" si="12">E45</f>
        <v>1657382</v>
      </c>
      <c r="G45" s="71">
        <f t="shared" si="12"/>
        <v>1657382</v>
      </c>
      <c r="H45" s="71">
        <f t="shared" si="12"/>
        <v>1657382</v>
      </c>
    </row>
    <row r="47" spans="2:8" x14ac:dyDescent="0.3">
      <c r="B47" s="25" t="s">
        <v>345</v>
      </c>
    </row>
    <row r="48" spans="2:8" x14ac:dyDescent="0.3">
      <c r="B48" s="3" t="s">
        <v>353</v>
      </c>
      <c r="D48" s="99"/>
      <c r="E48" s="71"/>
      <c r="F48" s="71"/>
      <c r="G48" s="71"/>
      <c r="H48" s="71"/>
    </row>
    <row r="49" spans="2:8" x14ac:dyDescent="0.3">
      <c r="B49" s="5" t="s">
        <v>356</v>
      </c>
      <c r="D49" s="99">
        <v>300000</v>
      </c>
      <c r="E49" s="71">
        <f>D49</f>
        <v>300000</v>
      </c>
      <c r="F49" s="71">
        <f t="shared" ref="F49:H49" si="13">E49</f>
        <v>300000</v>
      </c>
      <c r="G49" s="71">
        <f t="shared" si="13"/>
        <v>300000</v>
      </c>
      <c r="H49" s="71">
        <f t="shared" si="13"/>
        <v>300000</v>
      </c>
    </row>
    <row r="50" spans="2:8" x14ac:dyDescent="0.3">
      <c r="B50" s="14" t="s">
        <v>253</v>
      </c>
      <c r="C50" s="7"/>
      <c r="D50" s="132">
        <f>D49</f>
        <v>300000</v>
      </c>
      <c r="E50" s="132">
        <f t="shared" ref="E50:H50" si="14">E49</f>
        <v>300000</v>
      </c>
      <c r="F50" s="132">
        <f t="shared" si="14"/>
        <v>300000</v>
      </c>
      <c r="G50" s="132">
        <f t="shared" si="14"/>
        <v>300000</v>
      </c>
      <c r="H50" s="132">
        <f t="shared" si="14"/>
        <v>300000</v>
      </c>
    </row>
    <row r="52" spans="2:8" x14ac:dyDescent="0.3">
      <c r="B52" s="226" t="s">
        <v>280</v>
      </c>
    </row>
    <row r="53" spans="2:8" x14ac:dyDescent="0.3">
      <c r="B53" s="27" t="s">
        <v>235</v>
      </c>
      <c r="D53">
        <v>90</v>
      </c>
      <c r="E53">
        <v>80</v>
      </c>
      <c r="F53">
        <v>70</v>
      </c>
      <c r="G53">
        <v>65</v>
      </c>
      <c r="H53">
        <v>60</v>
      </c>
    </row>
    <row r="54" spans="2:8" x14ac:dyDescent="0.3">
      <c r="B54" s="27" t="s">
        <v>337</v>
      </c>
      <c r="D54" s="99">
        <f>'PL-D2C'!D7</f>
        <v>27200000.000000004</v>
      </c>
      <c r="E54" s="99">
        <f>'PL-D2C'!E7</f>
        <v>64320000.000000007</v>
      </c>
      <c r="F54" s="99">
        <f>'PL-D2C'!F7</f>
        <v>85800000</v>
      </c>
      <c r="G54" s="99">
        <f>'PL-D2C'!G7</f>
        <v>133120000.00000003</v>
      </c>
      <c r="H54" s="99">
        <f>'PL-D2C'!H7</f>
        <v>183456000.00000003</v>
      </c>
    </row>
    <row r="55" spans="2:8" ht="28.8" x14ac:dyDescent="0.3">
      <c r="B55" s="274" t="s">
        <v>411</v>
      </c>
      <c r="D55" s="154">
        <f>(100%*50%)+(60%*50%)</f>
        <v>0.8</v>
      </c>
      <c r="E55" s="154">
        <f t="shared" ref="E55:H55" si="15">(100%*50%)+(60%*50%)</f>
        <v>0.8</v>
      </c>
      <c r="F55" s="154">
        <f t="shared" si="15"/>
        <v>0.8</v>
      </c>
      <c r="G55" s="154">
        <f t="shared" si="15"/>
        <v>0.8</v>
      </c>
      <c r="H55" s="154">
        <f t="shared" si="15"/>
        <v>0.8</v>
      </c>
    </row>
    <row r="56" spans="2:8" x14ac:dyDescent="0.3">
      <c r="B56" s="55" t="s">
        <v>226</v>
      </c>
      <c r="C56" s="7"/>
      <c r="D56" s="132">
        <f>(D53*D54*D55)/365</f>
        <v>5365479.4520547958</v>
      </c>
      <c r="E56" s="132">
        <f t="shared" ref="E56:H56" si="16">(E53*E54*E55)/365</f>
        <v>11278027.397260277</v>
      </c>
      <c r="F56" s="132">
        <f t="shared" si="16"/>
        <v>13163835.616438355</v>
      </c>
      <c r="G56" s="132">
        <f t="shared" si="16"/>
        <v>18965041.095890418</v>
      </c>
      <c r="H56" s="132">
        <f t="shared" si="16"/>
        <v>24125720.547945209</v>
      </c>
    </row>
    <row r="57" spans="2:8" x14ac:dyDescent="0.3">
      <c r="B57" s="23"/>
    </row>
    <row r="58" spans="2:8" x14ac:dyDescent="0.3">
      <c r="B58" s="25" t="s">
        <v>34</v>
      </c>
    </row>
    <row r="59" spans="2:8" x14ac:dyDescent="0.3">
      <c r="B59" s="27" t="s">
        <v>35</v>
      </c>
      <c r="D59">
        <v>30</v>
      </c>
      <c r="E59">
        <v>30</v>
      </c>
      <c r="F59">
        <v>30</v>
      </c>
      <c r="G59">
        <f>F59</f>
        <v>30</v>
      </c>
      <c r="H59">
        <f>G59</f>
        <v>30</v>
      </c>
    </row>
    <row r="60" spans="2:8" x14ac:dyDescent="0.3">
      <c r="B60" s="27" t="s">
        <v>340</v>
      </c>
      <c r="D60" s="99">
        <f>'PL-D2C'!D3</f>
        <v>40000000</v>
      </c>
      <c r="E60" s="99">
        <f>'PL-D2C'!E3</f>
        <v>96000000</v>
      </c>
      <c r="F60" s="99">
        <f>'PL-D2C'!F3</f>
        <v>129999999.99999999</v>
      </c>
      <c r="G60" s="99">
        <f>'PL-D2C'!G3</f>
        <v>208000000</v>
      </c>
      <c r="H60" s="99">
        <f>'PL-D2C'!H3</f>
        <v>291200000</v>
      </c>
    </row>
    <row r="61" spans="2:8" x14ac:dyDescent="0.3">
      <c r="B61" s="55" t="s">
        <v>34</v>
      </c>
      <c r="C61" s="7"/>
      <c r="D61" s="132">
        <f>(D59*D60)/365</f>
        <v>3287671.2328767125</v>
      </c>
      <c r="E61" s="132">
        <f t="shared" ref="E61:H61" si="17">(E59*E60)/365</f>
        <v>7890410.9589041099</v>
      </c>
      <c r="F61" s="132">
        <f t="shared" si="17"/>
        <v>10684931.506849313</v>
      </c>
      <c r="G61" s="132">
        <f t="shared" si="17"/>
        <v>17095890.410958905</v>
      </c>
      <c r="H61" s="132">
        <f t="shared" si="17"/>
        <v>23934246.575342465</v>
      </c>
    </row>
    <row r="62" spans="2:8" x14ac:dyDescent="0.3">
      <c r="B62" s="24"/>
    </row>
    <row r="63" spans="2:8" x14ac:dyDescent="0.3">
      <c r="B63" s="25" t="s">
        <v>346</v>
      </c>
      <c r="D63" s="66"/>
      <c r="E63" s="71"/>
      <c r="F63" s="71"/>
      <c r="G63" s="71"/>
      <c r="H63" s="71"/>
    </row>
    <row r="64" spans="2:8" x14ac:dyDescent="0.3">
      <c r="B64" s="3" t="s">
        <v>357</v>
      </c>
      <c r="D64" s="66"/>
      <c r="E64" s="71"/>
      <c r="F64" s="71"/>
      <c r="G64" s="71"/>
      <c r="H64" s="71"/>
    </row>
    <row r="65" spans="2:8" x14ac:dyDescent="0.3">
      <c r="B65" s="5" t="s">
        <v>358</v>
      </c>
      <c r="C65" s="66">
        <v>136350</v>
      </c>
      <c r="D65" s="66">
        <f>D66*'PL-D2C'!D3*2</f>
        <v>322857.72298286442</v>
      </c>
      <c r="E65" s="66">
        <f>E66*'PL-D2C'!E3</f>
        <v>387429.26757943729</v>
      </c>
      <c r="F65" s="66">
        <f>F66*'PL-D2C'!F3</f>
        <v>524643.79984715465</v>
      </c>
      <c r="G65" s="66">
        <f>G66*'PL-D2C'!G3</f>
        <v>839430.07975544746</v>
      </c>
      <c r="H65" s="66">
        <f>H66*'PL-D2C'!H3</f>
        <v>1175202.1116576265</v>
      </c>
    </row>
    <row r="66" spans="2:8" x14ac:dyDescent="0.3">
      <c r="B66" s="275" t="s">
        <v>255</v>
      </c>
      <c r="C66" s="66"/>
      <c r="D66" s="138">
        <f>$C$65/$C$18</f>
        <v>4.0357215372858052E-3</v>
      </c>
      <c r="E66" s="138">
        <f>$C$65/$C$18</f>
        <v>4.0357215372858052E-3</v>
      </c>
      <c r="F66" s="138">
        <f>$C$65/$C$18</f>
        <v>4.0357215372858052E-3</v>
      </c>
      <c r="G66" s="138">
        <f>$C$65/$C$18</f>
        <v>4.0357215372858052E-3</v>
      </c>
      <c r="H66" s="138">
        <f>$C$65/$C$18</f>
        <v>4.0357215372858052E-3</v>
      </c>
    </row>
    <row r="67" spans="2:8" x14ac:dyDescent="0.3">
      <c r="B67" s="5" t="s">
        <v>359</v>
      </c>
      <c r="C67" s="66">
        <v>3009782</v>
      </c>
      <c r="D67" s="66">
        <f>D68*'PL-D2C'!D3*2</f>
        <v>7126742.6710290536</v>
      </c>
      <c r="E67" s="66">
        <f>E68*'PL-D2C'!E3</f>
        <v>8552091.2052348647</v>
      </c>
      <c r="F67" s="66">
        <f>F68*'PL-D2C'!F3</f>
        <v>11580956.840422211</v>
      </c>
      <c r="G67" s="66">
        <f>G68*'PL-D2C'!G3</f>
        <v>18529530.944675539</v>
      </c>
      <c r="H67" s="66">
        <f>H68*'PL-D2C'!H3</f>
        <v>25941343.322545756</v>
      </c>
    </row>
    <row r="68" spans="2:8" x14ac:dyDescent="0.3">
      <c r="B68" s="275" t="s">
        <v>255</v>
      </c>
      <c r="C68" s="66"/>
      <c r="D68" s="70">
        <f>$C$67/$C$18</f>
        <v>8.9084283387863172E-2</v>
      </c>
      <c r="E68" s="70">
        <f>$C$67/$C$18</f>
        <v>8.9084283387863172E-2</v>
      </c>
      <c r="F68" s="70">
        <f>$C$67/$C$18</f>
        <v>8.9084283387863172E-2</v>
      </c>
      <c r="G68" s="70">
        <f>$C$67/$C$18</f>
        <v>8.9084283387863172E-2</v>
      </c>
      <c r="H68" s="70">
        <f>$C$67/$C$18</f>
        <v>8.9084283387863172E-2</v>
      </c>
    </row>
    <row r="69" spans="2:8" x14ac:dyDescent="0.3">
      <c r="B69" s="5" t="s">
        <v>360</v>
      </c>
      <c r="C69" s="66">
        <v>473619</v>
      </c>
      <c r="D69" s="66">
        <f>D70*'PL-D2C'!D3*2</f>
        <v>1121463.5269631187</v>
      </c>
      <c r="E69" s="66">
        <f>E70*'PL-D2C'!E3</f>
        <v>1345756.2323557425</v>
      </c>
      <c r="F69" s="66">
        <f>F70*'PL-D2C'!F3</f>
        <v>1822378.2313150677</v>
      </c>
      <c r="G69" s="66">
        <f>G70*'PL-D2C'!G3</f>
        <v>2915805.1701041088</v>
      </c>
      <c r="H69" s="66">
        <f>H70*'PL-D2C'!H3</f>
        <v>4082127.2381457523</v>
      </c>
    </row>
    <row r="70" spans="2:8" x14ac:dyDescent="0.3">
      <c r="B70" s="275" t="s">
        <v>255</v>
      </c>
      <c r="D70" s="70">
        <f>$C$69/$C$18</f>
        <v>1.4018294087038984E-2</v>
      </c>
      <c r="E70" s="70">
        <f>$C$69/$C$18</f>
        <v>1.4018294087038984E-2</v>
      </c>
      <c r="F70" s="70">
        <f>$C$69/$C$18</f>
        <v>1.4018294087038984E-2</v>
      </c>
      <c r="G70" s="70">
        <f>$C$69/$C$18</f>
        <v>1.4018294087038984E-2</v>
      </c>
      <c r="H70" s="70">
        <f>$C$69/$C$18</f>
        <v>1.4018294087038984E-2</v>
      </c>
    </row>
    <row r="71" spans="2:8" x14ac:dyDescent="0.3">
      <c r="B71" s="3" t="s">
        <v>361</v>
      </c>
      <c r="D71" s="66"/>
      <c r="E71" s="71"/>
      <c r="F71" s="71"/>
      <c r="G71" s="71"/>
      <c r="H71" s="71"/>
    </row>
    <row r="72" spans="2:8" x14ac:dyDescent="0.3">
      <c r="B72" s="5" t="s">
        <v>362</v>
      </c>
      <c r="D72" s="66">
        <v>876974</v>
      </c>
      <c r="E72" s="71">
        <f t="shared" ref="E72:H74" si="18">D72</f>
        <v>876974</v>
      </c>
      <c r="F72" s="71">
        <f t="shared" si="18"/>
        <v>876974</v>
      </c>
      <c r="G72" s="71">
        <f t="shared" si="18"/>
        <v>876974</v>
      </c>
      <c r="H72" s="71">
        <f t="shared" si="18"/>
        <v>876974</v>
      </c>
    </row>
    <row r="73" spans="2:8" x14ac:dyDescent="0.3">
      <c r="B73" s="3" t="s">
        <v>363</v>
      </c>
      <c r="D73" s="66"/>
      <c r="E73" s="71"/>
      <c r="F73" s="71"/>
      <c r="G73" s="71"/>
      <c r="H73" s="71"/>
    </row>
    <row r="74" spans="2:8" x14ac:dyDescent="0.3">
      <c r="B74" s="5" t="s">
        <v>364</v>
      </c>
      <c r="D74" s="66">
        <v>5380</v>
      </c>
      <c r="E74" s="71">
        <f t="shared" si="18"/>
        <v>5380</v>
      </c>
      <c r="F74" s="71">
        <f t="shared" si="18"/>
        <v>5380</v>
      </c>
      <c r="G74" s="71">
        <f t="shared" si="18"/>
        <v>5380</v>
      </c>
      <c r="H74" s="71">
        <f t="shared" si="18"/>
        <v>5380</v>
      </c>
    </row>
    <row r="75" spans="2:8" x14ac:dyDescent="0.3">
      <c r="B75" s="14" t="s">
        <v>253</v>
      </c>
      <c r="C75" s="7"/>
      <c r="D75" s="132">
        <f>D65+D67+D69+D72+D74</f>
        <v>9453417.9209750369</v>
      </c>
      <c r="E75" s="132">
        <f t="shared" ref="E75:H75" si="19">E65+E67+E69+E72+E74</f>
        <v>11167630.705170045</v>
      </c>
      <c r="F75" s="132">
        <f t="shared" si="19"/>
        <v>14810332.871584432</v>
      </c>
      <c r="G75" s="132">
        <f t="shared" si="19"/>
        <v>23167120.194535095</v>
      </c>
      <c r="H75" s="132">
        <f t="shared" si="19"/>
        <v>32081026.672349136</v>
      </c>
    </row>
    <row r="76" spans="2:8" x14ac:dyDescent="0.3">
      <c r="D76" s="66"/>
      <c r="E76" s="71"/>
      <c r="F76" s="71"/>
      <c r="G76" s="71"/>
      <c r="H76" s="71"/>
    </row>
    <row r="77" spans="2:8" x14ac:dyDescent="0.3">
      <c r="B77" s="140" t="s">
        <v>347</v>
      </c>
      <c r="D77" s="66">
        <v>2497</v>
      </c>
      <c r="E77" s="71">
        <f>D77</f>
        <v>2497</v>
      </c>
      <c r="F77" s="71">
        <f t="shared" ref="F77:H77" si="20">E77</f>
        <v>2497</v>
      </c>
      <c r="G77" s="71">
        <f t="shared" si="20"/>
        <v>2497</v>
      </c>
      <c r="H77" s="71">
        <f t="shared" si="20"/>
        <v>2497</v>
      </c>
    </row>
    <row r="78" spans="2:8" x14ac:dyDescent="0.3">
      <c r="B78" s="26"/>
      <c r="D78" s="66"/>
      <c r="E78" s="66"/>
      <c r="F78" s="66"/>
      <c r="G78" s="66"/>
      <c r="H78" s="66"/>
    </row>
    <row r="79" spans="2:8" x14ac:dyDescent="0.3">
      <c r="B79" s="3" t="s">
        <v>365</v>
      </c>
      <c r="D79" s="66">
        <v>1000000</v>
      </c>
      <c r="E79" s="71">
        <f>D79</f>
        <v>1000000</v>
      </c>
      <c r="F79" s="71">
        <f t="shared" ref="F79:H79" si="21">E79</f>
        <v>1000000</v>
      </c>
      <c r="G79" s="71">
        <f t="shared" si="21"/>
        <v>1000000</v>
      </c>
      <c r="H79" s="71">
        <f t="shared" si="21"/>
        <v>1000000</v>
      </c>
    </row>
    <row r="80" spans="2:8" x14ac:dyDescent="0.3">
      <c r="B80" s="24"/>
    </row>
    <row r="82" spans="2:2" x14ac:dyDescent="0.3">
      <c r="B82" s="25"/>
    </row>
    <row r="86" spans="2:2" x14ac:dyDescent="0.3">
      <c r="B86" s="25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38"/>
  <sheetViews>
    <sheetView showGridLines="0" topLeftCell="A28" workbookViewId="0">
      <selection activeCell="H1" sqref="H1"/>
    </sheetView>
  </sheetViews>
  <sheetFormatPr defaultRowHeight="14.4" x14ac:dyDescent="0.3"/>
  <cols>
    <col min="2" max="2" width="10.5546875" bestFit="1" customWidth="1"/>
    <col min="3" max="3" width="9.5546875" bestFit="1" customWidth="1"/>
    <col min="4" max="4" width="10.33203125" bestFit="1" customWidth="1"/>
    <col min="5" max="5" width="10.5546875" bestFit="1" customWidth="1"/>
    <col min="7" max="7" width="10.5546875" bestFit="1" customWidth="1"/>
    <col min="8" max="8" width="9.5546875" bestFit="1" customWidth="1"/>
    <col min="9" max="9" width="10.33203125" bestFit="1" customWidth="1"/>
    <col min="10" max="10" width="10.5546875" bestFit="1" customWidth="1"/>
  </cols>
  <sheetData>
    <row r="2" spans="1:10" x14ac:dyDescent="0.3">
      <c r="A2" t="s">
        <v>415</v>
      </c>
      <c r="E2" s="67">
        <v>0.1</v>
      </c>
    </row>
    <row r="3" spans="1:10" x14ac:dyDescent="0.3">
      <c r="B3" s="67"/>
    </row>
    <row r="4" spans="1:10" x14ac:dyDescent="0.3">
      <c r="A4" s="330" t="s">
        <v>416</v>
      </c>
      <c r="B4" s="330"/>
      <c r="C4" s="330"/>
      <c r="D4" s="330"/>
      <c r="E4" s="330"/>
      <c r="G4" s="330" t="s">
        <v>417</v>
      </c>
      <c r="H4" s="330"/>
      <c r="I4" s="330"/>
      <c r="J4" s="330"/>
    </row>
    <row r="5" spans="1:10" x14ac:dyDescent="0.3">
      <c r="A5" s="50"/>
      <c r="B5" s="50"/>
      <c r="C5" s="50"/>
      <c r="D5" s="50"/>
      <c r="E5" s="50"/>
      <c r="G5" s="50"/>
      <c r="H5" s="50"/>
      <c r="I5" s="50"/>
      <c r="J5" s="50"/>
    </row>
    <row r="6" spans="1:10" x14ac:dyDescent="0.3">
      <c r="A6" s="50"/>
      <c r="B6" s="50" t="s">
        <v>420</v>
      </c>
      <c r="C6" s="50" t="s">
        <v>414</v>
      </c>
      <c r="D6" s="50" t="s">
        <v>418</v>
      </c>
      <c r="E6" s="50" t="s">
        <v>419</v>
      </c>
      <c r="G6" s="50" t="s">
        <v>420</v>
      </c>
      <c r="H6" s="50" t="s">
        <v>414</v>
      </c>
      <c r="I6" s="50" t="s">
        <v>418</v>
      </c>
      <c r="J6" s="50" t="s">
        <v>419</v>
      </c>
    </row>
    <row r="7" spans="1:10" x14ac:dyDescent="0.3">
      <c r="A7" s="276">
        <v>45595</v>
      </c>
      <c r="B7" s="71">
        <f>FA!F9*60%</f>
        <v>12000000</v>
      </c>
      <c r="C7" s="71">
        <f t="shared" ref="C7:C36" si="0">B7*$E$2/12</f>
        <v>100000</v>
      </c>
      <c r="D7" s="71">
        <f>PMT($E$2/12,60,B7)</f>
        <v>-254964.53653521932</v>
      </c>
      <c r="E7" s="71">
        <f t="shared" ref="E7:E36" si="1">B7+C7+D7</f>
        <v>11845035.46346478</v>
      </c>
    </row>
    <row r="8" spans="1:10" x14ac:dyDescent="0.3">
      <c r="A8" s="276">
        <v>45626</v>
      </c>
      <c r="B8" s="71">
        <f>E7</f>
        <v>11845035.46346478</v>
      </c>
      <c r="C8" s="71">
        <f t="shared" si="0"/>
        <v>98708.628862206489</v>
      </c>
      <c r="D8" s="71">
        <f>D7</f>
        <v>-254964.53653521932</v>
      </c>
      <c r="E8" s="71">
        <f t="shared" si="1"/>
        <v>11688779.555791765</v>
      </c>
    </row>
    <row r="9" spans="1:10" x14ac:dyDescent="0.3">
      <c r="A9" s="276">
        <v>45656</v>
      </c>
      <c r="B9" s="71">
        <f t="shared" ref="B9:B36" si="2">E8</f>
        <v>11688779.555791765</v>
      </c>
      <c r="C9" s="71">
        <f t="shared" si="0"/>
        <v>97406.496298264712</v>
      </c>
      <c r="D9" s="71">
        <f t="shared" ref="D9:D36" si="3">D8</f>
        <v>-254964.53653521932</v>
      </c>
      <c r="E9" s="71">
        <f t="shared" si="1"/>
        <v>11531221.51555481</v>
      </c>
    </row>
    <row r="10" spans="1:10" x14ac:dyDescent="0.3">
      <c r="A10" s="276">
        <v>45687</v>
      </c>
      <c r="B10" s="71">
        <f t="shared" si="2"/>
        <v>11531221.51555481</v>
      </c>
      <c r="C10" s="71">
        <f t="shared" si="0"/>
        <v>96093.512629623423</v>
      </c>
      <c r="D10" s="71">
        <f t="shared" si="3"/>
        <v>-254964.53653521932</v>
      </c>
      <c r="E10" s="71">
        <f t="shared" si="1"/>
        <v>11372350.491649212</v>
      </c>
    </row>
    <row r="11" spans="1:10" x14ac:dyDescent="0.3">
      <c r="A11" s="276">
        <v>45716</v>
      </c>
      <c r="B11" s="71">
        <f t="shared" si="2"/>
        <v>11372350.491649212</v>
      </c>
      <c r="C11" s="71">
        <f t="shared" si="0"/>
        <v>94769.587430410102</v>
      </c>
      <c r="D11" s="71">
        <f t="shared" si="3"/>
        <v>-254964.53653521932</v>
      </c>
      <c r="E11" s="71">
        <f t="shared" si="1"/>
        <v>11212155.542544402</v>
      </c>
    </row>
    <row r="12" spans="1:10" x14ac:dyDescent="0.3">
      <c r="A12" s="276">
        <v>45746</v>
      </c>
      <c r="B12" s="71">
        <f t="shared" si="2"/>
        <v>11212155.542544402</v>
      </c>
      <c r="C12" s="71">
        <f t="shared" si="0"/>
        <v>93434.629521203358</v>
      </c>
      <c r="D12" s="71">
        <f t="shared" si="3"/>
        <v>-254964.53653521932</v>
      </c>
      <c r="E12" s="71">
        <f t="shared" si="1"/>
        <v>11050625.635530386</v>
      </c>
    </row>
    <row r="13" spans="1:10" x14ac:dyDescent="0.3">
      <c r="A13" s="276">
        <v>45777</v>
      </c>
      <c r="B13" s="71">
        <f t="shared" si="2"/>
        <v>11050625.635530386</v>
      </c>
      <c r="C13" s="71">
        <f t="shared" si="0"/>
        <v>92088.546962753229</v>
      </c>
      <c r="D13" s="71">
        <f t="shared" si="3"/>
        <v>-254964.53653521932</v>
      </c>
      <c r="E13" s="71">
        <f t="shared" si="1"/>
        <v>10887749.645957919</v>
      </c>
    </row>
    <row r="14" spans="1:10" x14ac:dyDescent="0.3">
      <c r="A14" s="276">
        <v>45807</v>
      </c>
      <c r="B14" s="71">
        <f t="shared" si="2"/>
        <v>10887749.645957919</v>
      </c>
      <c r="C14" s="71">
        <f t="shared" si="0"/>
        <v>90731.247049649319</v>
      </c>
      <c r="D14" s="71">
        <f t="shared" si="3"/>
        <v>-254964.53653521932</v>
      </c>
      <c r="E14" s="71">
        <f t="shared" si="1"/>
        <v>10723516.356472349</v>
      </c>
    </row>
    <row r="15" spans="1:10" x14ac:dyDescent="0.3">
      <c r="A15" s="276">
        <v>45838</v>
      </c>
      <c r="B15" s="71">
        <f t="shared" si="2"/>
        <v>10723516.356472349</v>
      </c>
      <c r="C15" s="71">
        <f t="shared" si="0"/>
        <v>89362.636303936248</v>
      </c>
      <c r="D15" s="71">
        <f t="shared" si="3"/>
        <v>-254964.53653521932</v>
      </c>
      <c r="E15" s="71">
        <f t="shared" si="1"/>
        <v>10557914.456241066</v>
      </c>
    </row>
    <row r="16" spans="1:10" x14ac:dyDescent="0.3">
      <c r="A16" s="276">
        <v>45868</v>
      </c>
      <c r="B16" s="71">
        <f t="shared" si="2"/>
        <v>10557914.456241066</v>
      </c>
      <c r="C16" s="71">
        <f t="shared" si="0"/>
        <v>87982.620468675552</v>
      </c>
      <c r="D16" s="71">
        <f t="shared" si="3"/>
        <v>-254964.53653521932</v>
      </c>
      <c r="E16" s="71">
        <f t="shared" si="1"/>
        <v>10390932.540174522</v>
      </c>
    </row>
    <row r="17" spans="1:10" x14ac:dyDescent="0.3">
      <c r="A17" s="276">
        <v>45899</v>
      </c>
      <c r="B17" s="71">
        <f t="shared" si="2"/>
        <v>10390932.540174522</v>
      </c>
      <c r="C17" s="71">
        <f t="shared" si="0"/>
        <v>86591.104501454349</v>
      </c>
      <c r="D17" s="71">
        <f t="shared" si="3"/>
        <v>-254964.53653521932</v>
      </c>
      <c r="E17" s="71">
        <f t="shared" si="1"/>
        <v>10222559.108140755</v>
      </c>
    </row>
    <row r="18" spans="1:10" x14ac:dyDescent="0.3">
      <c r="A18" s="276">
        <v>45930</v>
      </c>
      <c r="B18" s="71">
        <f t="shared" si="2"/>
        <v>10222559.108140755</v>
      </c>
      <c r="C18" s="71">
        <f t="shared" si="0"/>
        <v>85187.992567839639</v>
      </c>
      <c r="D18" s="71">
        <f t="shared" si="3"/>
        <v>-254964.53653521932</v>
      </c>
      <c r="E18" s="71">
        <f t="shared" si="1"/>
        <v>10052782.564173374</v>
      </c>
    </row>
    <row r="19" spans="1:10" x14ac:dyDescent="0.3">
      <c r="A19" s="276">
        <v>45960</v>
      </c>
      <c r="B19" s="71">
        <f t="shared" si="2"/>
        <v>10052782.564173374</v>
      </c>
      <c r="C19" s="71">
        <f t="shared" si="0"/>
        <v>83773.188034778126</v>
      </c>
      <c r="D19" s="71">
        <f t="shared" si="3"/>
        <v>-254964.53653521932</v>
      </c>
      <c r="E19" s="71">
        <f t="shared" si="1"/>
        <v>9881591.2156729326</v>
      </c>
      <c r="G19" s="71">
        <f>FA!G9*60%</f>
        <v>15000000</v>
      </c>
      <c r="H19" s="71">
        <f t="shared" ref="H19:H36" si="4">G19*$E$2/12</f>
        <v>125000</v>
      </c>
      <c r="I19" s="71">
        <f>PMT($E$2/12,60,G19)</f>
        <v>-318705.67066902411</v>
      </c>
      <c r="J19" s="71">
        <f>G19+H19+I19</f>
        <v>14806294.329330975</v>
      </c>
    </row>
    <row r="20" spans="1:10" x14ac:dyDescent="0.3">
      <c r="A20" s="276">
        <v>45991</v>
      </c>
      <c r="B20" s="71">
        <f t="shared" si="2"/>
        <v>9881591.2156729326</v>
      </c>
      <c r="C20" s="71">
        <f t="shared" si="0"/>
        <v>82346.593463941113</v>
      </c>
      <c r="D20" s="71">
        <f t="shared" si="3"/>
        <v>-254964.53653521932</v>
      </c>
      <c r="E20" s="71">
        <f t="shared" si="1"/>
        <v>9708973.2726016529</v>
      </c>
      <c r="G20" s="71">
        <f t="shared" ref="G20" si="5">J19</f>
        <v>14806294.329330975</v>
      </c>
      <c r="H20" s="71">
        <f t="shared" si="4"/>
        <v>123385.78607775814</v>
      </c>
      <c r="I20" s="71">
        <f>I19</f>
        <v>-318705.67066902411</v>
      </c>
      <c r="J20" s="71">
        <f>G20+H20+I20</f>
        <v>14610974.444739709</v>
      </c>
    </row>
    <row r="21" spans="1:10" x14ac:dyDescent="0.3">
      <c r="A21" s="276">
        <v>46021</v>
      </c>
      <c r="B21" s="71">
        <f t="shared" si="2"/>
        <v>9708973.2726016529</v>
      </c>
      <c r="C21" s="71">
        <f t="shared" si="0"/>
        <v>80908.110605013775</v>
      </c>
      <c r="D21" s="71">
        <f t="shared" si="3"/>
        <v>-254964.53653521932</v>
      </c>
      <c r="E21" s="71">
        <f t="shared" si="1"/>
        <v>9534916.8466714472</v>
      </c>
      <c r="G21" s="71">
        <f t="shared" ref="G21:G36" si="6">J20</f>
        <v>14610974.444739709</v>
      </c>
      <c r="H21" s="71">
        <f t="shared" si="4"/>
        <v>121758.1203728309</v>
      </c>
      <c r="I21" s="71">
        <f t="shared" ref="I21:I36" si="7">I20</f>
        <v>-318705.67066902411</v>
      </c>
      <c r="J21" s="71">
        <f t="shared" ref="J21:J36" si="8">G21+H21+I21</f>
        <v>14414026.894443516</v>
      </c>
    </row>
    <row r="22" spans="1:10" x14ac:dyDescent="0.3">
      <c r="A22" s="276">
        <v>46052</v>
      </c>
      <c r="B22" s="71">
        <f t="shared" si="2"/>
        <v>9534916.8466714472</v>
      </c>
      <c r="C22" s="71">
        <f t="shared" si="0"/>
        <v>79457.640388928732</v>
      </c>
      <c r="D22" s="71">
        <f t="shared" si="3"/>
        <v>-254964.53653521932</v>
      </c>
      <c r="E22" s="71">
        <f t="shared" si="1"/>
        <v>9359409.9505251553</v>
      </c>
      <c r="G22" s="71">
        <f t="shared" si="6"/>
        <v>14414026.894443516</v>
      </c>
      <c r="H22" s="71">
        <f t="shared" si="4"/>
        <v>120116.8907870293</v>
      </c>
      <c r="I22" s="71">
        <f t="shared" si="7"/>
        <v>-318705.67066902411</v>
      </c>
      <c r="J22" s="71">
        <f t="shared" si="8"/>
        <v>14215438.114561521</v>
      </c>
    </row>
    <row r="23" spans="1:10" x14ac:dyDescent="0.3">
      <c r="A23" s="276">
        <v>46081</v>
      </c>
      <c r="B23" s="71">
        <f t="shared" si="2"/>
        <v>9359409.9505251553</v>
      </c>
      <c r="C23" s="71">
        <f t="shared" si="0"/>
        <v>77995.082921042966</v>
      </c>
      <c r="D23" s="71">
        <f t="shared" si="3"/>
        <v>-254964.53653521932</v>
      </c>
      <c r="E23" s="71">
        <f t="shared" si="1"/>
        <v>9182440.4969109781</v>
      </c>
      <c r="G23" s="71">
        <f t="shared" si="6"/>
        <v>14215438.114561521</v>
      </c>
      <c r="H23" s="71">
        <f t="shared" si="4"/>
        <v>118461.98428801268</v>
      </c>
      <c r="I23" s="71">
        <f t="shared" si="7"/>
        <v>-318705.67066902411</v>
      </c>
      <c r="J23" s="71">
        <f t="shared" si="8"/>
        <v>14015194.428180508</v>
      </c>
    </row>
    <row r="24" spans="1:10" x14ac:dyDescent="0.3">
      <c r="A24" s="276">
        <v>46111</v>
      </c>
      <c r="B24" s="71">
        <f t="shared" si="2"/>
        <v>9182440.4969109781</v>
      </c>
      <c r="C24" s="71">
        <f t="shared" si="0"/>
        <v>76520.337474258151</v>
      </c>
      <c r="D24" s="71">
        <f t="shared" si="3"/>
        <v>-254964.53653521932</v>
      </c>
      <c r="E24" s="71">
        <f t="shared" si="1"/>
        <v>9003996.2978500165</v>
      </c>
      <c r="G24" s="71">
        <f t="shared" si="6"/>
        <v>14015194.428180508</v>
      </c>
      <c r="H24" s="71">
        <f t="shared" si="4"/>
        <v>116793.28690150425</v>
      </c>
      <c r="I24" s="71">
        <f t="shared" si="7"/>
        <v>-318705.67066902411</v>
      </c>
      <c r="J24" s="71">
        <f t="shared" si="8"/>
        <v>13813282.044412987</v>
      </c>
    </row>
    <row r="25" spans="1:10" x14ac:dyDescent="0.3">
      <c r="A25" s="276">
        <v>46142</v>
      </c>
      <c r="B25" s="71">
        <f t="shared" si="2"/>
        <v>9003996.2978500165</v>
      </c>
      <c r="C25" s="71">
        <f t="shared" si="0"/>
        <v>75033.302482083483</v>
      </c>
      <c r="D25" s="71">
        <f t="shared" si="3"/>
        <v>-254964.53653521932</v>
      </c>
      <c r="E25" s="71">
        <f t="shared" si="1"/>
        <v>8824065.0637968797</v>
      </c>
      <c r="G25" s="71">
        <f t="shared" si="6"/>
        <v>13813282.044412987</v>
      </c>
      <c r="H25" s="71">
        <f t="shared" si="4"/>
        <v>115110.68370344157</v>
      </c>
      <c r="I25" s="71">
        <f t="shared" si="7"/>
        <v>-318705.67066902411</v>
      </c>
      <c r="J25" s="71">
        <f t="shared" si="8"/>
        <v>13609687.057447404</v>
      </c>
    </row>
    <row r="26" spans="1:10" x14ac:dyDescent="0.3">
      <c r="A26" s="276">
        <v>46172</v>
      </c>
      <c r="B26" s="71">
        <f t="shared" si="2"/>
        <v>8824065.0637968797</v>
      </c>
      <c r="C26" s="71">
        <f t="shared" si="0"/>
        <v>73533.875531640675</v>
      </c>
      <c r="D26" s="71">
        <f t="shared" si="3"/>
        <v>-254964.53653521932</v>
      </c>
      <c r="E26" s="71">
        <f t="shared" si="1"/>
        <v>8642634.4027932994</v>
      </c>
      <c r="G26" s="71">
        <f t="shared" si="6"/>
        <v>13609687.057447404</v>
      </c>
      <c r="H26" s="71">
        <f t="shared" si="4"/>
        <v>113414.05881206172</v>
      </c>
      <c r="I26" s="71">
        <f t="shared" si="7"/>
        <v>-318705.67066902411</v>
      </c>
      <c r="J26" s="71">
        <f t="shared" si="8"/>
        <v>13404395.44559044</v>
      </c>
    </row>
    <row r="27" spans="1:10" x14ac:dyDescent="0.3">
      <c r="A27" s="276">
        <v>46203</v>
      </c>
      <c r="B27" s="71">
        <f t="shared" si="2"/>
        <v>8642634.4027932994</v>
      </c>
      <c r="C27" s="71">
        <f t="shared" si="0"/>
        <v>72021.953356610829</v>
      </c>
      <c r="D27" s="71">
        <f t="shared" si="3"/>
        <v>-254964.53653521932</v>
      </c>
      <c r="E27" s="71">
        <f t="shared" si="1"/>
        <v>8459691.8196146898</v>
      </c>
      <c r="G27" s="71">
        <f t="shared" si="6"/>
        <v>13404395.44559044</v>
      </c>
      <c r="H27" s="71">
        <f t="shared" si="4"/>
        <v>111703.29537992034</v>
      </c>
      <c r="I27" s="71">
        <f t="shared" si="7"/>
        <v>-318705.67066902411</v>
      </c>
      <c r="J27" s="71">
        <f t="shared" si="8"/>
        <v>13197393.070301335</v>
      </c>
    </row>
    <row r="28" spans="1:10" x14ac:dyDescent="0.3">
      <c r="A28" s="276">
        <v>46233</v>
      </c>
      <c r="B28" s="71">
        <f t="shared" si="2"/>
        <v>8459691.8196146898</v>
      </c>
      <c r="C28" s="71">
        <f t="shared" si="0"/>
        <v>70497.431830122412</v>
      </c>
      <c r="D28" s="71">
        <f t="shared" si="3"/>
        <v>-254964.53653521932</v>
      </c>
      <c r="E28" s="71">
        <f t="shared" si="1"/>
        <v>8275224.7149095936</v>
      </c>
      <c r="G28" s="71">
        <f t="shared" si="6"/>
        <v>13197393.070301335</v>
      </c>
      <c r="H28" s="71">
        <f t="shared" si="4"/>
        <v>109978.27558584447</v>
      </c>
      <c r="I28" s="71">
        <f t="shared" si="7"/>
        <v>-318705.67066902411</v>
      </c>
      <c r="J28" s="71">
        <f t="shared" si="8"/>
        <v>12988665.675218156</v>
      </c>
    </row>
    <row r="29" spans="1:10" x14ac:dyDescent="0.3">
      <c r="A29" s="276">
        <v>46264</v>
      </c>
      <c r="B29" s="71">
        <f t="shared" si="2"/>
        <v>8275224.7149095936</v>
      </c>
      <c r="C29" s="71">
        <f t="shared" si="0"/>
        <v>68960.20595757995</v>
      </c>
      <c r="D29" s="71">
        <f t="shared" si="3"/>
        <v>-254964.53653521932</v>
      </c>
      <c r="E29" s="71">
        <f t="shared" si="1"/>
        <v>8089220.3843319546</v>
      </c>
      <c r="G29" s="71">
        <f t="shared" si="6"/>
        <v>12988665.675218156</v>
      </c>
      <c r="H29" s="71">
        <f t="shared" si="4"/>
        <v>108238.88062681798</v>
      </c>
      <c r="I29" s="71">
        <f t="shared" si="7"/>
        <v>-318705.67066902411</v>
      </c>
      <c r="J29" s="71">
        <f t="shared" si="8"/>
        <v>12778198.885175949</v>
      </c>
    </row>
    <row r="30" spans="1:10" x14ac:dyDescent="0.3">
      <c r="A30" s="276">
        <v>46295</v>
      </c>
      <c r="B30" s="71">
        <f t="shared" si="2"/>
        <v>8089220.3843319546</v>
      </c>
      <c r="C30" s="71">
        <f t="shared" si="0"/>
        <v>67410.169869432968</v>
      </c>
      <c r="D30" s="71">
        <f t="shared" si="3"/>
        <v>-254964.53653521932</v>
      </c>
      <c r="E30" s="71">
        <f t="shared" si="1"/>
        <v>7901666.0176661685</v>
      </c>
      <c r="G30" s="71">
        <f t="shared" si="6"/>
        <v>12778198.885175949</v>
      </c>
      <c r="H30" s="71">
        <f t="shared" si="4"/>
        <v>106484.99070979957</v>
      </c>
      <c r="I30" s="71">
        <f t="shared" si="7"/>
        <v>-318705.67066902411</v>
      </c>
      <c r="J30" s="71">
        <f t="shared" si="8"/>
        <v>12565978.205216724</v>
      </c>
    </row>
    <row r="31" spans="1:10" x14ac:dyDescent="0.3">
      <c r="A31" s="276">
        <v>46325</v>
      </c>
      <c r="B31" s="71">
        <f t="shared" si="2"/>
        <v>7901666.0176661685</v>
      </c>
      <c r="C31" s="71">
        <f t="shared" si="0"/>
        <v>65847.216813884748</v>
      </c>
      <c r="D31" s="71">
        <f t="shared" si="3"/>
        <v>-254964.53653521932</v>
      </c>
      <c r="E31" s="71">
        <f t="shared" si="1"/>
        <v>7712548.6979448339</v>
      </c>
      <c r="G31" s="71">
        <f t="shared" si="6"/>
        <v>12565978.205216724</v>
      </c>
      <c r="H31" s="71">
        <f t="shared" si="4"/>
        <v>104716.48504347271</v>
      </c>
      <c r="I31" s="71">
        <f t="shared" si="7"/>
        <v>-318705.67066902411</v>
      </c>
      <c r="J31" s="71">
        <f t="shared" si="8"/>
        <v>12351989.019591173</v>
      </c>
    </row>
    <row r="32" spans="1:10" x14ac:dyDescent="0.3">
      <c r="A32" s="276">
        <v>46356</v>
      </c>
      <c r="B32" s="71">
        <f t="shared" si="2"/>
        <v>7712548.6979448339</v>
      </c>
      <c r="C32" s="71">
        <f t="shared" si="0"/>
        <v>64271.239149540284</v>
      </c>
      <c r="D32" s="71">
        <f t="shared" si="3"/>
        <v>-254964.53653521932</v>
      </c>
      <c r="E32" s="71">
        <f t="shared" si="1"/>
        <v>7521855.4005591553</v>
      </c>
      <c r="G32" s="71">
        <f t="shared" si="6"/>
        <v>12351989.019591173</v>
      </c>
      <c r="H32" s="71">
        <f t="shared" si="4"/>
        <v>102933.24182992644</v>
      </c>
      <c r="I32" s="71">
        <f t="shared" si="7"/>
        <v>-318705.67066902411</v>
      </c>
      <c r="J32" s="71">
        <f t="shared" si="8"/>
        <v>12136216.590752074</v>
      </c>
    </row>
    <row r="33" spans="1:10" x14ac:dyDescent="0.3">
      <c r="A33" s="276">
        <v>46386</v>
      </c>
      <c r="B33" s="71">
        <f t="shared" si="2"/>
        <v>7521855.4005591553</v>
      </c>
      <c r="C33" s="71">
        <f t="shared" si="0"/>
        <v>62682.128337992966</v>
      </c>
      <c r="D33" s="71">
        <f t="shared" si="3"/>
        <v>-254964.53653521932</v>
      </c>
      <c r="E33" s="71">
        <f t="shared" si="1"/>
        <v>7329572.9923619293</v>
      </c>
      <c r="G33" s="71">
        <f t="shared" si="6"/>
        <v>12136216.590752074</v>
      </c>
      <c r="H33" s="71">
        <f t="shared" si="4"/>
        <v>101135.1382562673</v>
      </c>
      <c r="I33" s="71">
        <f t="shared" si="7"/>
        <v>-318705.67066902411</v>
      </c>
      <c r="J33" s="71">
        <f t="shared" si="8"/>
        <v>11918646.058339316</v>
      </c>
    </row>
    <row r="34" spans="1:10" x14ac:dyDescent="0.3">
      <c r="A34" s="276">
        <v>46417</v>
      </c>
      <c r="B34" s="71">
        <f t="shared" si="2"/>
        <v>7329572.9923619293</v>
      </c>
      <c r="C34" s="71">
        <f t="shared" si="0"/>
        <v>61079.774936349415</v>
      </c>
      <c r="D34" s="71">
        <f t="shared" si="3"/>
        <v>-254964.53653521932</v>
      </c>
      <c r="E34" s="71">
        <f t="shared" si="1"/>
        <v>7135688.2307630591</v>
      </c>
      <c r="G34" s="71">
        <f t="shared" si="6"/>
        <v>11918646.058339316</v>
      </c>
      <c r="H34" s="71">
        <f t="shared" si="4"/>
        <v>99322.050486160966</v>
      </c>
      <c r="I34" s="71">
        <f t="shared" si="7"/>
        <v>-318705.67066902411</v>
      </c>
      <c r="J34" s="71">
        <f t="shared" si="8"/>
        <v>11699262.438156452</v>
      </c>
    </row>
    <row r="35" spans="1:10" x14ac:dyDescent="0.3">
      <c r="A35" s="276">
        <v>46446</v>
      </c>
      <c r="B35" s="71">
        <f t="shared" si="2"/>
        <v>7135688.2307630591</v>
      </c>
      <c r="C35" s="71">
        <f t="shared" si="0"/>
        <v>59464.068589692157</v>
      </c>
      <c r="D35" s="71">
        <f t="shared" si="3"/>
        <v>-254964.53653521932</v>
      </c>
      <c r="E35" s="71">
        <f t="shared" si="1"/>
        <v>6940187.7628175318</v>
      </c>
      <c r="G35" s="71">
        <f t="shared" si="6"/>
        <v>11699262.438156452</v>
      </c>
      <c r="H35" s="71">
        <f t="shared" si="4"/>
        <v>97493.853651303783</v>
      </c>
      <c r="I35" s="71">
        <f t="shared" si="7"/>
        <v>-318705.67066902411</v>
      </c>
      <c r="J35" s="71">
        <f t="shared" si="8"/>
        <v>11478050.621138731</v>
      </c>
    </row>
    <row r="36" spans="1:10" x14ac:dyDescent="0.3">
      <c r="A36" s="276">
        <v>46476</v>
      </c>
      <c r="B36" s="71">
        <f t="shared" si="2"/>
        <v>6940187.7628175318</v>
      </c>
      <c r="C36" s="71">
        <f t="shared" si="0"/>
        <v>57834.898023479436</v>
      </c>
      <c r="D36" s="71">
        <f t="shared" si="3"/>
        <v>-254964.53653521932</v>
      </c>
      <c r="E36" s="71">
        <f t="shared" si="1"/>
        <v>6743058.1243057922</v>
      </c>
      <c r="G36" s="71">
        <f t="shared" si="6"/>
        <v>11478050.621138731</v>
      </c>
      <c r="H36" s="71">
        <f t="shared" si="4"/>
        <v>95650.421842822761</v>
      </c>
      <c r="I36" s="71">
        <f t="shared" si="7"/>
        <v>-318705.67066902411</v>
      </c>
      <c r="J36" s="71">
        <f t="shared" si="8"/>
        <v>11254995.372312529</v>
      </c>
    </row>
    <row r="37" spans="1:10" x14ac:dyDescent="0.3">
      <c r="A37" s="276" t="s">
        <v>50</v>
      </c>
      <c r="C37" s="96">
        <f>SUM(C7:C36)</f>
        <v>2391994.2203623885</v>
      </c>
      <c r="D37" s="96">
        <f>SUM(D7:D36)</f>
        <v>-7648936.0960565796</v>
      </c>
      <c r="E37" s="8"/>
      <c r="H37" s="96">
        <f>SUM(H7:H36)</f>
        <v>1991697.4443549747</v>
      </c>
      <c r="I37" s="96">
        <f>SUM(I7:I36)</f>
        <v>-5736702.0720424317</v>
      </c>
    </row>
    <row r="38" spans="1:10" x14ac:dyDescent="0.3">
      <c r="D38" s="71"/>
      <c r="E38" s="71"/>
      <c r="I38" s="71"/>
      <c r="J38" s="71"/>
    </row>
  </sheetData>
  <mergeCells count="2">
    <mergeCell ref="A4:E4"/>
    <mergeCell ref="G4:J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M61"/>
  <sheetViews>
    <sheetView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D10" sqref="D10"/>
    </sheetView>
  </sheetViews>
  <sheetFormatPr defaultRowHeight="14.4" x14ac:dyDescent="0.3"/>
  <cols>
    <col min="1" max="1" width="6.6640625" customWidth="1"/>
    <col min="2" max="2" width="31.88671875" style="3" customWidth="1"/>
    <col min="3" max="3" width="13.6640625" style="66" customWidth="1"/>
    <col min="4" max="8" width="13.6640625" customWidth="1"/>
    <col min="9" max="9" width="9.88671875" bestFit="1" customWidth="1"/>
    <col min="11" max="11" width="11.88671875" bestFit="1" customWidth="1"/>
  </cols>
  <sheetData>
    <row r="1" spans="2:11" x14ac:dyDescent="0.3">
      <c r="B1" s="3" t="s">
        <v>385</v>
      </c>
    </row>
    <row r="2" spans="2:11" s="1" customFormat="1" x14ac:dyDescent="0.3">
      <c r="B2" s="4"/>
      <c r="C2" s="229"/>
      <c r="D2" s="2"/>
      <c r="E2" s="2"/>
      <c r="F2" s="2"/>
      <c r="G2" s="2"/>
    </row>
    <row r="3" spans="2:11" x14ac:dyDescent="0.3">
      <c r="C3" s="229" t="s">
        <v>387</v>
      </c>
      <c r="D3" s="2" t="s">
        <v>112</v>
      </c>
      <c r="E3" s="2" t="s">
        <v>1</v>
      </c>
      <c r="F3" s="2" t="s">
        <v>2</v>
      </c>
      <c r="G3" s="2" t="s">
        <v>3</v>
      </c>
      <c r="H3" s="2" t="s">
        <v>4</v>
      </c>
    </row>
    <row r="4" spans="2:11" x14ac:dyDescent="0.3">
      <c r="B4" s="134" t="s">
        <v>30</v>
      </c>
      <c r="C4" s="100"/>
      <c r="D4" s="8"/>
      <c r="E4" s="8"/>
      <c r="F4" s="8"/>
      <c r="G4" s="8"/>
      <c r="H4" s="8"/>
    </row>
    <row r="5" spans="2:11" x14ac:dyDescent="0.3">
      <c r="B5" s="59"/>
      <c r="C5" s="100"/>
      <c r="D5" s="8"/>
      <c r="E5" s="8"/>
      <c r="F5" s="8"/>
      <c r="G5" s="8"/>
      <c r="H5" s="8"/>
    </row>
    <row r="6" spans="2:11" x14ac:dyDescent="0.3">
      <c r="B6" s="59" t="s">
        <v>230</v>
      </c>
      <c r="C6" s="100"/>
      <c r="D6" s="8"/>
      <c r="E6" s="8"/>
      <c r="F6" s="8"/>
      <c r="G6" s="8"/>
      <c r="H6" s="8"/>
    </row>
    <row r="7" spans="2:11" ht="14.25" customHeight="1" x14ac:dyDescent="0.3">
      <c r="B7" s="24" t="s">
        <v>172</v>
      </c>
      <c r="C7" s="99">
        <v>10336200</v>
      </c>
      <c r="D7" s="99">
        <f>'BS Assumption'!D6</f>
        <v>10336200</v>
      </c>
      <c r="E7" s="99">
        <f>'BS Assumption'!E6</f>
        <v>10336200</v>
      </c>
      <c r="F7" s="99">
        <f>'BS Assumption'!F6</f>
        <v>10336200</v>
      </c>
      <c r="G7" s="99">
        <f>'BS Assumption'!G6</f>
        <v>10336200</v>
      </c>
      <c r="H7" s="99">
        <f>'BS Assumption'!H6</f>
        <v>10336200</v>
      </c>
    </row>
    <row r="8" spans="2:11" ht="14.25" customHeight="1" x14ac:dyDescent="0.3">
      <c r="B8" s="24" t="s">
        <v>225</v>
      </c>
      <c r="C8" s="99"/>
      <c r="D8" s="99"/>
      <c r="E8" s="99"/>
      <c r="F8" s="99"/>
      <c r="G8" s="99"/>
      <c r="H8" s="99"/>
    </row>
    <row r="9" spans="2:11" x14ac:dyDescent="0.3">
      <c r="B9" s="24" t="s">
        <v>124</v>
      </c>
      <c r="C9" s="99">
        <v>16779585</v>
      </c>
      <c r="D9" s="99">
        <f>'BS Assumption'!D11</f>
        <v>18010778.800566666</v>
      </c>
      <c r="E9" s="99">
        <f>'BS Assumption'!E11</f>
        <v>21575378.831552666</v>
      </c>
      <c r="F9" s="99">
        <f>'BS Assumption'!F11</f>
        <v>34130920.670091808</v>
      </c>
      <c r="G9" s="99">
        <f>'BS Assumption'!G11</f>
        <v>52778044.776925832</v>
      </c>
      <c r="H9" s="99">
        <f>'BS Assumption'!H11</f>
        <v>96116223.766710848</v>
      </c>
    </row>
    <row r="10" spans="2:11" x14ac:dyDescent="0.3">
      <c r="B10" s="59"/>
      <c r="C10" s="100"/>
      <c r="D10" s="100"/>
      <c r="E10" s="100"/>
      <c r="F10" s="100"/>
      <c r="G10" s="100"/>
      <c r="H10" s="100"/>
    </row>
    <row r="11" spans="2:11" x14ac:dyDescent="0.3">
      <c r="B11" s="24" t="s">
        <v>413</v>
      </c>
      <c r="C11" s="100"/>
      <c r="D11" s="100"/>
      <c r="E11" s="100"/>
      <c r="F11" s="101">
        <f>'FA Loan '!E12</f>
        <v>11050625.635530386</v>
      </c>
      <c r="G11" s="101">
        <f>'FA Loan '!E24+'FA Loan '!J24</f>
        <v>22817278.342263006</v>
      </c>
      <c r="H11" s="101">
        <f>'FA Loan '!E36+'FA Loan '!J36</f>
        <v>17998053.496618323</v>
      </c>
    </row>
    <row r="12" spans="2:11" x14ac:dyDescent="0.3">
      <c r="B12" s="24" t="s">
        <v>31</v>
      </c>
      <c r="C12" s="101">
        <v>7709482</v>
      </c>
      <c r="D12" s="101">
        <f>'BS Assumption'!D16</f>
        <v>2235616.4383561648</v>
      </c>
      <c r="E12" s="101">
        <f>'BS Assumption'!E16</f>
        <v>5286575.3424657537</v>
      </c>
      <c r="F12" s="101">
        <f>'BS Assumption'!F16</f>
        <v>7052054.7945205476</v>
      </c>
      <c r="G12" s="101">
        <f>'BS Assumption'!G16</f>
        <v>10941369.863013702</v>
      </c>
      <c r="H12" s="101">
        <f>'BS Assumption'!H16</f>
        <v>15078575.342465756</v>
      </c>
    </row>
    <row r="13" spans="2:11" x14ac:dyDescent="0.3">
      <c r="B13" s="24" t="s">
        <v>338</v>
      </c>
      <c r="C13" s="101">
        <v>11371866</v>
      </c>
      <c r="D13" s="101">
        <f>D34-D7-D9-D12-D14</f>
        <v>14597654.975755097</v>
      </c>
      <c r="E13" s="101">
        <f t="shared" ref="E13" si="0">E34-E7-E9-E12-E14</f>
        <v>18416667.229807325</v>
      </c>
      <c r="F13" s="101">
        <f>F34-F7-F9-F12-F14-F11</f>
        <v>17202720.776061337</v>
      </c>
      <c r="G13" s="101">
        <f>'BS Assumption'!G29</f>
        <v>23175475.881907642</v>
      </c>
      <c r="H13" s="101">
        <f>'BS Assumption'!H29</f>
        <v>29546414.661477037</v>
      </c>
    </row>
    <row r="14" spans="2:11" x14ac:dyDescent="0.3">
      <c r="B14" s="24" t="s">
        <v>339</v>
      </c>
      <c r="C14" s="101">
        <v>530831</v>
      </c>
      <c r="D14" s="101">
        <f>'BS Assumption'!D36</f>
        <v>961754.52512861928</v>
      </c>
      <c r="E14" s="101">
        <f>'BS Assumption'!E36</f>
        <v>2244210.8603086863</v>
      </c>
      <c r="F14" s="101">
        <f>'BS Assumption'!F36</f>
        <v>3030702.2066680123</v>
      </c>
      <c r="G14" s="101">
        <f>'BS Assumption'!G36</f>
        <v>4839123.5306688203</v>
      </c>
      <c r="H14" s="101">
        <f>'BS Assumption'!H36</f>
        <v>6714772.9429363478</v>
      </c>
    </row>
    <row r="15" spans="2:11" s="8" customFormat="1" ht="15" thickBot="1" x14ac:dyDescent="0.35">
      <c r="B15" s="80" t="s">
        <v>123</v>
      </c>
      <c r="C15" s="69">
        <f t="shared" ref="C15:H15" si="1">SUM(C7:C14)</f>
        <v>46727964</v>
      </c>
      <c r="D15" s="69">
        <f t="shared" si="1"/>
        <v>46142004.739806548</v>
      </c>
      <c r="E15" s="69">
        <f t="shared" si="1"/>
        <v>57859032.264134429</v>
      </c>
      <c r="F15" s="69">
        <f t="shared" si="1"/>
        <v>82803224.082872093</v>
      </c>
      <c r="G15" s="69">
        <f t="shared" si="1"/>
        <v>124887492.39477901</v>
      </c>
      <c r="H15" s="69">
        <f t="shared" si="1"/>
        <v>175790240.21020833</v>
      </c>
      <c r="K15" s="96"/>
    </row>
    <row r="16" spans="2:11" s="8" customFormat="1" ht="15" thickTop="1" x14ac:dyDescent="0.3">
      <c r="B16" s="59"/>
      <c r="C16" s="100"/>
      <c r="D16" s="100"/>
      <c r="E16" s="100"/>
      <c r="F16" s="100"/>
      <c r="G16" s="100"/>
      <c r="H16" s="100"/>
    </row>
    <row r="17" spans="2:13" s="8" customFormat="1" x14ac:dyDescent="0.3">
      <c r="B17" s="134" t="s">
        <v>33</v>
      </c>
      <c r="C17" s="100"/>
      <c r="D17" s="100"/>
      <c r="E17" s="100"/>
      <c r="F17" s="100"/>
      <c r="G17" s="100"/>
      <c r="H17" s="100"/>
    </row>
    <row r="18" spans="2:13" s="8" customFormat="1" x14ac:dyDescent="0.3">
      <c r="B18" s="59"/>
      <c r="C18" s="101"/>
      <c r="D18" s="100"/>
      <c r="E18" s="100"/>
      <c r="F18" s="100"/>
      <c r="G18" s="100"/>
      <c r="H18" s="100"/>
    </row>
    <row r="19" spans="2:13" s="8" customFormat="1" x14ac:dyDescent="0.3">
      <c r="B19" s="59" t="s">
        <v>231</v>
      </c>
      <c r="C19" s="100"/>
      <c r="D19" s="100"/>
      <c r="E19" s="100"/>
      <c r="F19" s="100"/>
      <c r="G19" s="100"/>
      <c r="H19" s="100"/>
    </row>
    <row r="20" spans="2:13" s="8" customFormat="1" x14ac:dyDescent="0.3">
      <c r="B20" s="24" t="s">
        <v>10</v>
      </c>
      <c r="C20" s="184">
        <v>5526458</v>
      </c>
      <c r="D20" s="254">
        <f>FA!D4</f>
        <v>5526458</v>
      </c>
      <c r="E20" s="254">
        <f>FA!E4</f>
        <v>6451458</v>
      </c>
      <c r="F20" s="254">
        <f>FA!F4</f>
        <v>6736458</v>
      </c>
      <c r="G20" s="254">
        <f>FA!G4</f>
        <v>7161458</v>
      </c>
      <c r="H20" s="254">
        <f>FA!H4</f>
        <v>7486458</v>
      </c>
    </row>
    <row r="21" spans="2:13" s="8" customFormat="1" x14ac:dyDescent="0.3">
      <c r="B21" s="24" t="s">
        <v>399</v>
      </c>
      <c r="C21"/>
      <c r="D21" s="254">
        <f>FA!D9+FA!D5</f>
        <v>2625000</v>
      </c>
      <c r="E21" s="254">
        <f>FA!E9+FA!E5</f>
        <v>2285000</v>
      </c>
      <c r="F21" s="254">
        <f>FA!F9+FA!F5</f>
        <v>20425000</v>
      </c>
      <c r="G21" s="254">
        <f>FA!G9+FA!G5</f>
        <v>25325000</v>
      </c>
      <c r="H21" s="254">
        <f>FA!H9</f>
        <v>0</v>
      </c>
    </row>
    <row r="22" spans="2:13" s="8" customFormat="1" x14ac:dyDescent="0.3">
      <c r="B22" s="24" t="s">
        <v>254</v>
      </c>
      <c r="C22" s="184">
        <v>-3569264</v>
      </c>
      <c r="D22" s="184">
        <f>-FA!D16</f>
        <v>-4234736.8661000002</v>
      </c>
      <c r="E22" s="184">
        <f>-FA!E16</f>
        <v>-5332209.7971999999</v>
      </c>
      <c r="F22" s="184">
        <f>-FA!F16</f>
        <v>-7136048.9119999995</v>
      </c>
      <c r="G22" s="184">
        <f>-FA!G16</f>
        <v>-11122448.216800001</v>
      </c>
      <c r="H22" s="184">
        <f>-FA!H16</f>
        <v>-16135919.027600002</v>
      </c>
    </row>
    <row r="23" spans="2:13" s="8" customFormat="1" x14ac:dyDescent="0.3">
      <c r="B23" s="55" t="s">
        <v>177</v>
      </c>
      <c r="C23" s="255">
        <f t="shared" ref="C23:H23" si="2">SUM(C20:C22)</f>
        <v>1957194</v>
      </c>
      <c r="D23" s="255">
        <f t="shared" si="2"/>
        <v>3916721.1338999998</v>
      </c>
      <c r="E23" s="255">
        <f t="shared" si="2"/>
        <v>3404248.2028000001</v>
      </c>
      <c r="F23" s="255">
        <f t="shared" si="2"/>
        <v>20025409.088</v>
      </c>
      <c r="G23" s="255">
        <f t="shared" si="2"/>
        <v>21364009.783199999</v>
      </c>
      <c r="H23" s="255">
        <f t="shared" si="2"/>
        <v>-8649461.0276000015</v>
      </c>
      <c r="I23" s="96"/>
      <c r="J23" s="96"/>
      <c r="K23" s="96"/>
      <c r="L23" s="96"/>
      <c r="M23" s="96"/>
    </row>
    <row r="24" spans="2:13" s="8" customFormat="1" x14ac:dyDescent="0.3">
      <c r="B24" s="24"/>
      <c r="C24" s="100"/>
      <c r="D24" s="100"/>
      <c r="E24" s="100"/>
      <c r="F24" s="100"/>
      <c r="G24" s="100"/>
      <c r="H24" s="100"/>
    </row>
    <row r="25" spans="2:13" s="8" customFormat="1" x14ac:dyDescent="0.3">
      <c r="B25" s="24" t="s">
        <v>341</v>
      </c>
      <c r="C25" s="101">
        <v>21158836</v>
      </c>
      <c r="D25" s="101">
        <f>'BS Assumption'!D43</f>
        <v>21158836</v>
      </c>
      <c r="E25" s="101">
        <f>'BS Assumption'!E43</f>
        <v>21158836</v>
      </c>
      <c r="F25" s="101">
        <f>'BS Assumption'!F43</f>
        <v>21158836</v>
      </c>
      <c r="G25" s="101">
        <f>'BS Assumption'!G43</f>
        <v>21158836</v>
      </c>
      <c r="H25" s="101">
        <f>'BS Assumption'!H43</f>
        <v>21158836</v>
      </c>
    </row>
    <row r="26" spans="2:13" s="8" customFormat="1" x14ac:dyDescent="0.3">
      <c r="B26" s="3" t="s">
        <v>344</v>
      </c>
      <c r="C26" s="101">
        <v>1657382</v>
      </c>
      <c r="D26" s="101">
        <f>'BS Assumption'!D45</f>
        <v>1657382</v>
      </c>
      <c r="E26" s="101">
        <f>'BS Assumption'!E45</f>
        <v>1657382</v>
      </c>
      <c r="F26" s="101">
        <f>'BS Assumption'!F45</f>
        <v>1657382</v>
      </c>
      <c r="G26" s="101">
        <f>'BS Assumption'!G45</f>
        <v>1657382</v>
      </c>
      <c r="H26" s="101">
        <f>'BS Assumption'!H45</f>
        <v>1657382</v>
      </c>
    </row>
    <row r="27" spans="2:13" s="8" customFormat="1" x14ac:dyDescent="0.3">
      <c r="B27" s="3" t="s">
        <v>345</v>
      </c>
      <c r="C27" s="101">
        <v>300000</v>
      </c>
      <c r="D27" s="101">
        <f>'BS Assumption'!D50</f>
        <v>300000</v>
      </c>
      <c r="E27" s="101">
        <f>'BS Assumption'!E50</f>
        <v>300000</v>
      </c>
      <c r="F27" s="101">
        <f>'BS Assumption'!F50</f>
        <v>300000</v>
      </c>
      <c r="G27" s="101">
        <f>'BS Assumption'!G50</f>
        <v>300000</v>
      </c>
      <c r="H27" s="101">
        <f>'BS Assumption'!H50</f>
        <v>300000</v>
      </c>
    </row>
    <row r="28" spans="2:13" s="8" customFormat="1" x14ac:dyDescent="0.3">
      <c r="B28" s="24" t="s">
        <v>226</v>
      </c>
      <c r="C28" s="101">
        <v>2009565</v>
      </c>
      <c r="D28" s="101">
        <f>'BS Assumption'!D56</f>
        <v>5365479.4520547958</v>
      </c>
      <c r="E28" s="101">
        <f>'BS Assumption'!E56</f>
        <v>11278027.397260277</v>
      </c>
      <c r="F28" s="101">
        <f>'BS Assumption'!F56</f>
        <v>13163835.616438355</v>
      </c>
      <c r="G28" s="101">
        <f>'BS Assumption'!G56</f>
        <v>18965041.095890418</v>
      </c>
      <c r="H28" s="101">
        <f>'BS Assumption'!H56</f>
        <v>24125720.547945209</v>
      </c>
    </row>
    <row r="29" spans="2:13" s="8" customFormat="1" x14ac:dyDescent="0.3">
      <c r="B29" s="24" t="s">
        <v>34</v>
      </c>
      <c r="C29" s="101">
        <v>2979623</v>
      </c>
      <c r="D29" s="101">
        <f>'BS Assumption'!D61</f>
        <v>3287671.2328767125</v>
      </c>
      <c r="E29" s="101">
        <f>'BS Assumption'!E61</f>
        <v>7890410.9589041099</v>
      </c>
      <c r="F29" s="101">
        <f>'BS Assumption'!F61</f>
        <v>10684931.506849313</v>
      </c>
      <c r="G29" s="101">
        <f>'BS Assumption'!G61</f>
        <v>17095890.410958905</v>
      </c>
      <c r="H29" s="101">
        <f>'BS Assumption'!H61</f>
        <v>23934246.575342465</v>
      </c>
    </row>
    <row r="30" spans="2:13" s="8" customFormat="1" x14ac:dyDescent="0.3">
      <c r="B30" s="3" t="s">
        <v>346</v>
      </c>
      <c r="C30" s="101">
        <v>4502105</v>
      </c>
      <c r="D30" s="101">
        <f>'BS Assumption'!D75</f>
        <v>9453417.9209750369</v>
      </c>
      <c r="E30" s="101">
        <f>'BS Assumption'!E75</f>
        <v>11167630.705170045</v>
      </c>
      <c r="F30" s="101">
        <f>'BS Assumption'!F75</f>
        <v>14810332.871584432</v>
      </c>
      <c r="G30" s="101">
        <f>'BS Assumption'!G75</f>
        <v>23167120.194535095</v>
      </c>
      <c r="H30" s="101">
        <f>'BS Assumption'!H75</f>
        <v>32081026.672349136</v>
      </c>
    </row>
    <row r="31" spans="2:13" s="8" customFormat="1" x14ac:dyDescent="0.3">
      <c r="B31" s="140" t="s">
        <v>347</v>
      </c>
      <c r="C31" s="101">
        <v>2497</v>
      </c>
      <c r="D31" s="101">
        <f>'BS Assumption'!D77</f>
        <v>2497</v>
      </c>
      <c r="E31" s="101">
        <f>'BS Assumption'!E77</f>
        <v>2497</v>
      </c>
      <c r="F31" s="101">
        <f>'BS Assumption'!F77</f>
        <v>2497</v>
      </c>
      <c r="G31" s="101">
        <f>'BS Assumption'!G77</f>
        <v>2497</v>
      </c>
      <c r="H31" s="101">
        <f>'BS Assumption'!H77</f>
        <v>2497</v>
      </c>
    </row>
    <row r="32" spans="2:13" s="8" customFormat="1" x14ac:dyDescent="0.3">
      <c r="B32" s="3" t="s">
        <v>365</v>
      </c>
      <c r="C32" s="101">
        <v>12160762</v>
      </c>
      <c r="D32" s="101">
        <f>'BS Assumption'!D79</f>
        <v>1000000</v>
      </c>
      <c r="E32" s="101">
        <f>'BS Assumption'!E79</f>
        <v>1000000</v>
      </c>
      <c r="F32" s="101">
        <f>'BS Assumption'!F79</f>
        <v>1000000</v>
      </c>
      <c r="G32" s="101">
        <f>'BS Assumption'!G79</f>
        <v>1000000</v>
      </c>
      <c r="H32" s="101">
        <f>'BS Assumption'!H79</f>
        <v>1000000</v>
      </c>
    </row>
    <row r="33" spans="2:8" s="8" customFormat="1" x14ac:dyDescent="0.3">
      <c r="B33" s="140" t="s">
        <v>232</v>
      </c>
      <c r="C33" s="101"/>
      <c r="D33" s="100"/>
      <c r="E33" s="101"/>
      <c r="F33" s="101"/>
      <c r="G33" s="101">
        <f>G15-G23-SUM(G25:G32)</f>
        <v>20176715.910194606</v>
      </c>
      <c r="H33" s="101">
        <f>H15-H23-SUM(H25:H32)</f>
        <v>80179992.442171499</v>
      </c>
    </row>
    <row r="34" spans="2:8" s="8" customFormat="1" ht="15" thickBot="1" x14ac:dyDescent="0.35">
      <c r="B34" s="80" t="s">
        <v>122</v>
      </c>
      <c r="C34" s="69">
        <f t="shared" ref="C34" si="3">C23+SUM(C25:C33)</f>
        <v>46727964</v>
      </c>
      <c r="D34" s="69">
        <f>D23+SUM(D25:D33)</f>
        <v>46142004.739806548</v>
      </c>
      <c r="E34" s="69">
        <f t="shared" ref="E34:H34" si="4">E23+SUM(E25:E33)</f>
        <v>57859032.264134429</v>
      </c>
      <c r="F34" s="69">
        <f t="shared" si="4"/>
        <v>82803224.082872093</v>
      </c>
      <c r="G34" s="69">
        <f t="shared" si="4"/>
        <v>124887492.39477901</v>
      </c>
      <c r="H34" s="69">
        <f t="shared" si="4"/>
        <v>175790240.21020833</v>
      </c>
    </row>
    <row r="35" spans="2:8" ht="15" thickTop="1" x14ac:dyDescent="0.3"/>
    <row r="36" spans="2:8" x14ac:dyDescent="0.3">
      <c r="B36" s="23"/>
      <c r="C36" s="66">
        <f t="shared" ref="C36:H36" si="5">C34-C15</f>
        <v>0</v>
      </c>
      <c r="D36" s="66">
        <f t="shared" si="5"/>
        <v>0</v>
      </c>
      <c r="E36" s="66">
        <f t="shared" si="5"/>
        <v>0</v>
      </c>
      <c r="F36" s="66">
        <f t="shared" si="5"/>
        <v>0</v>
      </c>
      <c r="G36" s="66">
        <f t="shared" si="5"/>
        <v>0</v>
      </c>
      <c r="H36" s="66">
        <f t="shared" si="5"/>
        <v>0</v>
      </c>
    </row>
    <row r="37" spans="2:8" x14ac:dyDescent="0.3">
      <c r="B37" s="25"/>
      <c r="D37" s="66"/>
      <c r="E37" s="66"/>
      <c r="F37" s="66"/>
      <c r="G37" s="66"/>
      <c r="H37" s="66"/>
    </row>
    <row r="38" spans="2:8" hidden="1" x14ac:dyDescent="0.3">
      <c r="B38" s="166" t="s">
        <v>259</v>
      </c>
      <c r="C38" s="132"/>
      <c r="D38" s="86"/>
      <c r="E38" s="86"/>
      <c r="F38" s="86"/>
      <c r="G38" s="86"/>
      <c r="H38" s="152"/>
    </row>
    <row r="39" spans="2:8" hidden="1" x14ac:dyDescent="0.3">
      <c r="B39" s="62" t="s">
        <v>260</v>
      </c>
      <c r="C39" s="99"/>
      <c r="D39" s="99"/>
      <c r="E39" s="99"/>
      <c r="F39" s="99"/>
      <c r="G39" s="99"/>
      <c r="H39" s="131"/>
    </row>
    <row r="40" spans="2:8" hidden="1" x14ac:dyDescent="0.3">
      <c r="B40" s="62"/>
      <c r="C40" s="99"/>
      <c r="H40" s="3"/>
    </row>
    <row r="41" spans="2:8" hidden="1" x14ac:dyDescent="0.3">
      <c r="B41" s="167" t="s">
        <v>263</v>
      </c>
      <c r="C41" s="99"/>
      <c r="D41" s="99"/>
      <c r="E41" s="99"/>
      <c r="F41" s="99"/>
      <c r="G41" s="99"/>
      <c r="H41" s="131"/>
    </row>
    <row r="42" spans="2:8" hidden="1" x14ac:dyDescent="0.3">
      <c r="B42" s="167"/>
      <c r="C42" s="99"/>
      <c r="H42" s="3"/>
    </row>
    <row r="43" spans="2:8" hidden="1" x14ac:dyDescent="0.3">
      <c r="B43" s="167" t="s">
        <v>269</v>
      </c>
      <c r="C43" s="99"/>
      <c r="D43" s="154"/>
      <c r="E43" s="154"/>
      <c r="F43" s="154"/>
      <c r="G43" s="154"/>
      <c r="H43" s="165"/>
    </row>
    <row r="44" spans="2:8" hidden="1" x14ac:dyDescent="0.3">
      <c r="B44" s="167" t="s">
        <v>262</v>
      </c>
      <c r="C44" s="99"/>
      <c r="D44" s="154"/>
      <c r="E44" s="154"/>
      <c r="F44" s="154"/>
      <c r="G44" s="154"/>
      <c r="H44" s="165"/>
    </row>
    <row r="45" spans="2:8" hidden="1" x14ac:dyDescent="0.3">
      <c r="B45" s="167" t="s">
        <v>261</v>
      </c>
      <c r="C45" s="99"/>
      <c r="D45" s="154"/>
      <c r="E45" s="154"/>
      <c r="F45" s="154"/>
      <c r="G45" s="154"/>
      <c r="H45" s="165"/>
    </row>
    <row r="46" spans="2:8" hidden="1" x14ac:dyDescent="0.3">
      <c r="B46" s="167"/>
      <c r="C46" s="99"/>
      <c r="H46" s="3"/>
    </row>
    <row r="47" spans="2:8" hidden="1" x14ac:dyDescent="0.3">
      <c r="B47" s="118" t="s">
        <v>264</v>
      </c>
      <c r="C47" s="99"/>
      <c r="D47" s="99"/>
      <c r="E47" s="99"/>
      <c r="F47" s="99"/>
      <c r="G47" s="99"/>
      <c r="H47" s="131"/>
    </row>
    <row r="48" spans="2:8" hidden="1" x14ac:dyDescent="0.3">
      <c r="B48" s="167" t="s">
        <v>265</v>
      </c>
      <c r="C48" s="99"/>
      <c r="D48" s="99"/>
      <c r="E48" s="99"/>
      <c r="F48" s="99"/>
      <c r="G48" s="99"/>
      <c r="H48" s="131"/>
    </row>
    <row r="49" spans="2:8" hidden="1" x14ac:dyDescent="0.3">
      <c r="B49" s="167" t="s">
        <v>266</v>
      </c>
      <c r="C49" s="99"/>
      <c r="D49" s="99"/>
      <c r="E49" s="99"/>
      <c r="F49" s="99"/>
      <c r="G49" s="99"/>
      <c r="H49" s="131"/>
    </row>
    <row r="50" spans="2:8" hidden="1" x14ac:dyDescent="0.3">
      <c r="B50" s="118"/>
      <c r="C50" s="99"/>
      <c r="H50" s="3"/>
    </row>
    <row r="51" spans="2:8" hidden="1" x14ac:dyDescent="0.3">
      <c r="B51" s="62" t="s">
        <v>267</v>
      </c>
      <c r="C51" s="99"/>
      <c r="D51" s="71"/>
      <c r="E51" s="71"/>
      <c r="F51" s="71"/>
      <c r="G51" s="71"/>
      <c r="H51" s="128"/>
    </row>
    <row r="52" spans="2:8" hidden="1" x14ac:dyDescent="0.3">
      <c r="B52" s="62" t="s">
        <v>268</v>
      </c>
      <c r="C52" s="99"/>
      <c r="D52" s="71"/>
      <c r="E52" s="71"/>
      <c r="F52" s="71"/>
      <c r="G52" s="71"/>
      <c r="H52" s="128"/>
    </row>
    <row r="53" spans="2:8" hidden="1" x14ac:dyDescent="0.3">
      <c r="B53" s="62" t="s">
        <v>235</v>
      </c>
      <c r="C53" s="99"/>
      <c r="D53" s="71"/>
      <c r="E53" s="71"/>
      <c r="F53" s="71"/>
      <c r="G53" s="71"/>
      <c r="H53" s="128"/>
    </row>
    <row r="54" spans="2:8" hidden="1" x14ac:dyDescent="0.3">
      <c r="B54" s="168"/>
      <c r="C54" s="99"/>
      <c r="H54" s="3"/>
    </row>
    <row r="55" spans="2:8" hidden="1" x14ac:dyDescent="0.3">
      <c r="B55" s="153" t="s">
        <v>270</v>
      </c>
      <c r="C55" s="99"/>
      <c r="D55" s="71"/>
      <c r="E55" s="71"/>
      <c r="F55" s="71"/>
      <c r="G55" s="71"/>
      <c r="H55" s="128"/>
    </row>
    <row r="56" spans="2:8" hidden="1" x14ac:dyDescent="0.3">
      <c r="B56" s="151" t="s">
        <v>271</v>
      </c>
      <c r="C56" s="161"/>
      <c r="D56" s="129"/>
      <c r="E56" s="129"/>
      <c r="F56" s="129"/>
      <c r="G56" s="129"/>
      <c r="H56" s="130"/>
    </row>
    <row r="57" spans="2:8" hidden="1" x14ac:dyDescent="0.3">
      <c r="B57" s="25"/>
    </row>
    <row r="58" spans="2:8" hidden="1" x14ac:dyDescent="0.3">
      <c r="B58" s="3" t="s">
        <v>275</v>
      </c>
      <c r="D58" s="70"/>
      <c r="E58" s="70"/>
      <c r="F58" s="70"/>
      <c r="G58" s="70"/>
      <c r="H58" s="70"/>
    </row>
    <row r="60" spans="2:8" x14ac:dyDescent="0.3">
      <c r="D60" s="66"/>
      <c r="E60" s="66"/>
      <c r="F60" s="66"/>
      <c r="G60" s="66"/>
      <c r="H60" s="66"/>
    </row>
    <row r="61" spans="2:8" x14ac:dyDescent="0.3">
      <c r="D61" s="71"/>
      <c r="E61" s="71"/>
      <c r="F61" s="71"/>
      <c r="G61" s="71"/>
      <c r="H61" s="7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995"/>
  <sheetViews>
    <sheetView tabSelected="1" workbookViewId="0">
      <pane xSplit="2" ySplit="4" topLeftCell="C5" activePane="bottomRight" state="frozen"/>
      <selection pane="topRight" activeCell="D1" sqref="D1"/>
      <selection pane="bottomLeft" activeCell="A5" sqref="A5"/>
      <selection pane="bottomRight" activeCell="K40" sqref="K40"/>
    </sheetView>
  </sheetViews>
  <sheetFormatPr defaultColWidth="14.44140625" defaultRowHeight="15" customHeight="1" x14ac:dyDescent="0.3"/>
  <cols>
    <col min="1" max="1" width="6.44140625" customWidth="1"/>
    <col min="2" max="2" width="56.44140625" customWidth="1"/>
    <col min="3" max="4" width="13.44140625" customWidth="1"/>
    <col min="5" max="5" width="14.6640625" customWidth="1"/>
    <col min="6" max="8" width="15.5546875" customWidth="1"/>
    <col min="9" max="9" width="8.88671875" customWidth="1"/>
    <col min="10" max="10" width="12.33203125" customWidth="1"/>
    <col min="11" max="11" width="13.33203125" customWidth="1"/>
    <col min="12" max="19" width="8.88671875" customWidth="1"/>
  </cols>
  <sheetData>
    <row r="1" spans="1:19" ht="14.25" customHeight="1" x14ac:dyDescent="0.3">
      <c r="A1" s="102"/>
      <c r="B1" s="3" t="s">
        <v>385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14.25" customHeight="1" x14ac:dyDescent="0.3">
      <c r="A2" s="103" t="s">
        <v>191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14.25" customHeight="1" x14ac:dyDescent="0.3">
      <c r="A3" s="102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s="8" customFormat="1" ht="14.25" customHeight="1" x14ac:dyDescent="0.3">
      <c r="A4" s="104"/>
      <c r="B4" s="105" t="s">
        <v>44</v>
      </c>
      <c r="C4" s="117"/>
      <c r="D4" s="117" t="s">
        <v>112</v>
      </c>
      <c r="E4" s="117" t="s">
        <v>1</v>
      </c>
      <c r="F4" s="117" t="s">
        <v>2</v>
      </c>
      <c r="G4" s="117" t="s">
        <v>3</v>
      </c>
      <c r="H4" s="117" t="s">
        <v>4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4.25" customHeight="1" x14ac:dyDescent="0.3">
      <c r="A5" s="106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4.25" customHeight="1" x14ac:dyDescent="0.3">
      <c r="A6" s="106" t="s">
        <v>192</v>
      </c>
      <c r="B6" s="107" t="s">
        <v>193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1:19" ht="14.25" customHeight="1" x14ac:dyDescent="0.3">
      <c r="A7" s="106"/>
      <c r="B7" s="28"/>
      <c r="C7" s="28"/>
      <c r="D7" s="97">
        <f>'PL-CONS'!D28</f>
        <v>1231193.8005666642</v>
      </c>
      <c r="E7" s="97">
        <f>'PL-CONS'!E28</f>
        <v>4817027.0689000003</v>
      </c>
      <c r="F7" s="97">
        <f>'PL-CONS'!F28</f>
        <v>16966948.4304583</v>
      </c>
      <c r="G7" s="97">
        <f>'PL-CONS'!G28</f>
        <v>25198816.360586524</v>
      </c>
      <c r="H7" s="97">
        <f>'PL-CONS'!H28</f>
        <v>58565106.742952712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</row>
    <row r="8" spans="1:19" ht="14.25" customHeight="1" x14ac:dyDescent="0.3">
      <c r="A8" s="106"/>
      <c r="B8" s="28" t="s">
        <v>194</v>
      </c>
      <c r="C8" s="108"/>
      <c r="D8" s="108"/>
      <c r="E8" s="108"/>
      <c r="F8" s="108"/>
      <c r="G8" s="108"/>
      <c r="H8" s="10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ht="14.25" customHeight="1" x14ac:dyDescent="0.3">
      <c r="A9" s="106"/>
      <c r="B9" s="28"/>
      <c r="C9" s="108"/>
      <c r="D9" s="108"/>
      <c r="E9" s="108"/>
      <c r="F9" s="108"/>
      <c r="G9" s="108"/>
      <c r="H9" s="10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ht="14.25" customHeight="1" x14ac:dyDescent="0.3">
      <c r="A10" s="106"/>
      <c r="B10" s="28" t="s">
        <v>195</v>
      </c>
      <c r="C10" s="108"/>
      <c r="D10" s="108"/>
      <c r="E10" s="108"/>
      <c r="F10" s="108"/>
      <c r="G10" s="108"/>
      <c r="H10" s="10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ht="14.25" customHeight="1" x14ac:dyDescent="0.3">
      <c r="A11" s="106"/>
      <c r="B11" s="28" t="s">
        <v>14</v>
      </c>
      <c r="C11" s="108"/>
      <c r="D11" s="108">
        <f>'PL-CONS'!D23</f>
        <v>665472.86609999998</v>
      </c>
      <c r="E11" s="108">
        <f>'PL-CONS'!E23</f>
        <v>1097472.9311000002</v>
      </c>
      <c r="F11" s="108">
        <f>'PL-CONS'!F23</f>
        <v>1803839.1148000001</v>
      </c>
      <c r="G11" s="108">
        <f>'PL-CONS'!G23</f>
        <v>3986399.3048</v>
      </c>
      <c r="H11" s="108">
        <f>'PL-CONS'!H23</f>
        <v>5013470.8108000001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</row>
    <row r="12" spans="1:19" ht="14.25" customHeight="1" x14ac:dyDescent="0.3">
      <c r="A12" s="106"/>
      <c r="B12" s="28" t="s">
        <v>196</v>
      </c>
      <c r="C12" s="109"/>
      <c r="D12" s="109">
        <f>+SUM(D7:D11)</f>
        <v>1896666.6666666642</v>
      </c>
      <c r="E12" s="109">
        <f t="shared" ref="E12:H12" si="0">+SUM(E7:E11)</f>
        <v>5914500</v>
      </c>
      <c r="F12" s="109">
        <f t="shared" si="0"/>
        <v>18770787.545258299</v>
      </c>
      <c r="G12" s="109">
        <f t="shared" si="0"/>
        <v>29185215.665386524</v>
      </c>
      <c r="H12" s="109">
        <f t="shared" si="0"/>
        <v>63578577.553752713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</row>
    <row r="13" spans="1:19" ht="14.25" customHeight="1" x14ac:dyDescent="0.3">
      <c r="A13" s="106"/>
      <c r="B13" s="28"/>
      <c r="C13" s="108"/>
      <c r="D13" s="108"/>
      <c r="E13" s="108"/>
      <c r="F13" s="108"/>
      <c r="G13" s="108"/>
      <c r="H13" s="10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</row>
    <row r="14" spans="1:19" ht="14.25" customHeight="1" x14ac:dyDescent="0.3">
      <c r="A14" s="228"/>
      <c r="B14" s="62" t="s">
        <v>197</v>
      </c>
      <c r="C14" s="108"/>
      <c r="D14" s="108"/>
      <c r="E14" s="108"/>
      <c r="F14" s="108"/>
      <c r="G14" s="108"/>
      <c r="H14" s="10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</row>
    <row r="15" spans="1:19" ht="14.25" customHeight="1" x14ac:dyDescent="0.3">
      <c r="A15" s="228"/>
      <c r="B15" s="15" t="s">
        <v>341</v>
      </c>
      <c r="C15" s="108"/>
      <c r="D15" s="108">
        <f>+-(BS!D25-BS!C25)</f>
        <v>0</v>
      </c>
      <c r="E15" s="108">
        <f>+-(BS!E25-BS!D25)</f>
        <v>0</v>
      </c>
      <c r="F15" s="108">
        <f>+-(BS!F25-BS!E25)</f>
        <v>0</v>
      </c>
      <c r="G15" s="108">
        <f>+-(BS!G25-BS!F25)</f>
        <v>0</v>
      </c>
      <c r="H15" s="108">
        <f>+-(BS!H25-BS!G25)</f>
        <v>0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 spans="1:19" ht="14.25" customHeight="1" x14ac:dyDescent="0.3">
      <c r="A16" s="228"/>
      <c r="B16" s="125" t="s">
        <v>344</v>
      </c>
      <c r="C16" s="108"/>
      <c r="D16" s="108">
        <f>+-(BS!D26-BS!C26)</f>
        <v>0</v>
      </c>
      <c r="E16" s="108">
        <f>+-(BS!E26-BS!D26)</f>
        <v>0</v>
      </c>
      <c r="F16" s="108">
        <f>+-(BS!F26-BS!E26)</f>
        <v>0</v>
      </c>
      <c r="G16" s="108">
        <f>+-(BS!G26-BS!F26)</f>
        <v>0</v>
      </c>
      <c r="H16" s="108">
        <f>+-(BS!H26-BS!G26)</f>
        <v>0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ht="14.25" customHeight="1" x14ac:dyDescent="0.3">
      <c r="A17" s="102"/>
      <c r="B17" s="15" t="s">
        <v>226</v>
      </c>
      <c r="C17" s="108"/>
      <c r="D17" s="108">
        <f>+-(BS!D28-BS!C28)</f>
        <v>-3355914.4520547958</v>
      </c>
      <c r="E17" s="108">
        <f>+-(BS!E28-BS!D28)</f>
        <v>-5912547.9452054808</v>
      </c>
      <c r="F17" s="108">
        <f>+-(BS!F28-BS!E28)</f>
        <v>-1885808.2191780787</v>
      </c>
      <c r="G17" s="108">
        <f>+-(BS!G28-BS!F28)</f>
        <v>-5801205.4794520624</v>
      </c>
      <c r="H17" s="108">
        <f>+-(BS!H28-BS!G28)</f>
        <v>-5160679.4520547912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 spans="1:19" ht="14.25" customHeight="1" x14ac:dyDescent="0.3">
      <c r="A18" s="102"/>
      <c r="B18" s="15" t="s">
        <v>34</v>
      </c>
      <c r="C18" s="108"/>
      <c r="D18" s="108">
        <f>+-(BS!D29-BS!C29)</f>
        <v>-308048.23287671246</v>
      </c>
      <c r="E18" s="108">
        <f>+-(BS!E29-BS!D29)</f>
        <v>-4602739.7260273974</v>
      </c>
      <c r="F18" s="108">
        <f>+-(BS!F29-BS!E29)</f>
        <v>-2794520.5479452033</v>
      </c>
      <c r="G18" s="108">
        <f>+-(BS!G29-BS!F29)</f>
        <v>-6410958.9041095916</v>
      </c>
      <c r="H18" s="108">
        <f>+-(BS!H29-BS!G29)</f>
        <v>-6838356.1643835604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19" ht="14.25" customHeight="1" x14ac:dyDescent="0.3">
      <c r="A19" s="102"/>
      <c r="B19" s="125" t="s">
        <v>346</v>
      </c>
      <c r="C19" s="108"/>
      <c r="D19" s="108">
        <f>+-(BS!D30-BS!C30)</f>
        <v>-4951312.9209750369</v>
      </c>
      <c r="E19" s="108">
        <f>+-(BS!E30-BS!D30)</f>
        <v>-1714212.7841950078</v>
      </c>
      <c r="F19" s="108">
        <f>+-(BS!F30-BS!E30)</f>
        <v>-3642702.1664143875</v>
      </c>
      <c r="G19" s="108">
        <f>+-(BS!G30-BS!F30)</f>
        <v>-8356787.322950663</v>
      </c>
      <c r="H19" s="108">
        <f>+-(BS!H30-BS!G30)</f>
        <v>-8913906.4778140411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14.25" customHeight="1" x14ac:dyDescent="0.3">
      <c r="A20" s="102"/>
      <c r="B20" s="153" t="s">
        <v>347</v>
      </c>
      <c r="C20" s="108"/>
      <c r="D20" s="108">
        <f>+-(BS!D31-BS!C31)</f>
        <v>0</v>
      </c>
      <c r="E20" s="108">
        <f>+-(BS!E31-BS!D31)</f>
        <v>0</v>
      </c>
      <c r="F20" s="108">
        <f>+-(BS!F31-BS!E31)</f>
        <v>0</v>
      </c>
      <c r="G20" s="108">
        <f>+-(BS!G31-BS!F31)</f>
        <v>0</v>
      </c>
      <c r="H20" s="108">
        <f>+-(BS!H31-BS!G31)</f>
        <v>0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 ht="14.25" customHeight="1" x14ac:dyDescent="0.3">
      <c r="A21" s="102"/>
      <c r="B21" s="153" t="s">
        <v>232</v>
      </c>
      <c r="C21" s="108"/>
      <c r="D21" s="108">
        <f>+-(BS!D33-BS!C33)</f>
        <v>0</v>
      </c>
      <c r="E21" s="108">
        <f>+-(BS!E33-BS!D33)</f>
        <v>0</v>
      </c>
      <c r="F21" s="108">
        <f>+-(BS!F33-BS!E33)</f>
        <v>0</v>
      </c>
      <c r="G21" s="108">
        <f>+-(BS!G33-BS!F33)</f>
        <v>-20176715.910194606</v>
      </c>
      <c r="H21" s="108">
        <f>+-(BS!H33-BS!G33)</f>
        <v>-60003276.531976894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ht="14.25" customHeight="1" x14ac:dyDescent="0.3">
      <c r="A22" s="102"/>
      <c r="B22" s="167"/>
      <c r="C22" s="108"/>
      <c r="D22" s="108"/>
      <c r="E22" s="108"/>
      <c r="F22" s="108"/>
      <c r="G22" s="108"/>
      <c r="H22" s="108"/>
      <c r="I22" s="28"/>
      <c r="J22" s="79"/>
      <c r="K22" s="79"/>
      <c r="L22" s="28"/>
      <c r="M22" s="28"/>
      <c r="N22" s="28"/>
      <c r="O22" s="28"/>
      <c r="P22" s="28"/>
      <c r="Q22" s="28"/>
      <c r="R22" s="28"/>
      <c r="S22" s="28"/>
    </row>
    <row r="23" spans="1:19" ht="14.25" customHeight="1" x14ac:dyDescent="0.3">
      <c r="A23" s="106"/>
      <c r="B23" s="28" t="s">
        <v>198</v>
      </c>
      <c r="C23" s="108"/>
      <c r="D23" s="108"/>
      <c r="E23" s="108"/>
      <c r="F23" s="108"/>
      <c r="G23" s="108"/>
      <c r="H23" s="10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4.25" customHeight="1" x14ac:dyDescent="0.3">
      <c r="A24" s="106"/>
      <c r="B24" s="24" t="s">
        <v>31</v>
      </c>
      <c r="C24" s="108"/>
      <c r="D24" s="108">
        <f>BS!D12-BS!C12</f>
        <v>-5473865.5616438352</v>
      </c>
      <c r="E24" s="108">
        <f>BS!E12-BS!D12</f>
        <v>3050958.9041095888</v>
      </c>
      <c r="F24" s="108">
        <f>BS!F12-BS!E12</f>
        <v>1765479.4520547939</v>
      </c>
      <c r="G24" s="108">
        <f>BS!G12-BS!F12</f>
        <v>3889315.0684931539</v>
      </c>
      <c r="H24" s="108">
        <f>BS!H12-BS!G12</f>
        <v>4137205.4794520549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ht="14.25" customHeight="1" x14ac:dyDescent="0.3">
      <c r="A25" s="106"/>
      <c r="B25" s="24" t="s">
        <v>338</v>
      </c>
      <c r="C25" s="108"/>
      <c r="D25" s="108">
        <f>BS!D13-BS!C13</f>
        <v>3225788.9757550973</v>
      </c>
      <c r="E25" s="108">
        <f>BS!E13-BS!D13</f>
        <v>3819012.2540522274</v>
      </c>
      <c r="F25" s="108">
        <f>BS!F13-BS!E13</f>
        <v>-1213946.4537459873</v>
      </c>
      <c r="G25" s="108">
        <f>BS!G13-BS!F13</f>
        <v>5972755.1058463044</v>
      </c>
      <c r="H25" s="108">
        <f>BS!H13-BS!G13</f>
        <v>6370938.7795693949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9" ht="14.25" customHeight="1" x14ac:dyDescent="0.3">
      <c r="A26" s="106"/>
      <c r="B26" s="24" t="s">
        <v>339</v>
      </c>
      <c r="C26" s="108"/>
      <c r="D26" s="108">
        <f>BS!D14-BS!C14</f>
        <v>430923.52512861928</v>
      </c>
      <c r="E26" s="108">
        <f>BS!E14-BS!D14</f>
        <v>1282456.335180067</v>
      </c>
      <c r="F26" s="108">
        <f>BS!F14-BS!E14</f>
        <v>786491.34635932604</v>
      </c>
      <c r="G26" s="108">
        <f>BS!G14-BS!F14</f>
        <v>1808421.3240008079</v>
      </c>
      <c r="H26" s="108">
        <f>BS!H14-BS!G14</f>
        <v>1875649.4122675275</v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19" ht="14.25" customHeight="1" x14ac:dyDescent="0.3">
      <c r="A27" s="106"/>
      <c r="B27" s="28"/>
      <c r="C27" s="108"/>
      <c r="D27" s="108"/>
      <c r="E27" s="108"/>
      <c r="F27" s="108"/>
      <c r="G27" s="108"/>
      <c r="H27" s="10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ht="14.25" customHeight="1" x14ac:dyDescent="0.3">
      <c r="A28" s="106"/>
      <c r="B28" s="28" t="s">
        <v>199</v>
      </c>
      <c r="C28" s="108"/>
      <c r="D28" s="108">
        <f>+SUM(D12:D26)</f>
        <v>-8535762</v>
      </c>
      <c r="E28" s="108">
        <f t="shared" ref="E28:H28" si="1">+SUM(E12:E26)</f>
        <v>1837427.0379139972</v>
      </c>
      <c r="F28" s="108">
        <f t="shared" si="1"/>
        <v>11785780.956388758</v>
      </c>
      <c r="G28" s="108">
        <f t="shared" si="1"/>
        <v>110039.54701986955</v>
      </c>
      <c r="H28" s="108">
        <f t="shared" si="1"/>
        <v>-4953847.4011875959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ht="14.25" customHeight="1" x14ac:dyDescent="0.3">
      <c r="A29" s="106"/>
      <c r="B29" s="28"/>
      <c r="C29" s="108"/>
      <c r="D29" s="108"/>
      <c r="E29" s="108"/>
      <c r="F29" s="108"/>
      <c r="G29" s="108"/>
      <c r="H29" s="10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ht="14.25" customHeight="1" x14ac:dyDescent="0.3">
      <c r="A30" s="106"/>
      <c r="B30" s="28" t="s">
        <v>200</v>
      </c>
      <c r="C30" s="108"/>
      <c r="D30" s="108">
        <f>'PL-CONS'!D29</f>
        <v>0</v>
      </c>
      <c r="E30" s="108">
        <f>'PL-CONS'!E29</f>
        <v>1252427.0379140002</v>
      </c>
      <c r="F30" s="108">
        <f>'PL-CONS'!F29</f>
        <v>4411406.5919191577</v>
      </c>
      <c r="G30" s="108">
        <f>'PL-CONS'!G29</f>
        <v>6551692.2537524961</v>
      </c>
      <c r="H30" s="108">
        <f>'PL-CONS'!H29</f>
        <v>15226927.753167706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 ht="14.25" customHeight="1" x14ac:dyDescent="0.3">
      <c r="A31" s="106"/>
      <c r="B31" s="28"/>
      <c r="C31" s="108"/>
      <c r="D31" s="108"/>
      <c r="E31" s="108"/>
      <c r="F31" s="108"/>
      <c r="G31" s="108"/>
      <c r="H31" s="10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 ht="14.25" customHeight="1" thickBot="1" x14ac:dyDescent="0.35">
      <c r="A32" s="106"/>
      <c r="B32" s="110" t="s">
        <v>201</v>
      </c>
      <c r="C32" s="111"/>
      <c r="D32" s="111">
        <f t="shared" ref="D32:H32" si="2">+D28-D30</f>
        <v>-8535762</v>
      </c>
      <c r="E32" s="111">
        <f t="shared" si="2"/>
        <v>584999.99999999697</v>
      </c>
      <c r="F32" s="111">
        <f t="shared" si="2"/>
        <v>7374374.3644696008</v>
      </c>
      <c r="G32" s="111">
        <f t="shared" si="2"/>
        <v>-6441652.706732627</v>
      </c>
      <c r="H32" s="111">
        <f t="shared" si="2"/>
        <v>-20180775.154355302</v>
      </c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spans="1:19" ht="14.25" customHeight="1" x14ac:dyDescent="0.3">
      <c r="A33" s="106"/>
      <c r="B33" s="28"/>
      <c r="C33" s="108"/>
      <c r="D33" s="108"/>
      <c r="E33" s="108"/>
      <c r="F33" s="108"/>
      <c r="G33" s="108"/>
      <c r="H33" s="10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spans="1:19" ht="14.25" customHeight="1" x14ac:dyDescent="0.3">
      <c r="A34" s="106" t="s">
        <v>202</v>
      </c>
      <c r="B34" s="28" t="s">
        <v>203</v>
      </c>
      <c r="C34" s="108"/>
      <c r="D34" s="108"/>
      <c r="E34" s="108"/>
      <c r="F34" s="108"/>
      <c r="G34" s="108"/>
      <c r="H34" s="10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spans="1:19" ht="14.25" customHeight="1" x14ac:dyDescent="0.3">
      <c r="A35" s="106"/>
      <c r="B35" s="28" t="s">
        <v>204</v>
      </c>
      <c r="C35" s="108"/>
      <c r="D35" s="108">
        <f>-(SUM(BS!D20:D21)-SUM(BS!C20:C21))</f>
        <v>-2625000</v>
      </c>
      <c r="E35" s="108">
        <f>-(SUM(BS!E20:E21)-SUM(BS!D20:D21))</f>
        <v>-585000</v>
      </c>
      <c r="F35" s="108">
        <f>-(SUM(BS!F20:F21)-SUM(BS!E20:E21))</f>
        <v>-18425000</v>
      </c>
      <c r="G35" s="108">
        <f>-(SUM(BS!G20:G21)-SUM(BS!F20:F21))</f>
        <v>-5325000</v>
      </c>
      <c r="H35" s="108">
        <f>-(SUM(BS!H20:H21)-SUM(BS!G20:G21))</f>
        <v>25000000</v>
      </c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19" ht="14.25" customHeight="1" x14ac:dyDescent="0.3">
      <c r="A36" s="106"/>
      <c r="B36" s="28"/>
      <c r="C36" s="108"/>
      <c r="D36" s="108"/>
      <c r="E36" s="108"/>
      <c r="F36" s="108"/>
      <c r="G36" s="108"/>
      <c r="H36" s="10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 spans="1:19" ht="14.25" customHeight="1" thickBot="1" x14ac:dyDescent="0.35">
      <c r="A37" s="112"/>
      <c r="B37" s="110" t="s">
        <v>205</v>
      </c>
      <c r="C37" s="111"/>
      <c r="D37" s="111">
        <f t="shared" ref="D37:H37" si="3">+SUM(D35:D36)</f>
        <v>-2625000</v>
      </c>
      <c r="E37" s="111">
        <f t="shared" si="3"/>
        <v>-585000</v>
      </c>
      <c r="F37" s="111">
        <f t="shared" si="3"/>
        <v>-18425000</v>
      </c>
      <c r="G37" s="111">
        <f t="shared" si="3"/>
        <v>-5325000</v>
      </c>
      <c r="H37" s="111">
        <f t="shared" si="3"/>
        <v>25000000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</row>
    <row r="38" spans="1:19" ht="14.25" customHeight="1" x14ac:dyDescent="0.3">
      <c r="A38" s="106"/>
      <c r="B38" s="28"/>
      <c r="C38" s="108"/>
      <c r="D38" s="108"/>
      <c r="E38" s="108"/>
      <c r="F38" s="108"/>
      <c r="G38" s="108"/>
      <c r="H38" s="10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</row>
    <row r="39" spans="1:19" ht="14.25" customHeight="1" x14ac:dyDescent="0.3">
      <c r="A39" s="106" t="s">
        <v>206</v>
      </c>
      <c r="B39" s="28" t="s">
        <v>207</v>
      </c>
      <c r="C39" s="108"/>
      <c r="D39" s="108"/>
      <c r="E39" s="108"/>
      <c r="F39" s="108"/>
      <c r="G39" s="108"/>
      <c r="H39" s="10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spans="1:19" ht="14.25" customHeight="1" x14ac:dyDescent="0.3">
      <c r="A40" s="106"/>
      <c r="B40" s="28" t="s">
        <v>274</v>
      </c>
      <c r="C40" s="108"/>
      <c r="D40" s="108">
        <f>+-(BS!D7-BS!D8)+(BS!C7-BS!C8)</f>
        <v>0</v>
      </c>
      <c r="E40" s="108">
        <f>+-(BS!E7-BS!E8)+(BS!D7-BS!D8)</f>
        <v>0</v>
      </c>
      <c r="F40" s="108">
        <f>+-(BS!F7-BS!F8)+(BS!E7-BS!E8)</f>
        <v>0</v>
      </c>
      <c r="G40" s="108">
        <f>+-(BS!G7-BS!G8)+(BS!F7-BS!F8)</f>
        <v>0</v>
      </c>
      <c r="H40" s="108">
        <f>+-(BS!H7-BS!H8)+(BS!G7-BS!G8)</f>
        <v>0</v>
      </c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  <row r="41" spans="1:19" ht="14.25" customHeight="1" x14ac:dyDescent="0.3">
      <c r="A41" s="106"/>
      <c r="B41" s="3" t="s">
        <v>345</v>
      </c>
      <c r="C41" s="108"/>
      <c r="D41" s="108">
        <f>(BS!D27-BS!C27)</f>
        <v>0</v>
      </c>
      <c r="E41" s="108">
        <f>(BS!E27-BS!D27)</f>
        <v>0</v>
      </c>
      <c r="F41" s="108">
        <f>BS!F11</f>
        <v>11050625.635530386</v>
      </c>
      <c r="G41" s="108">
        <f>BS!G11-BS!F11</f>
        <v>11766652.70673262</v>
      </c>
      <c r="H41" s="108">
        <f>BS!H11-BS!G11</f>
        <v>-4819224.8456446826</v>
      </c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 ht="14.25" customHeight="1" thickBot="1" x14ac:dyDescent="0.35">
      <c r="A42" s="112"/>
      <c r="B42" s="110" t="s">
        <v>208</v>
      </c>
      <c r="C42" s="111"/>
      <c r="D42" s="111">
        <f t="shared" ref="D42:E42" si="4">+SUM(D40:D41)</f>
        <v>0</v>
      </c>
      <c r="E42" s="111">
        <f t="shared" si="4"/>
        <v>0</v>
      </c>
      <c r="F42" s="111">
        <f>+SUM(F40:F41)</f>
        <v>11050625.635530386</v>
      </c>
      <c r="G42" s="111">
        <f t="shared" ref="G42:H42" si="5">+SUM(G40:G41)</f>
        <v>11766652.70673262</v>
      </c>
      <c r="H42" s="111">
        <f t="shared" si="5"/>
        <v>-4819224.8456446826</v>
      </c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  <row r="43" spans="1:19" ht="14.25" customHeight="1" x14ac:dyDescent="0.3">
      <c r="A43" s="106"/>
      <c r="B43" s="28"/>
      <c r="C43" s="108"/>
      <c r="D43" s="108"/>
      <c r="E43" s="108"/>
      <c r="F43" s="108"/>
      <c r="G43" s="108"/>
      <c r="H43" s="10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</row>
    <row r="44" spans="1:19" ht="14.25" customHeight="1" x14ac:dyDescent="0.3">
      <c r="A44" s="106"/>
      <c r="B44" s="28" t="s">
        <v>209</v>
      </c>
      <c r="C44" s="108"/>
      <c r="D44" s="108">
        <f>+D32+D37+D42</f>
        <v>-11160762</v>
      </c>
      <c r="E44" s="108">
        <f t="shared" ref="E44:H44" si="6">+E32+E37+E42</f>
        <v>-3.0267983675003052E-9</v>
      </c>
      <c r="F44" s="108">
        <f t="shared" si="6"/>
        <v>0</v>
      </c>
      <c r="G44" s="108">
        <f t="shared" si="6"/>
        <v>0</v>
      </c>
      <c r="H44" s="108">
        <f t="shared" si="6"/>
        <v>1.4901161193847656E-8</v>
      </c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</row>
    <row r="45" spans="1:19" ht="14.25" customHeight="1" x14ac:dyDescent="0.3">
      <c r="A45" s="106"/>
      <c r="B45" s="28"/>
      <c r="C45" s="108"/>
      <c r="D45" s="108"/>
      <c r="E45" s="108"/>
      <c r="F45" s="108"/>
      <c r="G45" s="108"/>
      <c r="H45" s="10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 ht="14.25" customHeight="1" x14ac:dyDescent="0.3">
      <c r="A46" s="106"/>
      <c r="B46" s="28" t="s">
        <v>210</v>
      </c>
      <c r="C46" s="108"/>
      <c r="D46" s="108">
        <f>BS!C32</f>
        <v>12160762</v>
      </c>
      <c r="E46" s="108">
        <f>BS!D32</f>
        <v>1000000</v>
      </c>
      <c r="F46" s="108">
        <f>BS!E32</f>
        <v>1000000</v>
      </c>
      <c r="G46" s="108">
        <f>BS!F32</f>
        <v>1000000</v>
      </c>
      <c r="H46" s="108">
        <f>BS!G32</f>
        <v>1000000</v>
      </c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7" spans="1:19" ht="14.25" customHeight="1" x14ac:dyDescent="0.3">
      <c r="A47" s="106"/>
      <c r="B47" s="28"/>
      <c r="C47" s="108"/>
      <c r="D47" s="108"/>
      <c r="E47" s="108"/>
      <c r="F47" s="108"/>
      <c r="G47" s="108"/>
      <c r="H47" s="10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</row>
    <row r="48" spans="1:19" ht="14.25" customHeight="1" x14ac:dyDescent="0.3">
      <c r="A48" s="106"/>
      <c r="B48" s="28" t="s">
        <v>211</v>
      </c>
      <c r="C48" s="108"/>
      <c r="D48" s="108">
        <f>D44+D46</f>
        <v>1000000</v>
      </c>
      <c r="E48" s="108">
        <f t="shared" ref="E48:H48" si="7">E44+E46</f>
        <v>999999.99999999697</v>
      </c>
      <c r="F48" s="108">
        <f t="shared" si="7"/>
        <v>1000000</v>
      </c>
      <c r="G48" s="108">
        <f t="shared" si="7"/>
        <v>1000000</v>
      </c>
      <c r="H48" s="108">
        <f t="shared" si="7"/>
        <v>1000000.0000000149</v>
      </c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</row>
    <row r="49" spans="1:19" ht="14.25" customHeight="1" x14ac:dyDescent="0.3">
      <c r="A49" s="106"/>
      <c r="B49" s="28"/>
      <c r="C49" s="108"/>
      <c r="D49" s="108"/>
      <c r="E49" s="108"/>
      <c r="F49" s="108"/>
      <c r="G49" s="108"/>
      <c r="H49" s="10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 ht="14.25" customHeight="1" x14ac:dyDescent="0.3">
      <c r="A50" s="113"/>
      <c r="B50" s="28" t="s">
        <v>212</v>
      </c>
      <c r="C50" s="108"/>
      <c r="D50" s="108">
        <f>BS!D32</f>
        <v>1000000</v>
      </c>
      <c r="E50" s="108">
        <f>BS!E32</f>
        <v>1000000</v>
      </c>
      <c r="F50" s="108">
        <f>BS!F32</f>
        <v>1000000</v>
      </c>
      <c r="G50" s="108">
        <f>BS!G32</f>
        <v>1000000</v>
      </c>
      <c r="H50" s="108">
        <f>BS!H32</f>
        <v>1000000</v>
      </c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</row>
    <row r="51" spans="1:19" ht="14.25" customHeight="1" thickBot="1" x14ac:dyDescent="0.35">
      <c r="A51" s="113"/>
      <c r="B51" s="114" t="s">
        <v>213</v>
      </c>
      <c r="C51" s="115"/>
      <c r="D51" s="258">
        <f>D48-D50</f>
        <v>0</v>
      </c>
      <c r="E51" s="257">
        <f t="shared" ref="E51:H51" si="8">E48-E50</f>
        <v>-3.0267983675003052E-9</v>
      </c>
      <c r="F51" s="257">
        <f t="shared" si="8"/>
        <v>0</v>
      </c>
      <c r="G51" s="257">
        <f t="shared" si="8"/>
        <v>0</v>
      </c>
      <c r="H51" s="257">
        <f t="shared" si="8"/>
        <v>1.4901161193847656E-8</v>
      </c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spans="1:19" ht="14.25" customHeight="1" x14ac:dyDescent="0.3">
      <c r="A52" s="102"/>
      <c r="B52" s="116"/>
      <c r="C52" s="108"/>
      <c r="D52" s="108"/>
      <c r="E52" s="108"/>
      <c r="F52" s="108"/>
      <c r="G52" s="108"/>
      <c r="H52" s="10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</row>
    <row r="53" spans="1:19" ht="14.25" customHeight="1" x14ac:dyDescent="0.3">
      <c r="A53" s="102"/>
      <c r="B53" s="28"/>
      <c r="C53" s="108"/>
      <c r="D53" s="108"/>
      <c r="E53" s="108"/>
      <c r="F53" s="108"/>
      <c r="G53" s="108"/>
      <c r="H53" s="10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spans="1:19" ht="14.25" customHeight="1" x14ac:dyDescent="0.3">
      <c r="A54" s="102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</row>
    <row r="55" spans="1:19" ht="14.25" customHeight="1" x14ac:dyDescent="0.3">
      <c r="A55" s="102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</row>
    <row r="56" spans="1:19" ht="14.25" customHeight="1" x14ac:dyDescent="0.3">
      <c r="A56" s="102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</row>
    <row r="57" spans="1:19" ht="14.25" customHeight="1" x14ac:dyDescent="0.3">
      <c r="A57" s="102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</row>
    <row r="58" spans="1:19" ht="14.25" customHeight="1" x14ac:dyDescent="0.3">
      <c r="A58" s="102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</row>
    <row r="59" spans="1:19" ht="14.25" customHeight="1" x14ac:dyDescent="0.3">
      <c r="A59" s="102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</row>
    <row r="60" spans="1:19" ht="14.25" customHeight="1" x14ac:dyDescent="0.3">
      <c r="A60" s="102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</row>
    <row r="61" spans="1:19" ht="14.25" customHeight="1" x14ac:dyDescent="0.3">
      <c r="A61" s="102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</row>
    <row r="62" spans="1:19" ht="14.25" customHeight="1" x14ac:dyDescent="0.3">
      <c r="A62" s="102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</row>
    <row r="63" spans="1:19" ht="14.25" customHeight="1" x14ac:dyDescent="0.3">
      <c r="A63" s="102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</row>
    <row r="64" spans="1:19" ht="14.25" customHeight="1" x14ac:dyDescent="0.3">
      <c r="A64" s="102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 spans="1:19" ht="14.25" customHeight="1" x14ac:dyDescent="0.3">
      <c r="A65" s="102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 spans="1:19" ht="14.25" customHeight="1" x14ac:dyDescent="0.3">
      <c r="A66" s="102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1:19" ht="14.25" customHeight="1" x14ac:dyDescent="0.3">
      <c r="A67" s="102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spans="1:19" ht="14.25" customHeight="1" x14ac:dyDescent="0.3">
      <c r="A68" s="102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spans="1:19" ht="14.25" customHeight="1" x14ac:dyDescent="0.3">
      <c r="A69" s="102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spans="1:19" ht="14.25" customHeight="1" x14ac:dyDescent="0.3">
      <c r="A70" s="102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1" spans="1:19" ht="14.25" customHeight="1" x14ac:dyDescent="0.3">
      <c r="A71" s="102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 spans="1:19" ht="14.25" customHeight="1" x14ac:dyDescent="0.3">
      <c r="A72" s="102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</row>
    <row r="73" spans="1:19" ht="14.25" customHeight="1" x14ac:dyDescent="0.3">
      <c r="A73" s="102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</row>
    <row r="74" spans="1:19" ht="14.25" customHeight="1" x14ac:dyDescent="0.3">
      <c r="A74" s="102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</row>
    <row r="75" spans="1:19" ht="14.25" customHeight="1" x14ac:dyDescent="0.3">
      <c r="A75" s="102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 spans="1:19" ht="14.25" customHeight="1" x14ac:dyDescent="0.3">
      <c r="A76" s="102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</row>
    <row r="77" spans="1:19" ht="14.25" customHeight="1" x14ac:dyDescent="0.3">
      <c r="A77" s="102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1:19" ht="14.25" customHeight="1" x14ac:dyDescent="0.3">
      <c r="A78" s="102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 ht="14.25" customHeight="1" x14ac:dyDescent="0.3">
      <c r="A79" s="102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</row>
    <row r="80" spans="1:19" ht="14.25" customHeight="1" x14ac:dyDescent="0.3">
      <c r="A80" s="102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 spans="1:19" ht="14.25" customHeight="1" x14ac:dyDescent="0.3">
      <c r="A81" s="102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</row>
    <row r="82" spans="1:19" ht="14.25" customHeight="1" x14ac:dyDescent="0.3">
      <c r="A82" s="102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</row>
    <row r="83" spans="1:19" ht="14.25" customHeight="1" x14ac:dyDescent="0.3">
      <c r="A83" s="102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</row>
    <row r="84" spans="1:19" ht="14.25" customHeight="1" x14ac:dyDescent="0.3">
      <c r="A84" s="102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</row>
    <row r="85" spans="1:19" ht="14.25" customHeight="1" x14ac:dyDescent="0.3">
      <c r="A85" s="102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</row>
    <row r="86" spans="1:19" ht="14.25" customHeight="1" x14ac:dyDescent="0.3">
      <c r="A86" s="102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</row>
    <row r="87" spans="1:19" ht="14.25" customHeight="1" x14ac:dyDescent="0.3">
      <c r="A87" s="102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</row>
    <row r="88" spans="1:19" ht="14.25" customHeight="1" x14ac:dyDescent="0.3">
      <c r="A88" s="102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</row>
    <row r="89" spans="1:19" ht="14.25" customHeight="1" x14ac:dyDescent="0.3">
      <c r="A89" s="102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</row>
    <row r="90" spans="1:19" ht="14.25" customHeight="1" x14ac:dyDescent="0.3">
      <c r="A90" s="102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</row>
    <row r="91" spans="1:19" ht="14.25" customHeight="1" x14ac:dyDescent="0.3">
      <c r="A91" s="102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</row>
    <row r="92" spans="1:19" ht="14.25" customHeight="1" x14ac:dyDescent="0.3">
      <c r="A92" s="102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</row>
    <row r="93" spans="1:19" ht="14.25" customHeight="1" x14ac:dyDescent="0.3">
      <c r="A93" s="102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</row>
    <row r="94" spans="1:19" ht="14.25" customHeight="1" x14ac:dyDescent="0.3">
      <c r="A94" s="102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</row>
    <row r="95" spans="1:19" ht="14.25" customHeight="1" x14ac:dyDescent="0.3">
      <c r="A95" s="102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</row>
    <row r="96" spans="1:19" ht="14.25" customHeight="1" x14ac:dyDescent="0.3">
      <c r="A96" s="102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</row>
    <row r="97" spans="1:19" ht="14.25" customHeight="1" x14ac:dyDescent="0.3">
      <c r="A97" s="102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</row>
    <row r="98" spans="1:19" ht="14.25" customHeight="1" x14ac:dyDescent="0.3">
      <c r="A98" s="102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</row>
    <row r="99" spans="1:19" ht="14.25" customHeight="1" x14ac:dyDescent="0.3">
      <c r="A99" s="102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r="100" spans="1:19" ht="14.25" customHeight="1" x14ac:dyDescent="0.3">
      <c r="A100" s="102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</row>
    <row r="101" spans="1:19" ht="14.25" customHeight="1" x14ac:dyDescent="0.3">
      <c r="A101" s="102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</row>
    <row r="102" spans="1:19" ht="14.25" customHeight="1" x14ac:dyDescent="0.3">
      <c r="A102" s="102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r="103" spans="1:19" ht="14.25" customHeight="1" x14ac:dyDescent="0.3">
      <c r="A103" s="102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r="104" spans="1:19" ht="14.25" customHeight="1" x14ac:dyDescent="0.3">
      <c r="A104" s="102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</row>
    <row r="105" spans="1:19" ht="14.25" customHeight="1" x14ac:dyDescent="0.3">
      <c r="A105" s="102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</row>
    <row r="106" spans="1:19" ht="14.25" customHeight="1" x14ac:dyDescent="0.3">
      <c r="A106" s="102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</row>
    <row r="107" spans="1:19" ht="14.25" customHeight="1" x14ac:dyDescent="0.3">
      <c r="A107" s="102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</row>
    <row r="108" spans="1:19" ht="14.25" customHeight="1" x14ac:dyDescent="0.3">
      <c r="A108" s="102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</row>
    <row r="109" spans="1:19" ht="14.25" customHeight="1" x14ac:dyDescent="0.3">
      <c r="A109" s="102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</row>
    <row r="110" spans="1:19" ht="14.25" customHeight="1" x14ac:dyDescent="0.3">
      <c r="A110" s="102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</row>
    <row r="111" spans="1:19" ht="14.25" customHeight="1" x14ac:dyDescent="0.3">
      <c r="A111" s="102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</row>
    <row r="112" spans="1:19" ht="14.25" customHeight="1" x14ac:dyDescent="0.3">
      <c r="A112" s="102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</row>
    <row r="113" spans="1:19" ht="14.25" customHeight="1" x14ac:dyDescent="0.3">
      <c r="A113" s="102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</row>
    <row r="114" spans="1:19" ht="14.25" customHeight="1" x14ac:dyDescent="0.3">
      <c r="A114" s="102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</row>
    <row r="115" spans="1:19" ht="14.25" customHeight="1" x14ac:dyDescent="0.3">
      <c r="A115" s="102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</row>
    <row r="116" spans="1:19" ht="14.25" customHeight="1" x14ac:dyDescent="0.3">
      <c r="A116" s="102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</row>
    <row r="117" spans="1:19" ht="14.25" customHeight="1" x14ac:dyDescent="0.3">
      <c r="A117" s="102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</row>
    <row r="118" spans="1:19" ht="14.25" customHeight="1" x14ac:dyDescent="0.3">
      <c r="A118" s="102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</row>
    <row r="119" spans="1:19" ht="14.25" customHeight="1" x14ac:dyDescent="0.3">
      <c r="A119" s="102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</row>
    <row r="120" spans="1:19" ht="14.25" customHeight="1" x14ac:dyDescent="0.3">
      <c r="A120" s="102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</row>
    <row r="121" spans="1:19" ht="14.25" customHeight="1" x14ac:dyDescent="0.3">
      <c r="A121" s="102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</row>
    <row r="122" spans="1:19" ht="14.25" customHeight="1" x14ac:dyDescent="0.3">
      <c r="A122" s="102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</row>
    <row r="123" spans="1:19" ht="14.25" customHeight="1" x14ac:dyDescent="0.3">
      <c r="A123" s="102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</row>
    <row r="124" spans="1:19" ht="14.25" customHeight="1" x14ac:dyDescent="0.3">
      <c r="A124" s="102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</row>
    <row r="125" spans="1:19" ht="14.25" customHeight="1" x14ac:dyDescent="0.3">
      <c r="A125" s="102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</row>
    <row r="126" spans="1:19" ht="14.25" customHeight="1" x14ac:dyDescent="0.3">
      <c r="A126" s="102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</row>
    <row r="127" spans="1:19" ht="14.25" customHeight="1" x14ac:dyDescent="0.3">
      <c r="A127" s="102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</row>
    <row r="128" spans="1:19" ht="14.25" customHeight="1" x14ac:dyDescent="0.3">
      <c r="A128" s="102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</row>
    <row r="129" spans="1:19" ht="14.25" customHeight="1" x14ac:dyDescent="0.3">
      <c r="A129" s="102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</row>
    <row r="130" spans="1:19" ht="14.25" customHeight="1" x14ac:dyDescent="0.3">
      <c r="A130" s="102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</row>
    <row r="131" spans="1:19" ht="14.25" customHeight="1" x14ac:dyDescent="0.3">
      <c r="A131" s="102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</row>
    <row r="132" spans="1:19" ht="14.25" customHeight="1" x14ac:dyDescent="0.3">
      <c r="A132" s="102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</row>
    <row r="133" spans="1:19" ht="14.25" customHeight="1" x14ac:dyDescent="0.3">
      <c r="A133" s="102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</row>
    <row r="134" spans="1:19" ht="14.25" customHeight="1" x14ac:dyDescent="0.3">
      <c r="A134" s="102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</row>
    <row r="135" spans="1:19" ht="14.25" customHeight="1" x14ac:dyDescent="0.3">
      <c r="A135" s="102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</row>
    <row r="136" spans="1:19" ht="14.25" customHeight="1" x14ac:dyDescent="0.3">
      <c r="A136" s="102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</row>
    <row r="137" spans="1:19" ht="14.25" customHeight="1" x14ac:dyDescent="0.3">
      <c r="A137" s="102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</row>
    <row r="138" spans="1:19" ht="14.25" customHeight="1" x14ac:dyDescent="0.3">
      <c r="A138" s="102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</row>
    <row r="139" spans="1:19" ht="14.25" customHeight="1" x14ac:dyDescent="0.3">
      <c r="A139" s="102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</row>
    <row r="140" spans="1:19" ht="14.25" customHeight="1" x14ac:dyDescent="0.3">
      <c r="A140" s="102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</row>
    <row r="141" spans="1:19" ht="14.25" customHeight="1" x14ac:dyDescent="0.3">
      <c r="A141" s="102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</row>
    <row r="142" spans="1:19" ht="14.25" customHeight="1" x14ac:dyDescent="0.3">
      <c r="A142" s="102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</row>
    <row r="143" spans="1:19" ht="14.25" customHeight="1" x14ac:dyDescent="0.3">
      <c r="A143" s="102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</row>
    <row r="144" spans="1:19" ht="14.25" customHeight="1" x14ac:dyDescent="0.3">
      <c r="A144" s="102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</row>
    <row r="145" spans="1:19" ht="14.25" customHeight="1" x14ac:dyDescent="0.3">
      <c r="A145" s="102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</row>
    <row r="146" spans="1:19" ht="14.25" customHeight="1" x14ac:dyDescent="0.3">
      <c r="A146" s="102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</row>
    <row r="147" spans="1:19" ht="14.25" customHeight="1" x14ac:dyDescent="0.3">
      <c r="A147" s="102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</row>
    <row r="148" spans="1:19" ht="14.25" customHeight="1" x14ac:dyDescent="0.3">
      <c r="A148" s="102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</row>
    <row r="149" spans="1:19" ht="14.25" customHeight="1" x14ac:dyDescent="0.3">
      <c r="A149" s="102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</row>
    <row r="150" spans="1:19" ht="14.25" customHeight="1" x14ac:dyDescent="0.3">
      <c r="A150" s="102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</row>
    <row r="151" spans="1:19" ht="14.25" customHeight="1" x14ac:dyDescent="0.3">
      <c r="A151" s="102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</row>
    <row r="152" spans="1:19" ht="14.25" customHeight="1" x14ac:dyDescent="0.3">
      <c r="A152" s="102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</row>
    <row r="153" spans="1:19" ht="14.25" customHeight="1" x14ac:dyDescent="0.3">
      <c r="A153" s="102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</row>
    <row r="154" spans="1:19" ht="14.25" customHeight="1" x14ac:dyDescent="0.3">
      <c r="A154" s="102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</row>
    <row r="155" spans="1:19" ht="14.25" customHeight="1" x14ac:dyDescent="0.3">
      <c r="A155" s="102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</row>
    <row r="156" spans="1:19" ht="14.25" customHeight="1" x14ac:dyDescent="0.3">
      <c r="A156" s="102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</row>
    <row r="157" spans="1:19" ht="14.25" customHeight="1" x14ac:dyDescent="0.3">
      <c r="A157" s="102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</row>
    <row r="158" spans="1:19" ht="14.25" customHeight="1" x14ac:dyDescent="0.3">
      <c r="A158" s="102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</row>
    <row r="159" spans="1:19" ht="14.25" customHeight="1" x14ac:dyDescent="0.3">
      <c r="A159" s="102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</row>
    <row r="160" spans="1:19" ht="14.25" customHeight="1" x14ac:dyDescent="0.3">
      <c r="A160" s="102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</row>
    <row r="161" spans="1:19" ht="14.25" customHeight="1" x14ac:dyDescent="0.3">
      <c r="A161" s="102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</row>
    <row r="162" spans="1:19" ht="14.25" customHeight="1" x14ac:dyDescent="0.3">
      <c r="A162" s="102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</row>
    <row r="163" spans="1:19" ht="14.25" customHeight="1" x14ac:dyDescent="0.3">
      <c r="A163" s="102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</row>
    <row r="164" spans="1:19" ht="14.25" customHeight="1" x14ac:dyDescent="0.3">
      <c r="A164" s="102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</row>
    <row r="165" spans="1:19" ht="14.25" customHeight="1" x14ac:dyDescent="0.3">
      <c r="A165" s="102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</row>
    <row r="166" spans="1:19" ht="14.25" customHeight="1" x14ac:dyDescent="0.3">
      <c r="A166" s="102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</row>
    <row r="167" spans="1:19" ht="14.25" customHeight="1" x14ac:dyDescent="0.3">
      <c r="A167" s="102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</row>
    <row r="168" spans="1:19" ht="14.25" customHeight="1" x14ac:dyDescent="0.3">
      <c r="A168" s="102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</row>
    <row r="169" spans="1:19" ht="14.25" customHeight="1" x14ac:dyDescent="0.3">
      <c r="A169" s="102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</row>
    <row r="170" spans="1:19" ht="14.25" customHeight="1" x14ac:dyDescent="0.3">
      <c r="A170" s="102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</row>
    <row r="171" spans="1:19" ht="14.25" customHeight="1" x14ac:dyDescent="0.3">
      <c r="A171" s="102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</row>
    <row r="172" spans="1:19" ht="14.25" customHeight="1" x14ac:dyDescent="0.3">
      <c r="A172" s="102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</row>
    <row r="173" spans="1:19" ht="14.25" customHeight="1" x14ac:dyDescent="0.3">
      <c r="A173" s="102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</row>
    <row r="174" spans="1:19" ht="14.25" customHeight="1" x14ac:dyDescent="0.3">
      <c r="A174" s="102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</row>
    <row r="175" spans="1:19" ht="14.25" customHeight="1" x14ac:dyDescent="0.3">
      <c r="A175" s="102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</row>
    <row r="176" spans="1:19" ht="14.25" customHeight="1" x14ac:dyDescent="0.3">
      <c r="A176" s="102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</row>
    <row r="177" spans="1:19" ht="14.25" customHeight="1" x14ac:dyDescent="0.3">
      <c r="A177" s="102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</row>
    <row r="178" spans="1:19" ht="14.25" customHeight="1" x14ac:dyDescent="0.3">
      <c r="A178" s="102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</row>
    <row r="179" spans="1:19" ht="14.25" customHeight="1" x14ac:dyDescent="0.3">
      <c r="A179" s="102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</row>
    <row r="180" spans="1:19" ht="14.25" customHeight="1" x14ac:dyDescent="0.3">
      <c r="A180" s="102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</row>
    <row r="181" spans="1:19" ht="14.25" customHeight="1" x14ac:dyDescent="0.3">
      <c r="A181" s="102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</row>
    <row r="182" spans="1:19" ht="14.25" customHeight="1" x14ac:dyDescent="0.3">
      <c r="A182" s="102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</row>
    <row r="183" spans="1:19" ht="14.25" customHeight="1" x14ac:dyDescent="0.3">
      <c r="A183" s="102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</row>
    <row r="184" spans="1:19" ht="14.25" customHeight="1" x14ac:dyDescent="0.3">
      <c r="A184" s="102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</row>
    <row r="185" spans="1:19" ht="14.25" customHeight="1" x14ac:dyDescent="0.3">
      <c r="A185" s="102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</row>
    <row r="186" spans="1:19" ht="14.25" customHeight="1" x14ac:dyDescent="0.3">
      <c r="A186" s="102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</row>
    <row r="187" spans="1:19" ht="14.25" customHeight="1" x14ac:dyDescent="0.3">
      <c r="A187" s="102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</row>
    <row r="188" spans="1:19" ht="14.25" customHeight="1" x14ac:dyDescent="0.3">
      <c r="A188" s="102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</row>
    <row r="189" spans="1:19" ht="14.25" customHeight="1" x14ac:dyDescent="0.3">
      <c r="A189" s="102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</row>
    <row r="190" spans="1:19" ht="14.25" customHeight="1" x14ac:dyDescent="0.3">
      <c r="A190" s="102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</row>
    <row r="191" spans="1:19" ht="14.25" customHeight="1" x14ac:dyDescent="0.3">
      <c r="A191" s="102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</row>
    <row r="192" spans="1:19" ht="14.25" customHeight="1" x14ac:dyDescent="0.3">
      <c r="A192" s="102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</row>
    <row r="193" spans="1:19" ht="14.25" customHeight="1" x14ac:dyDescent="0.3">
      <c r="A193" s="102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</row>
    <row r="194" spans="1:19" ht="14.25" customHeight="1" x14ac:dyDescent="0.3">
      <c r="A194" s="102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</row>
    <row r="195" spans="1:19" ht="14.25" customHeight="1" x14ac:dyDescent="0.3">
      <c r="A195" s="102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</row>
    <row r="196" spans="1:19" ht="14.25" customHeight="1" x14ac:dyDescent="0.3">
      <c r="A196" s="102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</row>
    <row r="197" spans="1:19" ht="14.25" customHeight="1" x14ac:dyDescent="0.3">
      <c r="A197" s="102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</row>
    <row r="198" spans="1:19" ht="14.25" customHeight="1" x14ac:dyDescent="0.3">
      <c r="A198" s="102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</row>
    <row r="199" spans="1:19" ht="14.25" customHeight="1" x14ac:dyDescent="0.3">
      <c r="A199" s="102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</row>
    <row r="200" spans="1:19" ht="14.25" customHeight="1" x14ac:dyDescent="0.3">
      <c r="A200" s="102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</row>
    <row r="201" spans="1:19" ht="14.25" customHeight="1" x14ac:dyDescent="0.3">
      <c r="A201" s="102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</row>
    <row r="202" spans="1:19" ht="14.25" customHeight="1" x14ac:dyDescent="0.3">
      <c r="A202" s="102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</row>
    <row r="203" spans="1:19" ht="14.25" customHeight="1" x14ac:dyDescent="0.3">
      <c r="A203" s="102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</row>
    <row r="204" spans="1:19" ht="14.25" customHeight="1" x14ac:dyDescent="0.3">
      <c r="A204" s="102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</row>
    <row r="205" spans="1:19" ht="14.25" customHeight="1" x14ac:dyDescent="0.3">
      <c r="A205" s="102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</row>
    <row r="206" spans="1:19" ht="14.25" customHeight="1" x14ac:dyDescent="0.3">
      <c r="A206" s="102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</row>
    <row r="207" spans="1:19" ht="14.25" customHeight="1" x14ac:dyDescent="0.3">
      <c r="A207" s="102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</row>
    <row r="208" spans="1:19" ht="14.25" customHeight="1" x14ac:dyDescent="0.3">
      <c r="A208" s="102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</row>
    <row r="209" spans="1:19" ht="14.25" customHeight="1" x14ac:dyDescent="0.3">
      <c r="A209" s="102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</row>
    <row r="210" spans="1:19" ht="14.25" customHeight="1" x14ac:dyDescent="0.3">
      <c r="A210" s="102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</row>
    <row r="211" spans="1:19" ht="14.25" customHeight="1" x14ac:dyDescent="0.3">
      <c r="A211" s="102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</row>
    <row r="212" spans="1:19" ht="14.25" customHeight="1" x14ac:dyDescent="0.3">
      <c r="A212" s="102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</row>
    <row r="213" spans="1:19" ht="14.25" customHeight="1" x14ac:dyDescent="0.3">
      <c r="A213" s="102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</row>
    <row r="214" spans="1:19" ht="14.25" customHeight="1" x14ac:dyDescent="0.3">
      <c r="A214" s="102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</row>
    <row r="215" spans="1:19" ht="14.25" customHeight="1" x14ac:dyDescent="0.3">
      <c r="A215" s="102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</row>
    <row r="216" spans="1:19" ht="14.25" customHeight="1" x14ac:dyDescent="0.3">
      <c r="A216" s="102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</row>
    <row r="217" spans="1:19" ht="14.25" customHeight="1" x14ac:dyDescent="0.3">
      <c r="A217" s="102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</row>
    <row r="218" spans="1:19" ht="14.25" customHeight="1" x14ac:dyDescent="0.3">
      <c r="A218" s="102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</row>
    <row r="219" spans="1:19" ht="14.25" customHeight="1" x14ac:dyDescent="0.3">
      <c r="A219" s="102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</row>
    <row r="220" spans="1:19" ht="14.25" customHeight="1" x14ac:dyDescent="0.3">
      <c r="A220" s="102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</row>
    <row r="221" spans="1:19" ht="14.25" customHeight="1" x14ac:dyDescent="0.3">
      <c r="A221" s="102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</row>
    <row r="222" spans="1:19" ht="14.25" customHeight="1" x14ac:dyDescent="0.3">
      <c r="A222" s="102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</row>
    <row r="223" spans="1:19" ht="14.25" customHeight="1" x14ac:dyDescent="0.3">
      <c r="A223" s="102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</row>
    <row r="224" spans="1:19" ht="14.25" customHeight="1" x14ac:dyDescent="0.3">
      <c r="A224" s="102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</row>
    <row r="225" spans="1:19" ht="14.25" customHeight="1" x14ac:dyDescent="0.3">
      <c r="A225" s="102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</row>
    <row r="226" spans="1:19" ht="14.25" customHeight="1" x14ac:dyDescent="0.3">
      <c r="A226" s="102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</row>
    <row r="227" spans="1:19" ht="14.25" customHeight="1" x14ac:dyDescent="0.3">
      <c r="A227" s="102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</row>
    <row r="228" spans="1:19" ht="14.25" customHeight="1" x14ac:dyDescent="0.3">
      <c r="A228" s="102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</row>
    <row r="229" spans="1:19" ht="14.25" customHeight="1" x14ac:dyDescent="0.3">
      <c r="A229" s="102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</row>
    <row r="230" spans="1:19" ht="14.25" customHeight="1" x14ac:dyDescent="0.3">
      <c r="A230" s="102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</row>
    <row r="231" spans="1:19" ht="14.25" customHeight="1" x14ac:dyDescent="0.3">
      <c r="A231" s="102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</row>
    <row r="232" spans="1:19" ht="14.25" customHeight="1" x14ac:dyDescent="0.3">
      <c r="A232" s="102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</row>
    <row r="233" spans="1:19" ht="14.25" customHeight="1" x14ac:dyDescent="0.3">
      <c r="A233" s="102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</row>
    <row r="234" spans="1:19" ht="14.25" customHeight="1" x14ac:dyDescent="0.3">
      <c r="A234" s="102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</row>
    <row r="235" spans="1:19" ht="14.25" customHeight="1" x14ac:dyDescent="0.3">
      <c r="A235" s="102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</row>
    <row r="236" spans="1:19" ht="14.25" customHeight="1" x14ac:dyDescent="0.3">
      <c r="A236" s="102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</row>
    <row r="237" spans="1:19" ht="14.25" customHeight="1" x14ac:dyDescent="0.3">
      <c r="A237" s="102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</row>
    <row r="238" spans="1:19" ht="14.25" customHeight="1" x14ac:dyDescent="0.3">
      <c r="A238" s="102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</row>
    <row r="239" spans="1:19" ht="14.25" customHeight="1" x14ac:dyDescent="0.3">
      <c r="A239" s="102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</row>
    <row r="240" spans="1:19" ht="14.25" customHeight="1" x14ac:dyDescent="0.3">
      <c r="A240" s="102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</row>
    <row r="241" spans="1:19" ht="14.25" customHeight="1" x14ac:dyDescent="0.3">
      <c r="A241" s="102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</row>
    <row r="242" spans="1:19" ht="14.25" customHeight="1" x14ac:dyDescent="0.3">
      <c r="A242" s="102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</row>
    <row r="243" spans="1:19" ht="14.25" customHeight="1" x14ac:dyDescent="0.3">
      <c r="A243" s="102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</row>
    <row r="244" spans="1:19" ht="14.25" customHeight="1" x14ac:dyDescent="0.3">
      <c r="A244" s="102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</row>
    <row r="245" spans="1:19" ht="14.25" customHeight="1" x14ac:dyDescent="0.3">
      <c r="A245" s="102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</row>
    <row r="246" spans="1:19" ht="14.25" customHeight="1" x14ac:dyDescent="0.3">
      <c r="A246" s="102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</row>
    <row r="247" spans="1:19" ht="14.25" customHeight="1" x14ac:dyDescent="0.3">
      <c r="A247" s="102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</row>
    <row r="248" spans="1:19" ht="14.25" customHeight="1" x14ac:dyDescent="0.3">
      <c r="A248" s="102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</row>
    <row r="249" spans="1:19" ht="14.25" customHeight="1" x14ac:dyDescent="0.3">
      <c r="A249" s="102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</row>
    <row r="250" spans="1:19" ht="14.25" customHeight="1" x14ac:dyDescent="0.3">
      <c r="A250" s="102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</row>
    <row r="251" spans="1:19" ht="14.25" customHeight="1" x14ac:dyDescent="0.3">
      <c r="A251" s="102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</row>
    <row r="252" spans="1:19" ht="14.25" customHeight="1" x14ac:dyDescent="0.3">
      <c r="A252" s="102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</row>
    <row r="253" spans="1:19" ht="14.25" customHeight="1" x14ac:dyDescent="0.3">
      <c r="A253" s="102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</row>
    <row r="254" spans="1:19" ht="14.25" customHeight="1" x14ac:dyDescent="0.3">
      <c r="A254" s="102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</row>
    <row r="255" spans="1:19" ht="14.25" customHeight="1" x14ac:dyDescent="0.3">
      <c r="A255" s="102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</row>
    <row r="256" spans="1:19" ht="14.25" customHeight="1" x14ac:dyDescent="0.3">
      <c r="A256" s="102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</row>
    <row r="257" spans="1:19" ht="14.25" customHeight="1" x14ac:dyDescent="0.3">
      <c r="A257" s="102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</row>
    <row r="258" spans="1:19" ht="14.25" customHeight="1" x14ac:dyDescent="0.3">
      <c r="A258" s="102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</row>
    <row r="259" spans="1:19" ht="14.25" customHeight="1" x14ac:dyDescent="0.3">
      <c r="A259" s="102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</row>
    <row r="260" spans="1:19" ht="14.25" customHeight="1" x14ac:dyDescent="0.3">
      <c r="A260" s="102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</row>
    <row r="261" spans="1:19" ht="14.25" customHeight="1" x14ac:dyDescent="0.3">
      <c r="A261" s="102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</row>
    <row r="262" spans="1:19" ht="14.25" customHeight="1" x14ac:dyDescent="0.3">
      <c r="A262" s="102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</row>
    <row r="263" spans="1:19" ht="14.25" customHeight="1" x14ac:dyDescent="0.3">
      <c r="A263" s="102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</row>
    <row r="264" spans="1:19" ht="14.25" customHeight="1" x14ac:dyDescent="0.3">
      <c r="A264" s="102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</row>
    <row r="265" spans="1:19" ht="14.25" customHeight="1" x14ac:dyDescent="0.3">
      <c r="A265" s="102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</row>
    <row r="266" spans="1:19" ht="14.25" customHeight="1" x14ac:dyDescent="0.3">
      <c r="A266" s="102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</row>
    <row r="267" spans="1:19" ht="14.25" customHeight="1" x14ac:dyDescent="0.3">
      <c r="A267" s="102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</row>
    <row r="268" spans="1:19" ht="14.25" customHeight="1" x14ac:dyDescent="0.3">
      <c r="A268" s="102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</row>
    <row r="269" spans="1:19" ht="14.25" customHeight="1" x14ac:dyDescent="0.3">
      <c r="A269" s="102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</row>
    <row r="270" spans="1:19" ht="14.25" customHeight="1" x14ac:dyDescent="0.3">
      <c r="A270" s="102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</row>
    <row r="271" spans="1:19" ht="14.25" customHeight="1" x14ac:dyDescent="0.3">
      <c r="A271" s="102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</row>
    <row r="272" spans="1:19" ht="14.25" customHeight="1" x14ac:dyDescent="0.3">
      <c r="A272" s="102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</row>
    <row r="273" spans="1:19" ht="14.25" customHeight="1" x14ac:dyDescent="0.3">
      <c r="A273" s="102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</row>
    <row r="274" spans="1:19" ht="14.25" customHeight="1" x14ac:dyDescent="0.3">
      <c r="A274" s="102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</row>
    <row r="275" spans="1:19" ht="14.25" customHeight="1" x14ac:dyDescent="0.3">
      <c r="A275" s="102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</row>
    <row r="276" spans="1:19" ht="14.25" customHeight="1" x14ac:dyDescent="0.3">
      <c r="A276" s="102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</row>
    <row r="277" spans="1:19" ht="14.25" customHeight="1" x14ac:dyDescent="0.3">
      <c r="A277" s="102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</row>
    <row r="278" spans="1:19" ht="14.25" customHeight="1" x14ac:dyDescent="0.3">
      <c r="A278" s="102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</row>
    <row r="279" spans="1:19" ht="14.25" customHeight="1" x14ac:dyDescent="0.3">
      <c r="A279" s="102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</row>
    <row r="280" spans="1:19" ht="14.25" customHeight="1" x14ac:dyDescent="0.3">
      <c r="A280" s="102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</row>
    <row r="281" spans="1:19" ht="14.25" customHeight="1" x14ac:dyDescent="0.3">
      <c r="A281" s="102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</row>
    <row r="282" spans="1:19" ht="14.25" customHeight="1" x14ac:dyDescent="0.3">
      <c r="A282" s="102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</row>
    <row r="283" spans="1:19" ht="14.25" customHeight="1" x14ac:dyDescent="0.3">
      <c r="A283" s="102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</row>
    <row r="284" spans="1:19" ht="14.25" customHeight="1" x14ac:dyDescent="0.3">
      <c r="A284" s="102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</row>
    <row r="285" spans="1:19" ht="14.25" customHeight="1" x14ac:dyDescent="0.3">
      <c r="A285" s="102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</row>
    <row r="286" spans="1:19" ht="14.25" customHeight="1" x14ac:dyDescent="0.3">
      <c r="A286" s="102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</row>
    <row r="287" spans="1:19" ht="14.25" customHeight="1" x14ac:dyDescent="0.3">
      <c r="A287" s="102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</row>
    <row r="288" spans="1:19" ht="14.25" customHeight="1" x14ac:dyDescent="0.3">
      <c r="A288" s="102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</row>
    <row r="289" spans="1:19" ht="14.25" customHeight="1" x14ac:dyDescent="0.3">
      <c r="A289" s="102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</row>
    <row r="290" spans="1:19" ht="14.25" customHeight="1" x14ac:dyDescent="0.3">
      <c r="A290" s="102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</row>
    <row r="291" spans="1:19" ht="14.25" customHeight="1" x14ac:dyDescent="0.3">
      <c r="A291" s="102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</row>
    <row r="292" spans="1:19" ht="14.25" customHeight="1" x14ac:dyDescent="0.3">
      <c r="A292" s="102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</row>
    <row r="293" spans="1:19" ht="14.25" customHeight="1" x14ac:dyDescent="0.3">
      <c r="A293" s="102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</row>
    <row r="294" spans="1:19" ht="14.25" customHeight="1" x14ac:dyDescent="0.3">
      <c r="A294" s="102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</row>
    <row r="295" spans="1:19" ht="14.25" customHeight="1" x14ac:dyDescent="0.3">
      <c r="A295" s="102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</row>
    <row r="296" spans="1:19" ht="14.25" customHeight="1" x14ac:dyDescent="0.3">
      <c r="A296" s="102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</row>
    <row r="297" spans="1:19" ht="14.25" customHeight="1" x14ac:dyDescent="0.3">
      <c r="A297" s="102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</row>
    <row r="298" spans="1:19" ht="14.25" customHeight="1" x14ac:dyDescent="0.3">
      <c r="A298" s="102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</row>
    <row r="299" spans="1:19" ht="14.25" customHeight="1" x14ac:dyDescent="0.3">
      <c r="A299" s="102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</row>
    <row r="300" spans="1:19" ht="14.25" customHeight="1" x14ac:dyDescent="0.3">
      <c r="A300" s="102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</row>
    <row r="301" spans="1:19" ht="14.25" customHeight="1" x14ac:dyDescent="0.3">
      <c r="A301" s="102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</row>
    <row r="302" spans="1:19" ht="14.25" customHeight="1" x14ac:dyDescent="0.3">
      <c r="A302" s="102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</row>
    <row r="303" spans="1:19" ht="14.25" customHeight="1" x14ac:dyDescent="0.3">
      <c r="A303" s="102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</row>
    <row r="304" spans="1:19" ht="14.25" customHeight="1" x14ac:dyDescent="0.3">
      <c r="A304" s="102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</row>
    <row r="305" spans="1:19" ht="14.25" customHeight="1" x14ac:dyDescent="0.3">
      <c r="A305" s="102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</row>
    <row r="306" spans="1:19" ht="14.25" customHeight="1" x14ac:dyDescent="0.3">
      <c r="A306" s="102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</row>
    <row r="307" spans="1:19" ht="14.25" customHeight="1" x14ac:dyDescent="0.3">
      <c r="A307" s="102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</row>
    <row r="308" spans="1:19" ht="14.25" customHeight="1" x14ac:dyDescent="0.3">
      <c r="A308" s="102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</row>
    <row r="309" spans="1:19" ht="14.25" customHeight="1" x14ac:dyDescent="0.3">
      <c r="A309" s="102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</row>
    <row r="310" spans="1:19" ht="14.25" customHeight="1" x14ac:dyDescent="0.3">
      <c r="A310" s="102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</row>
    <row r="311" spans="1:19" ht="14.25" customHeight="1" x14ac:dyDescent="0.3">
      <c r="A311" s="102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</row>
    <row r="312" spans="1:19" ht="14.25" customHeight="1" x14ac:dyDescent="0.3">
      <c r="A312" s="102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</row>
    <row r="313" spans="1:19" ht="14.25" customHeight="1" x14ac:dyDescent="0.3">
      <c r="A313" s="102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</row>
    <row r="314" spans="1:19" ht="14.25" customHeight="1" x14ac:dyDescent="0.3">
      <c r="A314" s="102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</row>
    <row r="315" spans="1:19" ht="14.25" customHeight="1" x14ac:dyDescent="0.3">
      <c r="A315" s="102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</row>
    <row r="316" spans="1:19" ht="14.25" customHeight="1" x14ac:dyDescent="0.3">
      <c r="A316" s="102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</row>
    <row r="317" spans="1:19" ht="14.25" customHeight="1" x14ac:dyDescent="0.3">
      <c r="A317" s="102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</row>
    <row r="318" spans="1:19" ht="14.25" customHeight="1" x14ac:dyDescent="0.3">
      <c r="A318" s="102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</row>
    <row r="319" spans="1:19" ht="14.25" customHeight="1" x14ac:dyDescent="0.3">
      <c r="A319" s="102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</row>
    <row r="320" spans="1:19" ht="14.25" customHeight="1" x14ac:dyDescent="0.3">
      <c r="A320" s="102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</row>
    <row r="321" spans="1:19" ht="14.25" customHeight="1" x14ac:dyDescent="0.3">
      <c r="A321" s="102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</row>
    <row r="322" spans="1:19" ht="14.25" customHeight="1" x14ac:dyDescent="0.3">
      <c r="A322" s="102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</row>
    <row r="323" spans="1:19" ht="14.25" customHeight="1" x14ac:dyDescent="0.3">
      <c r="A323" s="102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</row>
    <row r="324" spans="1:19" ht="14.25" customHeight="1" x14ac:dyDescent="0.3">
      <c r="A324" s="102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</row>
    <row r="325" spans="1:19" ht="14.25" customHeight="1" x14ac:dyDescent="0.3">
      <c r="A325" s="102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</row>
    <row r="326" spans="1:19" ht="14.25" customHeight="1" x14ac:dyDescent="0.3">
      <c r="A326" s="102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</row>
    <row r="327" spans="1:19" ht="14.25" customHeight="1" x14ac:dyDescent="0.3">
      <c r="A327" s="102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</row>
    <row r="328" spans="1:19" ht="14.25" customHeight="1" x14ac:dyDescent="0.3">
      <c r="A328" s="102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</row>
    <row r="329" spans="1:19" ht="14.25" customHeight="1" x14ac:dyDescent="0.3">
      <c r="A329" s="102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</row>
    <row r="330" spans="1:19" ht="14.25" customHeight="1" x14ac:dyDescent="0.3">
      <c r="A330" s="102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</row>
    <row r="331" spans="1:19" ht="14.25" customHeight="1" x14ac:dyDescent="0.3">
      <c r="A331" s="102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</row>
    <row r="332" spans="1:19" ht="14.25" customHeight="1" x14ac:dyDescent="0.3">
      <c r="A332" s="102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</row>
    <row r="333" spans="1:19" ht="14.25" customHeight="1" x14ac:dyDescent="0.3">
      <c r="A333" s="102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</row>
    <row r="334" spans="1:19" ht="14.25" customHeight="1" x14ac:dyDescent="0.3">
      <c r="A334" s="102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</row>
    <row r="335" spans="1:19" ht="14.25" customHeight="1" x14ac:dyDescent="0.3">
      <c r="A335" s="102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</row>
    <row r="336" spans="1:19" ht="14.25" customHeight="1" x14ac:dyDescent="0.3">
      <c r="A336" s="102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</row>
    <row r="337" spans="1:19" ht="14.25" customHeight="1" x14ac:dyDescent="0.3">
      <c r="A337" s="102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</row>
    <row r="338" spans="1:19" ht="14.25" customHeight="1" x14ac:dyDescent="0.3">
      <c r="A338" s="102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</row>
    <row r="339" spans="1:19" ht="14.25" customHeight="1" x14ac:dyDescent="0.3">
      <c r="A339" s="102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</row>
    <row r="340" spans="1:19" ht="14.25" customHeight="1" x14ac:dyDescent="0.3">
      <c r="A340" s="102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</row>
    <row r="341" spans="1:19" ht="14.25" customHeight="1" x14ac:dyDescent="0.3">
      <c r="A341" s="102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</row>
    <row r="342" spans="1:19" ht="14.25" customHeight="1" x14ac:dyDescent="0.3">
      <c r="A342" s="102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</row>
    <row r="343" spans="1:19" ht="14.25" customHeight="1" x14ac:dyDescent="0.3">
      <c r="A343" s="102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</row>
    <row r="344" spans="1:19" ht="14.25" customHeight="1" x14ac:dyDescent="0.3">
      <c r="A344" s="102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</row>
    <row r="345" spans="1:19" ht="14.25" customHeight="1" x14ac:dyDescent="0.3">
      <c r="A345" s="102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</row>
    <row r="346" spans="1:19" ht="14.25" customHeight="1" x14ac:dyDescent="0.3">
      <c r="A346" s="102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</row>
    <row r="347" spans="1:19" ht="14.25" customHeight="1" x14ac:dyDescent="0.3">
      <c r="A347" s="102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</row>
    <row r="348" spans="1:19" ht="14.25" customHeight="1" x14ac:dyDescent="0.3">
      <c r="A348" s="102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</row>
    <row r="349" spans="1:19" ht="14.25" customHeight="1" x14ac:dyDescent="0.3">
      <c r="A349" s="102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</row>
    <row r="350" spans="1:19" ht="14.25" customHeight="1" x14ac:dyDescent="0.3">
      <c r="A350" s="102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</row>
    <row r="351" spans="1:19" ht="14.25" customHeight="1" x14ac:dyDescent="0.3">
      <c r="A351" s="102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</row>
    <row r="352" spans="1:19" ht="14.25" customHeight="1" x14ac:dyDescent="0.3">
      <c r="A352" s="102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</row>
    <row r="353" spans="1:19" ht="14.25" customHeight="1" x14ac:dyDescent="0.3">
      <c r="A353" s="102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</row>
    <row r="354" spans="1:19" ht="14.25" customHeight="1" x14ac:dyDescent="0.3">
      <c r="A354" s="102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</row>
    <row r="355" spans="1:19" ht="14.25" customHeight="1" x14ac:dyDescent="0.3">
      <c r="A355" s="102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</row>
    <row r="356" spans="1:19" ht="14.25" customHeight="1" x14ac:dyDescent="0.3">
      <c r="A356" s="102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</row>
    <row r="357" spans="1:19" ht="14.25" customHeight="1" x14ac:dyDescent="0.3">
      <c r="A357" s="102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</row>
    <row r="358" spans="1:19" ht="14.25" customHeight="1" x14ac:dyDescent="0.3">
      <c r="A358" s="102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</row>
    <row r="359" spans="1:19" ht="14.25" customHeight="1" x14ac:dyDescent="0.3">
      <c r="A359" s="102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</row>
    <row r="360" spans="1:19" ht="14.25" customHeight="1" x14ac:dyDescent="0.3">
      <c r="A360" s="102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</row>
    <row r="361" spans="1:19" ht="14.25" customHeight="1" x14ac:dyDescent="0.3">
      <c r="A361" s="102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</row>
    <row r="362" spans="1:19" ht="14.25" customHeight="1" x14ac:dyDescent="0.3">
      <c r="A362" s="102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</row>
    <row r="363" spans="1:19" ht="14.25" customHeight="1" x14ac:dyDescent="0.3">
      <c r="A363" s="102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</row>
    <row r="364" spans="1:19" ht="14.25" customHeight="1" x14ac:dyDescent="0.3">
      <c r="A364" s="102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</row>
    <row r="365" spans="1:19" ht="14.25" customHeight="1" x14ac:dyDescent="0.3">
      <c r="A365" s="102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</row>
    <row r="366" spans="1:19" ht="14.25" customHeight="1" x14ac:dyDescent="0.3">
      <c r="A366" s="102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</row>
    <row r="367" spans="1:19" ht="14.25" customHeight="1" x14ac:dyDescent="0.3">
      <c r="A367" s="102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</row>
    <row r="368" spans="1:19" ht="14.25" customHeight="1" x14ac:dyDescent="0.3">
      <c r="A368" s="102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</row>
    <row r="369" spans="1:19" ht="14.25" customHeight="1" x14ac:dyDescent="0.3">
      <c r="A369" s="102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</row>
    <row r="370" spans="1:19" ht="14.25" customHeight="1" x14ac:dyDescent="0.3">
      <c r="A370" s="102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</row>
    <row r="371" spans="1:19" ht="14.25" customHeight="1" x14ac:dyDescent="0.3">
      <c r="A371" s="102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</row>
    <row r="372" spans="1:19" ht="14.25" customHeight="1" x14ac:dyDescent="0.3">
      <c r="A372" s="102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</row>
    <row r="373" spans="1:19" ht="14.25" customHeight="1" x14ac:dyDescent="0.3">
      <c r="A373" s="102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</row>
    <row r="374" spans="1:19" ht="14.25" customHeight="1" x14ac:dyDescent="0.3">
      <c r="A374" s="102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</row>
    <row r="375" spans="1:19" ht="14.25" customHeight="1" x14ac:dyDescent="0.3">
      <c r="A375" s="102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</row>
    <row r="376" spans="1:19" ht="14.25" customHeight="1" x14ac:dyDescent="0.3">
      <c r="A376" s="102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</row>
    <row r="377" spans="1:19" ht="14.25" customHeight="1" x14ac:dyDescent="0.3">
      <c r="A377" s="102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</row>
    <row r="378" spans="1:19" ht="14.25" customHeight="1" x14ac:dyDescent="0.3">
      <c r="A378" s="102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</row>
    <row r="379" spans="1:19" ht="14.25" customHeight="1" x14ac:dyDescent="0.3">
      <c r="A379" s="102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</row>
    <row r="380" spans="1:19" ht="14.25" customHeight="1" x14ac:dyDescent="0.3">
      <c r="A380" s="102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</row>
    <row r="381" spans="1:19" ht="14.25" customHeight="1" x14ac:dyDescent="0.3">
      <c r="A381" s="102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</row>
    <row r="382" spans="1:19" ht="14.25" customHeight="1" x14ac:dyDescent="0.3">
      <c r="A382" s="102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</row>
    <row r="383" spans="1:19" ht="14.25" customHeight="1" x14ac:dyDescent="0.3">
      <c r="A383" s="102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</row>
    <row r="384" spans="1:19" ht="14.25" customHeight="1" x14ac:dyDescent="0.3">
      <c r="A384" s="102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</row>
    <row r="385" spans="1:19" ht="14.25" customHeight="1" x14ac:dyDescent="0.3">
      <c r="A385" s="102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</row>
    <row r="386" spans="1:19" ht="14.25" customHeight="1" x14ac:dyDescent="0.3">
      <c r="A386" s="102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</row>
    <row r="387" spans="1:19" ht="14.25" customHeight="1" x14ac:dyDescent="0.3">
      <c r="A387" s="102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</row>
    <row r="388" spans="1:19" ht="14.25" customHeight="1" x14ac:dyDescent="0.3">
      <c r="A388" s="102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</row>
    <row r="389" spans="1:19" ht="14.25" customHeight="1" x14ac:dyDescent="0.3">
      <c r="A389" s="102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</row>
    <row r="390" spans="1:19" ht="14.25" customHeight="1" x14ac:dyDescent="0.3">
      <c r="A390" s="102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</row>
    <row r="391" spans="1:19" ht="14.25" customHeight="1" x14ac:dyDescent="0.3">
      <c r="A391" s="102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</row>
    <row r="392" spans="1:19" ht="14.25" customHeight="1" x14ac:dyDescent="0.3">
      <c r="A392" s="102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</row>
    <row r="393" spans="1:19" ht="14.25" customHeight="1" x14ac:dyDescent="0.3">
      <c r="A393" s="102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</row>
    <row r="394" spans="1:19" ht="14.25" customHeight="1" x14ac:dyDescent="0.3">
      <c r="A394" s="102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</row>
    <row r="395" spans="1:19" ht="14.25" customHeight="1" x14ac:dyDescent="0.3">
      <c r="A395" s="102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</row>
    <row r="396" spans="1:19" ht="14.25" customHeight="1" x14ac:dyDescent="0.3">
      <c r="A396" s="102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</row>
    <row r="397" spans="1:19" ht="14.25" customHeight="1" x14ac:dyDescent="0.3">
      <c r="A397" s="102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</row>
    <row r="398" spans="1:19" ht="14.25" customHeight="1" x14ac:dyDescent="0.3">
      <c r="A398" s="102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</row>
    <row r="399" spans="1:19" ht="14.25" customHeight="1" x14ac:dyDescent="0.3">
      <c r="A399" s="102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</row>
    <row r="400" spans="1:19" ht="14.25" customHeight="1" x14ac:dyDescent="0.3">
      <c r="A400" s="102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</row>
    <row r="401" spans="1:19" ht="14.25" customHeight="1" x14ac:dyDescent="0.3">
      <c r="A401" s="102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</row>
    <row r="402" spans="1:19" ht="14.25" customHeight="1" x14ac:dyDescent="0.3">
      <c r="A402" s="102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</row>
    <row r="403" spans="1:19" ht="14.25" customHeight="1" x14ac:dyDescent="0.3">
      <c r="A403" s="102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</row>
    <row r="404" spans="1:19" ht="14.25" customHeight="1" x14ac:dyDescent="0.3">
      <c r="A404" s="102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</row>
    <row r="405" spans="1:19" ht="14.25" customHeight="1" x14ac:dyDescent="0.3">
      <c r="A405" s="102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</row>
    <row r="406" spans="1:19" ht="14.25" customHeight="1" x14ac:dyDescent="0.3">
      <c r="A406" s="102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</row>
    <row r="407" spans="1:19" ht="14.25" customHeight="1" x14ac:dyDescent="0.3">
      <c r="A407" s="102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</row>
    <row r="408" spans="1:19" ht="14.25" customHeight="1" x14ac:dyDescent="0.3">
      <c r="A408" s="102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</row>
    <row r="409" spans="1:19" ht="14.25" customHeight="1" x14ac:dyDescent="0.3">
      <c r="A409" s="102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</row>
    <row r="410" spans="1:19" ht="14.25" customHeight="1" x14ac:dyDescent="0.3">
      <c r="A410" s="102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</row>
    <row r="411" spans="1:19" ht="14.25" customHeight="1" x14ac:dyDescent="0.3">
      <c r="A411" s="102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</row>
    <row r="412" spans="1:19" ht="14.25" customHeight="1" x14ac:dyDescent="0.3">
      <c r="A412" s="102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</row>
    <row r="413" spans="1:19" ht="14.25" customHeight="1" x14ac:dyDescent="0.3">
      <c r="A413" s="102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</row>
    <row r="414" spans="1:19" ht="14.25" customHeight="1" x14ac:dyDescent="0.3">
      <c r="A414" s="102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</row>
    <row r="415" spans="1:19" ht="14.25" customHeight="1" x14ac:dyDescent="0.3">
      <c r="A415" s="102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</row>
    <row r="416" spans="1:19" ht="14.25" customHeight="1" x14ac:dyDescent="0.3">
      <c r="A416" s="102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</row>
    <row r="417" spans="1:19" ht="14.25" customHeight="1" x14ac:dyDescent="0.3">
      <c r="A417" s="102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</row>
    <row r="418" spans="1:19" ht="14.25" customHeight="1" x14ac:dyDescent="0.3">
      <c r="A418" s="102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</row>
    <row r="419" spans="1:19" ht="14.25" customHeight="1" x14ac:dyDescent="0.3">
      <c r="A419" s="102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</row>
    <row r="420" spans="1:19" ht="14.25" customHeight="1" x14ac:dyDescent="0.3">
      <c r="A420" s="102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</row>
    <row r="421" spans="1:19" ht="14.25" customHeight="1" x14ac:dyDescent="0.3">
      <c r="A421" s="102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</row>
    <row r="422" spans="1:19" ht="14.25" customHeight="1" x14ac:dyDescent="0.3">
      <c r="A422" s="102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</row>
    <row r="423" spans="1:19" ht="14.25" customHeight="1" x14ac:dyDescent="0.3">
      <c r="A423" s="102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</row>
    <row r="424" spans="1:19" ht="14.25" customHeight="1" x14ac:dyDescent="0.3">
      <c r="A424" s="102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</row>
    <row r="425" spans="1:19" ht="14.25" customHeight="1" x14ac:dyDescent="0.3">
      <c r="A425" s="102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</row>
    <row r="426" spans="1:19" ht="14.25" customHeight="1" x14ac:dyDescent="0.3">
      <c r="A426" s="102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</row>
    <row r="427" spans="1:19" ht="14.25" customHeight="1" x14ac:dyDescent="0.3">
      <c r="A427" s="102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</row>
    <row r="428" spans="1:19" ht="14.25" customHeight="1" x14ac:dyDescent="0.3">
      <c r="A428" s="102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</row>
    <row r="429" spans="1:19" ht="14.25" customHeight="1" x14ac:dyDescent="0.3">
      <c r="A429" s="102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</row>
    <row r="430" spans="1:19" ht="14.25" customHeight="1" x14ac:dyDescent="0.3">
      <c r="A430" s="102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</row>
    <row r="431" spans="1:19" ht="14.25" customHeight="1" x14ac:dyDescent="0.3">
      <c r="A431" s="102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</row>
    <row r="432" spans="1:19" ht="14.25" customHeight="1" x14ac:dyDescent="0.3">
      <c r="A432" s="102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</row>
    <row r="433" spans="1:19" ht="14.25" customHeight="1" x14ac:dyDescent="0.3">
      <c r="A433" s="102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</row>
    <row r="434" spans="1:19" ht="14.25" customHeight="1" x14ac:dyDescent="0.3">
      <c r="A434" s="102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</row>
    <row r="435" spans="1:19" ht="14.25" customHeight="1" x14ac:dyDescent="0.3">
      <c r="A435" s="102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</row>
    <row r="436" spans="1:19" ht="14.25" customHeight="1" x14ac:dyDescent="0.3">
      <c r="A436" s="102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</row>
    <row r="437" spans="1:19" ht="14.25" customHeight="1" x14ac:dyDescent="0.3">
      <c r="A437" s="102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</row>
    <row r="438" spans="1:19" ht="14.25" customHeight="1" x14ac:dyDescent="0.3">
      <c r="A438" s="102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</row>
    <row r="439" spans="1:19" ht="14.25" customHeight="1" x14ac:dyDescent="0.3">
      <c r="A439" s="102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</row>
    <row r="440" spans="1:19" ht="14.25" customHeight="1" x14ac:dyDescent="0.3">
      <c r="A440" s="102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</row>
    <row r="441" spans="1:19" ht="14.25" customHeight="1" x14ac:dyDescent="0.3">
      <c r="A441" s="102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</row>
    <row r="442" spans="1:19" ht="14.25" customHeight="1" x14ac:dyDescent="0.3">
      <c r="A442" s="102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</row>
    <row r="443" spans="1:19" ht="14.25" customHeight="1" x14ac:dyDescent="0.3">
      <c r="A443" s="102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</row>
    <row r="444" spans="1:19" ht="14.25" customHeight="1" x14ac:dyDescent="0.3">
      <c r="A444" s="102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</row>
    <row r="445" spans="1:19" ht="14.25" customHeight="1" x14ac:dyDescent="0.3">
      <c r="A445" s="102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</row>
    <row r="446" spans="1:19" ht="14.25" customHeight="1" x14ac:dyDescent="0.3">
      <c r="A446" s="102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</row>
    <row r="447" spans="1:19" ht="14.25" customHeight="1" x14ac:dyDescent="0.3">
      <c r="A447" s="102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</row>
    <row r="448" spans="1:19" ht="14.25" customHeight="1" x14ac:dyDescent="0.3">
      <c r="A448" s="102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</row>
    <row r="449" spans="1:19" ht="14.25" customHeight="1" x14ac:dyDescent="0.3">
      <c r="A449" s="102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</row>
    <row r="450" spans="1:19" ht="14.25" customHeight="1" x14ac:dyDescent="0.3">
      <c r="A450" s="102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</row>
    <row r="451" spans="1:19" ht="14.25" customHeight="1" x14ac:dyDescent="0.3">
      <c r="A451" s="102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</row>
    <row r="452" spans="1:19" ht="14.25" customHeight="1" x14ac:dyDescent="0.3">
      <c r="A452" s="102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</row>
    <row r="453" spans="1:19" ht="14.25" customHeight="1" x14ac:dyDescent="0.3">
      <c r="A453" s="102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</row>
    <row r="454" spans="1:19" ht="14.25" customHeight="1" x14ac:dyDescent="0.3">
      <c r="A454" s="102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</row>
    <row r="455" spans="1:19" ht="14.25" customHeight="1" x14ac:dyDescent="0.3">
      <c r="A455" s="102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</row>
    <row r="456" spans="1:19" ht="14.25" customHeight="1" x14ac:dyDescent="0.3">
      <c r="A456" s="102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</row>
    <row r="457" spans="1:19" ht="14.25" customHeight="1" x14ac:dyDescent="0.3">
      <c r="A457" s="102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</row>
    <row r="458" spans="1:19" ht="14.25" customHeight="1" x14ac:dyDescent="0.3">
      <c r="A458" s="102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</row>
    <row r="459" spans="1:19" ht="14.25" customHeight="1" x14ac:dyDescent="0.3">
      <c r="A459" s="102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</row>
    <row r="460" spans="1:19" ht="14.25" customHeight="1" x14ac:dyDescent="0.3">
      <c r="A460" s="102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</row>
    <row r="461" spans="1:19" ht="14.25" customHeight="1" x14ac:dyDescent="0.3">
      <c r="A461" s="102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</row>
    <row r="462" spans="1:19" ht="14.25" customHeight="1" x14ac:dyDescent="0.3">
      <c r="A462" s="102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</row>
    <row r="463" spans="1:19" ht="14.25" customHeight="1" x14ac:dyDescent="0.3">
      <c r="A463" s="102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</row>
    <row r="464" spans="1:19" ht="14.25" customHeight="1" x14ac:dyDescent="0.3">
      <c r="A464" s="102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</row>
    <row r="465" spans="1:19" ht="14.25" customHeight="1" x14ac:dyDescent="0.3">
      <c r="A465" s="102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</row>
    <row r="466" spans="1:19" ht="14.25" customHeight="1" x14ac:dyDescent="0.3">
      <c r="A466" s="102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</row>
    <row r="467" spans="1:19" ht="14.25" customHeight="1" x14ac:dyDescent="0.3">
      <c r="A467" s="102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</row>
    <row r="468" spans="1:19" ht="14.25" customHeight="1" x14ac:dyDescent="0.3">
      <c r="A468" s="102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</row>
    <row r="469" spans="1:19" ht="14.25" customHeight="1" x14ac:dyDescent="0.3">
      <c r="A469" s="102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</row>
    <row r="470" spans="1:19" ht="14.25" customHeight="1" x14ac:dyDescent="0.3">
      <c r="A470" s="102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</row>
    <row r="471" spans="1:19" ht="14.25" customHeight="1" x14ac:dyDescent="0.3">
      <c r="A471" s="102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</row>
    <row r="472" spans="1:19" ht="14.25" customHeight="1" x14ac:dyDescent="0.3">
      <c r="A472" s="102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</row>
    <row r="473" spans="1:19" ht="14.25" customHeight="1" x14ac:dyDescent="0.3">
      <c r="A473" s="102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</row>
    <row r="474" spans="1:19" ht="14.25" customHeight="1" x14ac:dyDescent="0.3">
      <c r="A474" s="102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</row>
    <row r="475" spans="1:19" ht="14.25" customHeight="1" x14ac:dyDescent="0.3">
      <c r="A475" s="102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</row>
    <row r="476" spans="1:19" ht="14.25" customHeight="1" x14ac:dyDescent="0.3">
      <c r="A476" s="102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</row>
    <row r="477" spans="1:19" ht="14.25" customHeight="1" x14ac:dyDescent="0.3">
      <c r="A477" s="102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</row>
    <row r="478" spans="1:19" ht="14.25" customHeight="1" x14ac:dyDescent="0.3">
      <c r="A478" s="102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</row>
    <row r="479" spans="1:19" ht="14.25" customHeight="1" x14ac:dyDescent="0.3">
      <c r="A479" s="102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</row>
    <row r="480" spans="1:19" ht="14.25" customHeight="1" x14ac:dyDescent="0.3">
      <c r="A480" s="102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</row>
    <row r="481" spans="1:19" ht="14.25" customHeight="1" x14ac:dyDescent="0.3">
      <c r="A481" s="102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</row>
    <row r="482" spans="1:19" ht="14.25" customHeight="1" x14ac:dyDescent="0.3">
      <c r="A482" s="102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</row>
    <row r="483" spans="1:19" ht="14.25" customHeight="1" x14ac:dyDescent="0.3">
      <c r="A483" s="102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</row>
    <row r="484" spans="1:19" ht="14.25" customHeight="1" x14ac:dyDescent="0.3">
      <c r="A484" s="102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</row>
    <row r="485" spans="1:19" ht="14.25" customHeight="1" x14ac:dyDescent="0.3">
      <c r="A485" s="102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</row>
    <row r="486" spans="1:19" ht="14.25" customHeight="1" x14ac:dyDescent="0.3">
      <c r="A486" s="102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</row>
    <row r="487" spans="1:19" ht="14.25" customHeight="1" x14ac:dyDescent="0.3">
      <c r="A487" s="102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</row>
    <row r="488" spans="1:19" ht="14.25" customHeight="1" x14ac:dyDescent="0.3">
      <c r="A488" s="102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</row>
    <row r="489" spans="1:19" ht="14.25" customHeight="1" x14ac:dyDescent="0.3">
      <c r="A489" s="102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</row>
    <row r="490" spans="1:19" ht="14.25" customHeight="1" x14ac:dyDescent="0.3">
      <c r="A490" s="102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</row>
    <row r="491" spans="1:19" ht="14.25" customHeight="1" x14ac:dyDescent="0.3">
      <c r="A491" s="102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</row>
    <row r="492" spans="1:19" ht="14.25" customHeight="1" x14ac:dyDescent="0.3">
      <c r="A492" s="102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</row>
    <row r="493" spans="1:19" ht="14.25" customHeight="1" x14ac:dyDescent="0.3">
      <c r="A493" s="102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</row>
    <row r="494" spans="1:19" ht="14.25" customHeight="1" x14ac:dyDescent="0.3">
      <c r="A494" s="102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</row>
    <row r="495" spans="1:19" ht="14.25" customHeight="1" x14ac:dyDescent="0.3">
      <c r="A495" s="102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</row>
    <row r="496" spans="1:19" ht="14.25" customHeight="1" x14ac:dyDescent="0.3">
      <c r="A496" s="102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</row>
    <row r="497" spans="1:19" ht="14.25" customHeight="1" x14ac:dyDescent="0.3">
      <c r="A497" s="102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</row>
    <row r="498" spans="1:19" ht="14.25" customHeight="1" x14ac:dyDescent="0.3">
      <c r="A498" s="102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</row>
    <row r="499" spans="1:19" ht="14.25" customHeight="1" x14ac:dyDescent="0.3">
      <c r="A499" s="102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</row>
    <row r="500" spans="1:19" ht="14.25" customHeight="1" x14ac:dyDescent="0.3">
      <c r="A500" s="102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</row>
    <row r="501" spans="1:19" ht="14.25" customHeight="1" x14ac:dyDescent="0.3">
      <c r="A501" s="102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</row>
    <row r="502" spans="1:19" ht="14.25" customHeight="1" x14ac:dyDescent="0.3">
      <c r="A502" s="102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</row>
    <row r="503" spans="1:19" ht="14.25" customHeight="1" x14ac:dyDescent="0.3">
      <c r="A503" s="102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</row>
    <row r="504" spans="1:19" ht="14.25" customHeight="1" x14ac:dyDescent="0.3">
      <c r="A504" s="102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</row>
    <row r="505" spans="1:19" ht="14.25" customHeight="1" x14ac:dyDescent="0.3">
      <c r="A505" s="102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</row>
    <row r="506" spans="1:19" ht="14.25" customHeight="1" x14ac:dyDescent="0.3">
      <c r="A506" s="102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</row>
    <row r="507" spans="1:19" ht="14.25" customHeight="1" x14ac:dyDescent="0.3">
      <c r="A507" s="102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</row>
    <row r="508" spans="1:19" ht="14.25" customHeight="1" x14ac:dyDescent="0.3">
      <c r="A508" s="102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</row>
    <row r="509" spans="1:19" ht="14.25" customHeight="1" x14ac:dyDescent="0.3">
      <c r="A509" s="102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</row>
    <row r="510" spans="1:19" ht="14.25" customHeight="1" x14ac:dyDescent="0.3">
      <c r="A510" s="102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</row>
    <row r="511" spans="1:19" ht="14.25" customHeight="1" x14ac:dyDescent="0.3">
      <c r="A511" s="102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</row>
    <row r="512" spans="1:19" ht="14.25" customHeight="1" x14ac:dyDescent="0.3">
      <c r="A512" s="102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</row>
    <row r="513" spans="1:19" ht="14.25" customHeight="1" x14ac:dyDescent="0.3">
      <c r="A513" s="102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</row>
    <row r="514" spans="1:19" ht="14.25" customHeight="1" x14ac:dyDescent="0.3">
      <c r="A514" s="102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</row>
    <row r="515" spans="1:19" ht="14.25" customHeight="1" x14ac:dyDescent="0.3">
      <c r="A515" s="102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</row>
    <row r="516" spans="1:19" ht="14.25" customHeight="1" x14ac:dyDescent="0.3">
      <c r="A516" s="102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</row>
    <row r="517" spans="1:19" ht="14.25" customHeight="1" x14ac:dyDescent="0.3">
      <c r="A517" s="102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</row>
    <row r="518" spans="1:19" ht="14.25" customHeight="1" x14ac:dyDescent="0.3">
      <c r="A518" s="102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</row>
    <row r="519" spans="1:19" ht="14.25" customHeight="1" x14ac:dyDescent="0.3">
      <c r="A519" s="102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</row>
    <row r="520" spans="1:19" ht="14.25" customHeight="1" x14ac:dyDescent="0.3">
      <c r="A520" s="102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</row>
    <row r="521" spans="1:19" ht="14.25" customHeight="1" x14ac:dyDescent="0.3">
      <c r="A521" s="102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</row>
    <row r="522" spans="1:19" ht="14.25" customHeight="1" x14ac:dyDescent="0.3">
      <c r="A522" s="102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</row>
    <row r="523" spans="1:19" ht="14.25" customHeight="1" x14ac:dyDescent="0.3">
      <c r="A523" s="102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</row>
    <row r="524" spans="1:19" ht="14.25" customHeight="1" x14ac:dyDescent="0.3">
      <c r="A524" s="102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</row>
    <row r="525" spans="1:19" ht="14.25" customHeight="1" x14ac:dyDescent="0.3">
      <c r="A525" s="102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</row>
    <row r="526" spans="1:19" ht="14.25" customHeight="1" x14ac:dyDescent="0.3">
      <c r="A526" s="102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</row>
    <row r="527" spans="1:19" ht="14.25" customHeight="1" x14ac:dyDescent="0.3">
      <c r="A527" s="102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</row>
    <row r="528" spans="1:19" ht="14.25" customHeight="1" x14ac:dyDescent="0.3">
      <c r="A528" s="102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</row>
    <row r="529" spans="1:19" ht="14.25" customHeight="1" x14ac:dyDescent="0.3">
      <c r="A529" s="102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</row>
    <row r="530" spans="1:19" ht="14.25" customHeight="1" x14ac:dyDescent="0.3">
      <c r="A530" s="102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</row>
    <row r="531" spans="1:19" ht="14.25" customHeight="1" x14ac:dyDescent="0.3">
      <c r="A531" s="102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</row>
    <row r="532" spans="1:19" ht="14.25" customHeight="1" x14ac:dyDescent="0.3">
      <c r="A532" s="102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</row>
    <row r="533" spans="1:19" ht="14.25" customHeight="1" x14ac:dyDescent="0.3">
      <c r="A533" s="102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</row>
    <row r="534" spans="1:19" ht="14.25" customHeight="1" x14ac:dyDescent="0.3">
      <c r="A534" s="102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</row>
    <row r="535" spans="1:19" ht="14.25" customHeight="1" x14ac:dyDescent="0.3">
      <c r="A535" s="102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</row>
    <row r="536" spans="1:19" ht="14.25" customHeight="1" x14ac:dyDescent="0.3">
      <c r="A536" s="102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</row>
    <row r="537" spans="1:19" ht="14.25" customHeight="1" x14ac:dyDescent="0.3">
      <c r="A537" s="102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</row>
    <row r="538" spans="1:19" ht="14.25" customHeight="1" x14ac:dyDescent="0.3">
      <c r="A538" s="102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</row>
    <row r="539" spans="1:19" ht="14.25" customHeight="1" x14ac:dyDescent="0.3">
      <c r="A539" s="102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</row>
    <row r="540" spans="1:19" ht="14.25" customHeight="1" x14ac:dyDescent="0.3">
      <c r="A540" s="102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</row>
    <row r="541" spans="1:19" ht="14.25" customHeight="1" x14ac:dyDescent="0.3">
      <c r="A541" s="102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</row>
    <row r="542" spans="1:19" ht="14.25" customHeight="1" x14ac:dyDescent="0.3">
      <c r="A542" s="102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</row>
    <row r="543" spans="1:19" ht="14.25" customHeight="1" x14ac:dyDescent="0.3">
      <c r="A543" s="102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</row>
    <row r="544" spans="1:19" ht="14.25" customHeight="1" x14ac:dyDescent="0.3">
      <c r="A544" s="102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</row>
    <row r="545" spans="1:19" ht="14.25" customHeight="1" x14ac:dyDescent="0.3">
      <c r="A545" s="102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</row>
    <row r="546" spans="1:19" ht="14.25" customHeight="1" x14ac:dyDescent="0.3">
      <c r="A546" s="102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</row>
    <row r="547" spans="1:19" ht="14.25" customHeight="1" x14ac:dyDescent="0.3">
      <c r="A547" s="102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</row>
    <row r="548" spans="1:19" ht="14.25" customHeight="1" x14ac:dyDescent="0.3">
      <c r="A548" s="102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</row>
    <row r="549" spans="1:19" ht="14.25" customHeight="1" x14ac:dyDescent="0.3">
      <c r="A549" s="102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</row>
    <row r="550" spans="1:19" ht="14.25" customHeight="1" x14ac:dyDescent="0.3">
      <c r="A550" s="102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</row>
    <row r="551" spans="1:19" ht="14.25" customHeight="1" x14ac:dyDescent="0.3">
      <c r="A551" s="102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</row>
    <row r="552" spans="1:19" ht="14.25" customHeight="1" x14ac:dyDescent="0.3">
      <c r="A552" s="102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</row>
    <row r="553" spans="1:19" ht="14.25" customHeight="1" x14ac:dyDescent="0.3">
      <c r="A553" s="102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</row>
    <row r="554" spans="1:19" ht="14.25" customHeight="1" x14ac:dyDescent="0.3">
      <c r="A554" s="102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</row>
    <row r="555" spans="1:19" ht="14.25" customHeight="1" x14ac:dyDescent="0.3">
      <c r="A555" s="102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</row>
    <row r="556" spans="1:19" ht="14.25" customHeight="1" x14ac:dyDescent="0.3">
      <c r="A556" s="102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</row>
    <row r="557" spans="1:19" ht="14.25" customHeight="1" x14ac:dyDescent="0.3">
      <c r="A557" s="102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</row>
    <row r="558" spans="1:19" ht="14.25" customHeight="1" x14ac:dyDescent="0.3">
      <c r="A558" s="102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</row>
    <row r="559" spans="1:19" ht="14.25" customHeight="1" x14ac:dyDescent="0.3">
      <c r="A559" s="102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</row>
    <row r="560" spans="1:19" ht="14.25" customHeight="1" x14ac:dyDescent="0.3">
      <c r="A560" s="102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</row>
    <row r="561" spans="1:19" ht="14.25" customHeight="1" x14ac:dyDescent="0.3">
      <c r="A561" s="102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</row>
    <row r="562" spans="1:19" ht="14.25" customHeight="1" x14ac:dyDescent="0.3">
      <c r="A562" s="102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</row>
    <row r="563" spans="1:19" ht="14.25" customHeight="1" x14ac:dyDescent="0.3">
      <c r="A563" s="102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</row>
    <row r="564" spans="1:19" ht="14.25" customHeight="1" x14ac:dyDescent="0.3">
      <c r="A564" s="102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</row>
    <row r="565" spans="1:19" ht="14.25" customHeight="1" x14ac:dyDescent="0.3">
      <c r="A565" s="102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</row>
    <row r="566" spans="1:19" ht="14.25" customHeight="1" x14ac:dyDescent="0.3">
      <c r="A566" s="102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</row>
    <row r="567" spans="1:19" ht="14.25" customHeight="1" x14ac:dyDescent="0.3">
      <c r="A567" s="102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</row>
    <row r="568" spans="1:19" ht="14.25" customHeight="1" x14ac:dyDescent="0.3">
      <c r="A568" s="102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</row>
    <row r="569" spans="1:19" ht="14.25" customHeight="1" x14ac:dyDescent="0.3">
      <c r="A569" s="102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</row>
    <row r="570" spans="1:19" ht="14.25" customHeight="1" x14ac:dyDescent="0.3">
      <c r="A570" s="102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</row>
    <row r="571" spans="1:19" ht="14.25" customHeight="1" x14ac:dyDescent="0.3">
      <c r="A571" s="102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</row>
    <row r="572" spans="1:19" ht="14.25" customHeight="1" x14ac:dyDescent="0.3">
      <c r="A572" s="102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</row>
    <row r="573" spans="1:19" ht="14.25" customHeight="1" x14ac:dyDescent="0.3">
      <c r="A573" s="102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</row>
    <row r="574" spans="1:19" ht="14.25" customHeight="1" x14ac:dyDescent="0.3">
      <c r="A574" s="102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</row>
    <row r="575" spans="1:19" ht="14.25" customHeight="1" x14ac:dyDescent="0.3">
      <c r="A575" s="102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</row>
    <row r="576" spans="1:19" ht="14.25" customHeight="1" x14ac:dyDescent="0.3">
      <c r="A576" s="102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</row>
    <row r="577" spans="1:19" ht="14.25" customHeight="1" x14ac:dyDescent="0.3">
      <c r="A577" s="102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</row>
    <row r="578" spans="1:19" ht="14.25" customHeight="1" x14ac:dyDescent="0.3">
      <c r="A578" s="102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</row>
    <row r="579" spans="1:19" ht="14.25" customHeight="1" x14ac:dyDescent="0.3">
      <c r="A579" s="102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</row>
    <row r="580" spans="1:19" ht="14.25" customHeight="1" x14ac:dyDescent="0.3">
      <c r="A580" s="102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</row>
    <row r="581" spans="1:19" ht="14.25" customHeight="1" x14ac:dyDescent="0.3">
      <c r="A581" s="102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</row>
    <row r="582" spans="1:19" ht="14.25" customHeight="1" x14ac:dyDescent="0.3">
      <c r="A582" s="102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</row>
    <row r="583" spans="1:19" ht="14.25" customHeight="1" x14ac:dyDescent="0.3">
      <c r="A583" s="102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</row>
    <row r="584" spans="1:19" ht="14.25" customHeight="1" x14ac:dyDescent="0.3">
      <c r="A584" s="102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</row>
    <row r="585" spans="1:19" ht="14.25" customHeight="1" x14ac:dyDescent="0.3">
      <c r="A585" s="102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</row>
    <row r="586" spans="1:19" ht="14.25" customHeight="1" x14ac:dyDescent="0.3">
      <c r="A586" s="102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</row>
    <row r="587" spans="1:19" ht="14.25" customHeight="1" x14ac:dyDescent="0.3">
      <c r="A587" s="102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</row>
    <row r="588" spans="1:19" ht="14.25" customHeight="1" x14ac:dyDescent="0.3">
      <c r="A588" s="102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</row>
    <row r="589" spans="1:19" ht="14.25" customHeight="1" x14ac:dyDescent="0.3">
      <c r="A589" s="102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</row>
    <row r="590" spans="1:19" ht="14.25" customHeight="1" x14ac:dyDescent="0.3">
      <c r="A590" s="102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</row>
    <row r="591" spans="1:19" ht="14.25" customHeight="1" x14ac:dyDescent="0.3">
      <c r="A591" s="102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</row>
    <row r="592" spans="1:19" ht="14.25" customHeight="1" x14ac:dyDescent="0.3">
      <c r="A592" s="102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</row>
    <row r="593" spans="1:19" ht="14.25" customHeight="1" x14ac:dyDescent="0.3">
      <c r="A593" s="102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</row>
    <row r="594" spans="1:19" ht="14.25" customHeight="1" x14ac:dyDescent="0.3">
      <c r="A594" s="102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</row>
    <row r="595" spans="1:19" ht="14.25" customHeight="1" x14ac:dyDescent="0.3">
      <c r="A595" s="102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</row>
    <row r="596" spans="1:19" ht="14.25" customHeight="1" x14ac:dyDescent="0.3">
      <c r="A596" s="102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</row>
    <row r="597" spans="1:19" ht="14.25" customHeight="1" x14ac:dyDescent="0.3">
      <c r="A597" s="102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</row>
    <row r="598" spans="1:19" ht="14.25" customHeight="1" x14ac:dyDescent="0.3">
      <c r="A598" s="102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</row>
    <row r="599" spans="1:19" ht="14.25" customHeight="1" x14ac:dyDescent="0.3">
      <c r="A599" s="102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</row>
    <row r="600" spans="1:19" ht="14.25" customHeight="1" x14ac:dyDescent="0.3">
      <c r="A600" s="102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</row>
    <row r="601" spans="1:19" ht="14.25" customHeight="1" x14ac:dyDescent="0.3">
      <c r="A601" s="102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</row>
    <row r="602" spans="1:19" ht="14.25" customHeight="1" x14ac:dyDescent="0.3">
      <c r="A602" s="102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</row>
    <row r="603" spans="1:19" ht="14.25" customHeight="1" x14ac:dyDescent="0.3">
      <c r="A603" s="102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</row>
    <row r="604" spans="1:19" ht="14.25" customHeight="1" x14ac:dyDescent="0.3">
      <c r="A604" s="102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</row>
    <row r="605" spans="1:19" ht="14.25" customHeight="1" x14ac:dyDescent="0.3">
      <c r="A605" s="102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</row>
    <row r="606" spans="1:19" ht="14.25" customHeight="1" x14ac:dyDescent="0.3">
      <c r="A606" s="102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</row>
    <row r="607" spans="1:19" ht="14.25" customHeight="1" x14ac:dyDescent="0.3">
      <c r="A607" s="102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</row>
    <row r="608" spans="1:19" ht="14.25" customHeight="1" x14ac:dyDescent="0.3">
      <c r="A608" s="102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</row>
    <row r="609" spans="1:19" ht="14.25" customHeight="1" x14ac:dyDescent="0.3">
      <c r="A609" s="102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</row>
    <row r="610" spans="1:19" ht="14.25" customHeight="1" x14ac:dyDescent="0.3">
      <c r="A610" s="102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</row>
    <row r="611" spans="1:19" ht="14.25" customHeight="1" x14ac:dyDescent="0.3">
      <c r="A611" s="102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</row>
    <row r="612" spans="1:19" ht="14.25" customHeight="1" x14ac:dyDescent="0.3">
      <c r="A612" s="102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</row>
    <row r="613" spans="1:19" ht="14.25" customHeight="1" x14ac:dyDescent="0.3">
      <c r="A613" s="102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</row>
    <row r="614" spans="1:19" ht="14.25" customHeight="1" x14ac:dyDescent="0.3">
      <c r="A614" s="102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</row>
    <row r="615" spans="1:19" ht="14.25" customHeight="1" x14ac:dyDescent="0.3">
      <c r="A615" s="102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</row>
    <row r="616" spans="1:19" ht="14.25" customHeight="1" x14ac:dyDescent="0.3">
      <c r="A616" s="102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</row>
    <row r="617" spans="1:19" ht="14.25" customHeight="1" x14ac:dyDescent="0.3">
      <c r="A617" s="102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</row>
    <row r="618" spans="1:19" ht="14.25" customHeight="1" x14ac:dyDescent="0.3">
      <c r="A618" s="102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</row>
    <row r="619" spans="1:19" ht="14.25" customHeight="1" x14ac:dyDescent="0.3">
      <c r="A619" s="102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</row>
    <row r="620" spans="1:19" ht="14.25" customHeight="1" x14ac:dyDescent="0.3">
      <c r="A620" s="102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</row>
    <row r="621" spans="1:19" ht="14.25" customHeight="1" x14ac:dyDescent="0.3">
      <c r="A621" s="102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</row>
    <row r="622" spans="1:19" ht="14.25" customHeight="1" x14ac:dyDescent="0.3">
      <c r="A622" s="102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</row>
    <row r="623" spans="1:19" ht="14.25" customHeight="1" x14ac:dyDescent="0.3">
      <c r="A623" s="102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</row>
    <row r="624" spans="1:19" ht="14.25" customHeight="1" x14ac:dyDescent="0.3">
      <c r="A624" s="102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</row>
    <row r="625" spans="1:19" ht="14.25" customHeight="1" x14ac:dyDescent="0.3">
      <c r="A625" s="102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</row>
    <row r="626" spans="1:19" ht="14.25" customHeight="1" x14ac:dyDescent="0.3">
      <c r="A626" s="102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</row>
    <row r="627" spans="1:19" ht="14.25" customHeight="1" x14ac:dyDescent="0.3">
      <c r="A627" s="102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</row>
    <row r="628" spans="1:19" ht="14.25" customHeight="1" x14ac:dyDescent="0.3">
      <c r="A628" s="102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</row>
    <row r="629" spans="1:19" ht="14.25" customHeight="1" x14ac:dyDescent="0.3">
      <c r="A629" s="102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</row>
    <row r="630" spans="1:19" ht="14.25" customHeight="1" x14ac:dyDescent="0.3">
      <c r="A630" s="102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</row>
    <row r="631" spans="1:19" ht="14.25" customHeight="1" x14ac:dyDescent="0.3">
      <c r="A631" s="102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</row>
    <row r="632" spans="1:19" ht="14.25" customHeight="1" x14ac:dyDescent="0.3">
      <c r="A632" s="102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</row>
    <row r="633" spans="1:19" ht="14.25" customHeight="1" x14ac:dyDescent="0.3">
      <c r="A633" s="102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</row>
    <row r="634" spans="1:19" ht="14.25" customHeight="1" x14ac:dyDescent="0.3">
      <c r="A634" s="102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</row>
    <row r="635" spans="1:19" ht="14.25" customHeight="1" x14ac:dyDescent="0.3">
      <c r="A635" s="102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</row>
    <row r="636" spans="1:19" ht="14.25" customHeight="1" x14ac:dyDescent="0.3">
      <c r="A636" s="102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</row>
    <row r="637" spans="1:19" ht="14.25" customHeight="1" x14ac:dyDescent="0.3">
      <c r="A637" s="102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</row>
    <row r="638" spans="1:19" ht="14.25" customHeight="1" x14ac:dyDescent="0.3">
      <c r="A638" s="102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</row>
    <row r="639" spans="1:19" ht="14.25" customHeight="1" x14ac:dyDescent="0.3">
      <c r="A639" s="102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</row>
    <row r="640" spans="1:19" ht="14.25" customHeight="1" x14ac:dyDescent="0.3">
      <c r="A640" s="102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</row>
    <row r="641" spans="1:19" ht="14.25" customHeight="1" x14ac:dyDescent="0.3">
      <c r="A641" s="102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</row>
    <row r="642" spans="1:19" ht="14.25" customHeight="1" x14ac:dyDescent="0.3">
      <c r="A642" s="102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</row>
    <row r="643" spans="1:19" ht="14.25" customHeight="1" x14ac:dyDescent="0.3">
      <c r="A643" s="102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</row>
    <row r="644" spans="1:19" ht="14.25" customHeight="1" x14ac:dyDescent="0.3">
      <c r="A644" s="102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</row>
    <row r="645" spans="1:19" ht="14.25" customHeight="1" x14ac:dyDescent="0.3">
      <c r="A645" s="102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</row>
    <row r="646" spans="1:19" ht="14.25" customHeight="1" x14ac:dyDescent="0.3">
      <c r="A646" s="102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</row>
    <row r="647" spans="1:19" ht="14.25" customHeight="1" x14ac:dyDescent="0.3">
      <c r="A647" s="102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</row>
    <row r="648" spans="1:19" ht="14.25" customHeight="1" x14ac:dyDescent="0.3">
      <c r="A648" s="102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</row>
    <row r="649" spans="1:19" ht="14.25" customHeight="1" x14ac:dyDescent="0.3">
      <c r="A649" s="102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</row>
    <row r="650" spans="1:19" ht="14.25" customHeight="1" x14ac:dyDescent="0.3">
      <c r="A650" s="102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</row>
    <row r="651" spans="1:19" ht="14.25" customHeight="1" x14ac:dyDescent="0.3">
      <c r="A651" s="102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</row>
    <row r="652" spans="1:19" ht="14.25" customHeight="1" x14ac:dyDescent="0.3">
      <c r="A652" s="102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</row>
    <row r="653" spans="1:19" ht="14.25" customHeight="1" x14ac:dyDescent="0.3">
      <c r="A653" s="102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</row>
    <row r="654" spans="1:19" ht="14.25" customHeight="1" x14ac:dyDescent="0.3">
      <c r="A654" s="102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</row>
    <row r="655" spans="1:19" ht="14.25" customHeight="1" x14ac:dyDescent="0.3">
      <c r="A655" s="102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</row>
    <row r="656" spans="1:19" ht="14.25" customHeight="1" x14ac:dyDescent="0.3">
      <c r="A656" s="102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</row>
    <row r="657" spans="1:19" ht="14.25" customHeight="1" x14ac:dyDescent="0.3">
      <c r="A657" s="102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</row>
    <row r="658" spans="1:19" ht="14.25" customHeight="1" x14ac:dyDescent="0.3">
      <c r="A658" s="102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</row>
    <row r="659" spans="1:19" ht="14.25" customHeight="1" x14ac:dyDescent="0.3">
      <c r="A659" s="102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</row>
    <row r="660" spans="1:19" ht="14.25" customHeight="1" x14ac:dyDescent="0.3">
      <c r="A660" s="102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</row>
    <row r="661" spans="1:19" ht="14.25" customHeight="1" x14ac:dyDescent="0.3">
      <c r="A661" s="102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</row>
    <row r="662" spans="1:19" ht="14.25" customHeight="1" x14ac:dyDescent="0.3">
      <c r="A662" s="102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</row>
    <row r="663" spans="1:19" ht="14.25" customHeight="1" x14ac:dyDescent="0.3">
      <c r="A663" s="102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</row>
    <row r="664" spans="1:19" ht="14.25" customHeight="1" x14ac:dyDescent="0.3">
      <c r="A664" s="102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</row>
    <row r="665" spans="1:19" ht="14.25" customHeight="1" x14ac:dyDescent="0.3">
      <c r="A665" s="102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</row>
    <row r="666" spans="1:19" ht="14.25" customHeight="1" x14ac:dyDescent="0.3">
      <c r="A666" s="102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</row>
    <row r="667" spans="1:19" ht="14.25" customHeight="1" x14ac:dyDescent="0.3">
      <c r="A667" s="102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</row>
    <row r="668" spans="1:19" ht="14.25" customHeight="1" x14ac:dyDescent="0.3">
      <c r="A668" s="102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</row>
    <row r="669" spans="1:19" ht="14.25" customHeight="1" x14ac:dyDescent="0.3">
      <c r="A669" s="102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</row>
    <row r="670" spans="1:19" ht="14.25" customHeight="1" x14ac:dyDescent="0.3">
      <c r="A670" s="102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</row>
    <row r="671" spans="1:19" ht="14.25" customHeight="1" x14ac:dyDescent="0.3">
      <c r="A671" s="102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</row>
    <row r="672" spans="1:19" ht="14.25" customHeight="1" x14ac:dyDescent="0.3">
      <c r="A672" s="102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</row>
    <row r="673" spans="1:19" ht="14.25" customHeight="1" x14ac:dyDescent="0.3">
      <c r="A673" s="102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</row>
    <row r="674" spans="1:19" ht="14.25" customHeight="1" x14ac:dyDescent="0.3">
      <c r="A674" s="102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</row>
    <row r="675" spans="1:19" ht="14.25" customHeight="1" x14ac:dyDescent="0.3">
      <c r="A675" s="102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</row>
    <row r="676" spans="1:19" ht="14.25" customHeight="1" x14ac:dyDescent="0.3">
      <c r="A676" s="102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</row>
    <row r="677" spans="1:19" ht="14.25" customHeight="1" x14ac:dyDescent="0.3">
      <c r="A677" s="102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</row>
    <row r="678" spans="1:19" ht="14.25" customHeight="1" x14ac:dyDescent="0.3">
      <c r="A678" s="102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</row>
    <row r="679" spans="1:19" ht="14.25" customHeight="1" x14ac:dyDescent="0.3">
      <c r="A679" s="102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</row>
    <row r="680" spans="1:19" ht="14.25" customHeight="1" x14ac:dyDescent="0.3">
      <c r="A680" s="102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</row>
    <row r="681" spans="1:19" ht="14.25" customHeight="1" x14ac:dyDescent="0.3">
      <c r="A681" s="102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</row>
    <row r="682" spans="1:19" ht="14.25" customHeight="1" x14ac:dyDescent="0.3">
      <c r="A682" s="102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</row>
    <row r="683" spans="1:19" ht="14.25" customHeight="1" x14ac:dyDescent="0.3">
      <c r="A683" s="102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</row>
    <row r="684" spans="1:19" ht="14.25" customHeight="1" x14ac:dyDescent="0.3">
      <c r="A684" s="102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</row>
    <row r="685" spans="1:19" ht="14.25" customHeight="1" x14ac:dyDescent="0.3">
      <c r="A685" s="102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</row>
    <row r="686" spans="1:19" ht="14.25" customHeight="1" x14ac:dyDescent="0.3">
      <c r="A686" s="102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</row>
    <row r="687" spans="1:19" ht="14.25" customHeight="1" x14ac:dyDescent="0.3">
      <c r="A687" s="102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</row>
    <row r="688" spans="1:19" ht="14.25" customHeight="1" x14ac:dyDescent="0.3">
      <c r="A688" s="102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</row>
    <row r="689" spans="1:19" ht="14.25" customHeight="1" x14ac:dyDescent="0.3">
      <c r="A689" s="102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</row>
    <row r="690" spans="1:19" ht="14.25" customHeight="1" x14ac:dyDescent="0.3">
      <c r="A690" s="102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</row>
    <row r="691" spans="1:19" ht="14.25" customHeight="1" x14ac:dyDescent="0.3">
      <c r="A691" s="102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</row>
    <row r="692" spans="1:19" ht="14.25" customHeight="1" x14ac:dyDescent="0.3">
      <c r="A692" s="102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</row>
    <row r="693" spans="1:19" ht="14.25" customHeight="1" x14ac:dyDescent="0.3">
      <c r="A693" s="102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</row>
    <row r="694" spans="1:19" ht="14.25" customHeight="1" x14ac:dyDescent="0.3">
      <c r="A694" s="102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</row>
    <row r="695" spans="1:19" ht="14.25" customHeight="1" x14ac:dyDescent="0.3">
      <c r="A695" s="102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</row>
    <row r="696" spans="1:19" ht="14.25" customHeight="1" x14ac:dyDescent="0.3">
      <c r="A696" s="102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</row>
    <row r="697" spans="1:19" ht="14.25" customHeight="1" x14ac:dyDescent="0.3">
      <c r="A697" s="102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</row>
    <row r="698" spans="1:19" ht="14.25" customHeight="1" x14ac:dyDescent="0.3">
      <c r="A698" s="102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</row>
    <row r="699" spans="1:19" ht="14.25" customHeight="1" x14ac:dyDescent="0.3">
      <c r="A699" s="102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</row>
    <row r="700" spans="1:19" ht="14.25" customHeight="1" x14ac:dyDescent="0.3">
      <c r="A700" s="102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</row>
    <row r="701" spans="1:19" ht="14.25" customHeight="1" x14ac:dyDescent="0.3">
      <c r="A701" s="102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</row>
    <row r="702" spans="1:19" ht="14.25" customHeight="1" x14ac:dyDescent="0.3">
      <c r="A702" s="102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</row>
    <row r="703" spans="1:19" ht="14.25" customHeight="1" x14ac:dyDescent="0.3">
      <c r="A703" s="102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</row>
    <row r="704" spans="1:19" ht="14.25" customHeight="1" x14ac:dyDescent="0.3">
      <c r="A704" s="102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</row>
    <row r="705" spans="1:19" ht="14.25" customHeight="1" x14ac:dyDescent="0.3">
      <c r="A705" s="102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</row>
    <row r="706" spans="1:19" ht="14.25" customHeight="1" x14ac:dyDescent="0.3">
      <c r="A706" s="102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</row>
    <row r="707" spans="1:19" ht="14.25" customHeight="1" x14ac:dyDescent="0.3">
      <c r="A707" s="102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</row>
    <row r="708" spans="1:19" ht="14.25" customHeight="1" x14ac:dyDescent="0.3">
      <c r="A708" s="102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</row>
    <row r="709" spans="1:19" ht="14.25" customHeight="1" x14ac:dyDescent="0.3">
      <c r="A709" s="102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</row>
    <row r="710" spans="1:19" ht="14.25" customHeight="1" x14ac:dyDescent="0.3">
      <c r="A710" s="102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</row>
    <row r="711" spans="1:19" ht="14.25" customHeight="1" x14ac:dyDescent="0.3">
      <c r="A711" s="102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</row>
    <row r="712" spans="1:19" ht="14.25" customHeight="1" x14ac:dyDescent="0.3">
      <c r="A712" s="102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</row>
    <row r="713" spans="1:19" ht="14.25" customHeight="1" x14ac:dyDescent="0.3">
      <c r="A713" s="102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</row>
    <row r="714" spans="1:19" ht="14.25" customHeight="1" x14ac:dyDescent="0.3">
      <c r="A714" s="102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</row>
    <row r="715" spans="1:19" ht="14.25" customHeight="1" x14ac:dyDescent="0.3">
      <c r="A715" s="102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</row>
    <row r="716" spans="1:19" ht="14.25" customHeight="1" x14ac:dyDescent="0.3">
      <c r="A716" s="102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</row>
    <row r="717" spans="1:19" ht="14.25" customHeight="1" x14ac:dyDescent="0.3">
      <c r="A717" s="102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</row>
    <row r="718" spans="1:19" ht="14.25" customHeight="1" x14ac:dyDescent="0.3">
      <c r="A718" s="102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</row>
    <row r="719" spans="1:19" ht="14.25" customHeight="1" x14ac:dyDescent="0.3">
      <c r="A719" s="102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</row>
    <row r="720" spans="1:19" ht="14.25" customHeight="1" x14ac:dyDescent="0.3">
      <c r="A720" s="102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</row>
    <row r="721" spans="1:19" ht="14.25" customHeight="1" x14ac:dyDescent="0.3">
      <c r="A721" s="102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</row>
    <row r="722" spans="1:19" ht="14.25" customHeight="1" x14ac:dyDescent="0.3">
      <c r="A722" s="102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</row>
    <row r="723" spans="1:19" ht="14.25" customHeight="1" x14ac:dyDescent="0.3">
      <c r="A723" s="102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</row>
    <row r="724" spans="1:19" ht="14.25" customHeight="1" x14ac:dyDescent="0.3">
      <c r="A724" s="102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</row>
    <row r="725" spans="1:19" ht="14.25" customHeight="1" x14ac:dyDescent="0.3">
      <c r="A725" s="102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</row>
    <row r="726" spans="1:19" ht="14.25" customHeight="1" x14ac:dyDescent="0.3">
      <c r="A726" s="102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</row>
    <row r="727" spans="1:19" ht="14.25" customHeight="1" x14ac:dyDescent="0.3">
      <c r="A727" s="102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</row>
    <row r="728" spans="1:19" ht="14.25" customHeight="1" x14ac:dyDescent="0.3">
      <c r="A728" s="102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</row>
    <row r="729" spans="1:19" ht="14.25" customHeight="1" x14ac:dyDescent="0.3">
      <c r="A729" s="102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</row>
    <row r="730" spans="1:19" ht="14.25" customHeight="1" x14ac:dyDescent="0.3">
      <c r="A730" s="102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</row>
    <row r="731" spans="1:19" ht="14.25" customHeight="1" x14ac:dyDescent="0.3">
      <c r="A731" s="102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</row>
    <row r="732" spans="1:19" ht="14.25" customHeight="1" x14ac:dyDescent="0.3">
      <c r="A732" s="102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</row>
    <row r="733" spans="1:19" ht="14.25" customHeight="1" x14ac:dyDescent="0.3">
      <c r="A733" s="102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</row>
    <row r="734" spans="1:19" ht="14.25" customHeight="1" x14ac:dyDescent="0.3">
      <c r="A734" s="102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</row>
    <row r="735" spans="1:19" ht="14.25" customHeight="1" x14ac:dyDescent="0.3">
      <c r="A735" s="102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</row>
    <row r="736" spans="1:19" ht="14.25" customHeight="1" x14ac:dyDescent="0.3">
      <c r="A736" s="102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</row>
    <row r="737" spans="1:19" ht="14.25" customHeight="1" x14ac:dyDescent="0.3">
      <c r="A737" s="102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</row>
    <row r="738" spans="1:19" ht="14.25" customHeight="1" x14ac:dyDescent="0.3">
      <c r="A738" s="102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</row>
    <row r="739" spans="1:19" ht="14.25" customHeight="1" x14ac:dyDescent="0.3">
      <c r="A739" s="102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</row>
    <row r="740" spans="1:19" ht="14.25" customHeight="1" x14ac:dyDescent="0.3">
      <c r="A740" s="102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</row>
    <row r="741" spans="1:19" ht="14.25" customHeight="1" x14ac:dyDescent="0.3">
      <c r="A741" s="102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</row>
    <row r="742" spans="1:19" ht="14.25" customHeight="1" x14ac:dyDescent="0.3">
      <c r="A742" s="102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</row>
    <row r="743" spans="1:19" ht="14.25" customHeight="1" x14ac:dyDescent="0.3">
      <c r="A743" s="102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</row>
    <row r="744" spans="1:19" ht="14.25" customHeight="1" x14ac:dyDescent="0.3">
      <c r="A744" s="102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</row>
    <row r="745" spans="1:19" ht="14.25" customHeight="1" x14ac:dyDescent="0.3">
      <c r="A745" s="102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</row>
    <row r="746" spans="1:19" ht="14.25" customHeight="1" x14ac:dyDescent="0.3">
      <c r="A746" s="102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</row>
    <row r="747" spans="1:19" ht="14.25" customHeight="1" x14ac:dyDescent="0.3">
      <c r="A747" s="102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</row>
    <row r="748" spans="1:19" ht="14.25" customHeight="1" x14ac:dyDescent="0.3">
      <c r="A748" s="102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</row>
    <row r="749" spans="1:19" ht="14.25" customHeight="1" x14ac:dyDescent="0.3">
      <c r="A749" s="102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</row>
    <row r="750" spans="1:19" ht="14.25" customHeight="1" x14ac:dyDescent="0.3">
      <c r="A750" s="102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</row>
    <row r="751" spans="1:19" ht="14.25" customHeight="1" x14ac:dyDescent="0.3">
      <c r="A751" s="102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</row>
    <row r="752" spans="1:19" ht="14.25" customHeight="1" x14ac:dyDescent="0.3">
      <c r="A752" s="102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</row>
    <row r="753" spans="1:19" ht="14.25" customHeight="1" x14ac:dyDescent="0.3">
      <c r="A753" s="102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</row>
    <row r="754" spans="1:19" ht="14.25" customHeight="1" x14ac:dyDescent="0.3">
      <c r="A754" s="102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</row>
    <row r="755" spans="1:19" ht="14.25" customHeight="1" x14ac:dyDescent="0.3">
      <c r="A755" s="102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</row>
    <row r="756" spans="1:19" ht="14.25" customHeight="1" x14ac:dyDescent="0.3">
      <c r="A756" s="102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</row>
    <row r="757" spans="1:19" ht="14.25" customHeight="1" x14ac:dyDescent="0.3">
      <c r="A757" s="102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</row>
    <row r="758" spans="1:19" ht="14.25" customHeight="1" x14ac:dyDescent="0.3">
      <c r="A758" s="102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</row>
    <row r="759" spans="1:19" ht="14.25" customHeight="1" x14ac:dyDescent="0.3">
      <c r="A759" s="102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</row>
    <row r="760" spans="1:19" ht="14.25" customHeight="1" x14ac:dyDescent="0.3">
      <c r="A760" s="102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</row>
    <row r="761" spans="1:19" ht="14.25" customHeight="1" x14ac:dyDescent="0.3">
      <c r="A761" s="102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</row>
    <row r="762" spans="1:19" ht="14.25" customHeight="1" x14ac:dyDescent="0.3">
      <c r="A762" s="102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</row>
    <row r="763" spans="1:19" ht="14.25" customHeight="1" x14ac:dyDescent="0.3">
      <c r="A763" s="102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</row>
    <row r="764" spans="1:19" ht="14.25" customHeight="1" x14ac:dyDescent="0.3">
      <c r="A764" s="102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</row>
    <row r="765" spans="1:19" ht="14.25" customHeight="1" x14ac:dyDescent="0.3">
      <c r="A765" s="102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</row>
    <row r="766" spans="1:19" ht="14.25" customHeight="1" x14ac:dyDescent="0.3">
      <c r="A766" s="102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</row>
    <row r="767" spans="1:19" ht="14.25" customHeight="1" x14ac:dyDescent="0.3">
      <c r="A767" s="102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</row>
    <row r="768" spans="1:19" ht="14.25" customHeight="1" x14ac:dyDescent="0.3">
      <c r="A768" s="102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</row>
    <row r="769" spans="1:19" ht="14.25" customHeight="1" x14ac:dyDescent="0.3">
      <c r="A769" s="102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</row>
    <row r="770" spans="1:19" ht="14.25" customHeight="1" x14ac:dyDescent="0.3">
      <c r="A770" s="102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</row>
    <row r="771" spans="1:19" ht="14.25" customHeight="1" x14ac:dyDescent="0.3">
      <c r="A771" s="102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</row>
    <row r="772" spans="1:19" ht="14.25" customHeight="1" x14ac:dyDescent="0.3">
      <c r="A772" s="102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</row>
    <row r="773" spans="1:19" ht="14.25" customHeight="1" x14ac:dyDescent="0.3">
      <c r="A773" s="102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</row>
    <row r="774" spans="1:19" ht="14.25" customHeight="1" x14ac:dyDescent="0.3">
      <c r="A774" s="102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</row>
    <row r="775" spans="1:19" ht="14.25" customHeight="1" x14ac:dyDescent="0.3">
      <c r="A775" s="102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</row>
    <row r="776" spans="1:19" ht="14.25" customHeight="1" x14ac:dyDescent="0.3">
      <c r="A776" s="102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</row>
    <row r="777" spans="1:19" ht="14.25" customHeight="1" x14ac:dyDescent="0.3">
      <c r="A777" s="102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</row>
    <row r="778" spans="1:19" ht="14.25" customHeight="1" x14ac:dyDescent="0.3">
      <c r="A778" s="102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</row>
    <row r="779" spans="1:19" ht="14.25" customHeight="1" x14ac:dyDescent="0.3">
      <c r="A779" s="102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</row>
    <row r="780" spans="1:19" ht="14.25" customHeight="1" x14ac:dyDescent="0.3">
      <c r="A780" s="102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</row>
    <row r="781" spans="1:19" ht="14.25" customHeight="1" x14ac:dyDescent="0.3">
      <c r="A781" s="102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</row>
    <row r="782" spans="1:19" ht="14.25" customHeight="1" x14ac:dyDescent="0.3">
      <c r="A782" s="102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</row>
    <row r="783" spans="1:19" ht="14.25" customHeight="1" x14ac:dyDescent="0.3">
      <c r="A783" s="102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</row>
    <row r="784" spans="1:19" ht="14.25" customHeight="1" x14ac:dyDescent="0.3">
      <c r="A784" s="102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</row>
    <row r="785" spans="1:19" ht="14.25" customHeight="1" x14ac:dyDescent="0.3">
      <c r="A785" s="102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</row>
    <row r="786" spans="1:19" ht="14.25" customHeight="1" x14ac:dyDescent="0.3">
      <c r="A786" s="102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</row>
    <row r="787" spans="1:19" ht="14.25" customHeight="1" x14ac:dyDescent="0.3">
      <c r="A787" s="102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</row>
    <row r="788" spans="1:19" ht="14.25" customHeight="1" x14ac:dyDescent="0.3">
      <c r="A788" s="102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</row>
    <row r="789" spans="1:19" ht="14.25" customHeight="1" x14ac:dyDescent="0.3">
      <c r="A789" s="102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</row>
    <row r="790" spans="1:19" ht="14.25" customHeight="1" x14ac:dyDescent="0.3">
      <c r="A790" s="102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</row>
    <row r="791" spans="1:19" ht="14.25" customHeight="1" x14ac:dyDescent="0.3">
      <c r="A791" s="102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</row>
    <row r="792" spans="1:19" ht="14.25" customHeight="1" x14ac:dyDescent="0.3">
      <c r="A792" s="102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</row>
    <row r="793" spans="1:19" ht="14.25" customHeight="1" x14ac:dyDescent="0.3">
      <c r="A793" s="102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</row>
    <row r="794" spans="1:19" ht="14.25" customHeight="1" x14ac:dyDescent="0.3">
      <c r="A794" s="102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</row>
    <row r="795" spans="1:19" ht="14.25" customHeight="1" x14ac:dyDescent="0.3">
      <c r="A795" s="102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</row>
    <row r="796" spans="1:19" ht="14.25" customHeight="1" x14ac:dyDescent="0.3">
      <c r="A796" s="102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</row>
    <row r="797" spans="1:19" ht="14.25" customHeight="1" x14ac:dyDescent="0.3">
      <c r="A797" s="102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</row>
    <row r="798" spans="1:19" ht="14.25" customHeight="1" x14ac:dyDescent="0.3">
      <c r="A798" s="102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</row>
    <row r="799" spans="1:19" ht="14.25" customHeight="1" x14ac:dyDescent="0.3">
      <c r="A799" s="102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</row>
    <row r="800" spans="1:19" ht="14.25" customHeight="1" x14ac:dyDescent="0.3">
      <c r="A800" s="102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</row>
    <row r="801" spans="1:19" ht="14.25" customHeight="1" x14ac:dyDescent="0.3">
      <c r="A801" s="102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</row>
    <row r="802" spans="1:19" ht="14.25" customHeight="1" x14ac:dyDescent="0.3">
      <c r="A802" s="102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</row>
    <row r="803" spans="1:19" ht="14.25" customHeight="1" x14ac:dyDescent="0.3">
      <c r="A803" s="102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</row>
    <row r="804" spans="1:19" ht="14.25" customHeight="1" x14ac:dyDescent="0.3">
      <c r="A804" s="102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</row>
    <row r="805" spans="1:19" ht="14.25" customHeight="1" x14ac:dyDescent="0.3">
      <c r="A805" s="102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</row>
    <row r="806" spans="1:19" ht="14.25" customHeight="1" x14ac:dyDescent="0.3">
      <c r="A806" s="102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</row>
    <row r="807" spans="1:19" ht="14.25" customHeight="1" x14ac:dyDescent="0.3">
      <c r="A807" s="102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</row>
    <row r="808" spans="1:19" ht="14.25" customHeight="1" x14ac:dyDescent="0.3">
      <c r="A808" s="102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</row>
    <row r="809" spans="1:19" ht="14.25" customHeight="1" x14ac:dyDescent="0.3">
      <c r="A809" s="102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</row>
    <row r="810" spans="1:19" ht="14.25" customHeight="1" x14ac:dyDescent="0.3">
      <c r="A810" s="102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</row>
    <row r="811" spans="1:19" ht="14.25" customHeight="1" x14ac:dyDescent="0.3">
      <c r="A811" s="102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</row>
    <row r="812" spans="1:19" ht="14.25" customHeight="1" x14ac:dyDescent="0.3">
      <c r="A812" s="102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</row>
    <row r="813" spans="1:19" ht="14.25" customHeight="1" x14ac:dyDescent="0.3">
      <c r="A813" s="102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</row>
    <row r="814" spans="1:19" ht="14.25" customHeight="1" x14ac:dyDescent="0.3">
      <c r="A814" s="102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</row>
    <row r="815" spans="1:19" ht="14.25" customHeight="1" x14ac:dyDescent="0.3">
      <c r="A815" s="102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</row>
    <row r="816" spans="1:19" ht="14.25" customHeight="1" x14ac:dyDescent="0.3">
      <c r="A816" s="102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</row>
    <row r="817" spans="1:19" ht="14.25" customHeight="1" x14ac:dyDescent="0.3">
      <c r="A817" s="102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</row>
    <row r="818" spans="1:19" ht="14.25" customHeight="1" x14ac:dyDescent="0.3">
      <c r="A818" s="102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</row>
    <row r="819" spans="1:19" ht="14.25" customHeight="1" x14ac:dyDescent="0.3">
      <c r="A819" s="102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</row>
    <row r="820" spans="1:19" ht="14.25" customHeight="1" x14ac:dyDescent="0.3">
      <c r="A820" s="102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</row>
    <row r="821" spans="1:19" ht="14.25" customHeight="1" x14ac:dyDescent="0.3">
      <c r="A821" s="102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</row>
    <row r="822" spans="1:19" ht="14.25" customHeight="1" x14ac:dyDescent="0.3">
      <c r="A822" s="102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</row>
    <row r="823" spans="1:19" ht="14.25" customHeight="1" x14ac:dyDescent="0.3">
      <c r="A823" s="102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</row>
    <row r="824" spans="1:19" ht="14.25" customHeight="1" x14ac:dyDescent="0.3">
      <c r="A824" s="102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</row>
    <row r="825" spans="1:19" ht="14.25" customHeight="1" x14ac:dyDescent="0.3">
      <c r="A825" s="102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</row>
    <row r="826" spans="1:19" ht="14.25" customHeight="1" x14ac:dyDescent="0.3">
      <c r="A826" s="102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</row>
    <row r="827" spans="1:19" ht="14.25" customHeight="1" x14ac:dyDescent="0.3">
      <c r="A827" s="102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</row>
    <row r="828" spans="1:19" ht="14.25" customHeight="1" x14ac:dyDescent="0.3">
      <c r="A828" s="102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</row>
    <row r="829" spans="1:19" ht="14.25" customHeight="1" x14ac:dyDescent="0.3">
      <c r="A829" s="102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</row>
    <row r="830" spans="1:19" ht="14.25" customHeight="1" x14ac:dyDescent="0.3">
      <c r="A830" s="102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</row>
    <row r="831" spans="1:19" ht="14.25" customHeight="1" x14ac:dyDescent="0.3">
      <c r="A831" s="102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</row>
    <row r="832" spans="1:19" ht="14.25" customHeight="1" x14ac:dyDescent="0.3">
      <c r="A832" s="102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</row>
    <row r="833" spans="1:19" ht="14.25" customHeight="1" x14ac:dyDescent="0.3">
      <c r="A833" s="102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</row>
    <row r="834" spans="1:19" ht="14.25" customHeight="1" x14ac:dyDescent="0.3">
      <c r="A834" s="102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</row>
    <row r="835" spans="1:19" ht="14.25" customHeight="1" x14ac:dyDescent="0.3">
      <c r="A835" s="102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</row>
    <row r="836" spans="1:19" ht="14.25" customHeight="1" x14ac:dyDescent="0.3">
      <c r="A836" s="102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</row>
    <row r="837" spans="1:19" ht="14.25" customHeight="1" x14ac:dyDescent="0.3">
      <c r="A837" s="102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</row>
    <row r="838" spans="1:19" ht="14.25" customHeight="1" x14ac:dyDescent="0.3">
      <c r="A838" s="102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</row>
    <row r="839" spans="1:19" ht="14.25" customHeight="1" x14ac:dyDescent="0.3">
      <c r="A839" s="102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</row>
    <row r="840" spans="1:19" ht="14.25" customHeight="1" x14ac:dyDescent="0.3">
      <c r="A840" s="102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</row>
    <row r="841" spans="1:19" ht="14.25" customHeight="1" x14ac:dyDescent="0.3">
      <c r="A841" s="102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</row>
    <row r="842" spans="1:19" ht="14.25" customHeight="1" x14ac:dyDescent="0.3">
      <c r="A842" s="102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</row>
    <row r="843" spans="1:19" ht="14.25" customHeight="1" x14ac:dyDescent="0.3">
      <c r="A843" s="102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</row>
    <row r="844" spans="1:19" ht="14.25" customHeight="1" x14ac:dyDescent="0.3">
      <c r="A844" s="102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</row>
    <row r="845" spans="1:19" ht="14.25" customHeight="1" x14ac:dyDescent="0.3">
      <c r="A845" s="102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</row>
    <row r="846" spans="1:19" ht="14.25" customHeight="1" x14ac:dyDescent="0.3">
      <c r="A846" s="102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</row>
    <row r="847" spans="1:19" ht="14.25" customHeight="1" x14ac:dyDescent="0.3">
      <c r="A847" s="102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</row>
    <row r="848" spans="1:19" ht="14.25" customHeight="1" x14ac:dyDescent="0.3">
      <c r="A848" s="102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</row>
    <row r="849" spans="1:19" ht="14.25" customHeight="1" x14ac:dyDescent="0.3">
      <c r="A849" s="102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</row>
    <row r="850" spans="1:19" ht="14.25" customHeight="1" x14ac:dyDescent="0.3">
      <c r="A850" s="102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</row>
    <row r="851" spans="1:19" ht="14.25" customHeight="1" x14ac:dyDescent="0.3">
      <c r="A851" s="102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</row>
    <row r="852" spans="1:19" ht="14.25" customHeight="1" x14ac:dyDescent="0.3">
      <c r="A852" s="102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</row>
    <row r="853" spans="1:19" ht="14.25" customHeight="1" x14ac:dyDescent="0.3">
      <c r="A853" s="102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</row>
    <row r="854" spans="1:19" ht="14.25" customHeight="1" x14ac:dyDescent="0.3">
      <c r="A854" s="102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</row>
    <row r="855" spans="1:19" ht="14.25" customHeight="1" x14ac:dyDescent="0.3">
      <c r="A855" s="102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</row>
    <row r="856" spans="1:19" ht="14.25" customHeight="1" x14ac:dyDescent="0.3">
      <c r="A856" s="102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</row>
    <row r="857" spans="1:19" ht="14.25" customHeight="1" x14ac:dyDescent="0.3">
      <c r="A857" s="102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</row>
    <row r="858" spans="1:19" ht="14.25" customHeight="1" x14ac:dyDescent="0.3">
      <c r="A858" s="102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</row>
    <row r="859" spans="1:19" ht="14.25" customHeight="1" x14ac:dyDescent="0.3">
      <c r="A859" s="102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</row>
    <row r="860" spans="1:19" ht="14.25" customHeight="1" x14ac:dyDescent="0.3">
      <c r="A860" s="102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</row>
    <row r="861" spans="1:19" ht="14.25" customHeight="1" x14ac:dyDescent="0.3">
      <c r="A861" s="102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</row>
    <row r="862" spans="1:19" ht="14.25" customHeight="1" x14ac:dyDescent="0.3">
      <c r="A862" s="102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</row>
    <row r="863" spans="1:19" ht="14.25" customHeight="1" x14ac:dyDescent="0.3">
      <c r="A863" s="102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</row>
    <row r="864" spans="1:19" ht="14.25" customHeight="1" x14ac:dyDescent="0.3">
      <c r="A864" s="102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</row>
    <row r="865" spans="1:19" ht="14.25" customHeight="1" x14ac:dyDescent="0.3">
      <c r="A865" s="102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</row>
    <row r="866" spans="1:19" ht="14.25" customHeight="1" x14ac:dyDescent="0.3">
      <c r="A866" s="102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</row>
    <row r="867" spans="1:19" ht="14.25" customHeight="1" x14ac:dyDescent="0.3">
      <c r="A867" s="102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</row>
    <row r="868" spans="1:19" ht="14.25" customHeight="1" x14ac:dyDescent="0.3">
      <c r="A868" s="102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</row>
    <row r="869" spans="1:19" ht="14.25" customHeight="1" x14ac:dyDescent="0.3">
      <c r="A869" s="102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</row>
    <row r="870" spans="1:19" ht="14.25" customHeight="1" x14ac:dyDescent="0.3">
      <c r="A870" s="102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</row>
    <row r="871" spans="1:19" ht="14.25" customHeight="1" x14ac:dyDescent="0.3">
      <c r="A871" s="102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</row>
    <row r="872" spans="1:19" ht="14.25" customHeight="1" x14ac:dyDescent="0.3">
      <c r="A872" s="102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</row>
    <row r="873" spans="1:19" ht="14.25" customHeight="1" x14ac:dyDescent="0.3">
      <c r="A873" s="102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</row>
    <row r="874" spans="1:19" ht="14.25" customHeight="1" x14ac:dyDescent="0.3">
      <c r="A874" s="102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</row>
    <row r="875" spans="1:19" ht="14.25" customHeight="1" x14ac:dyDescent="0.3">
      <c r="A875" s="102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</row>
    <row r="876" spans="1:19" ht="14.25" customHeight="1" x14ac:dyDescent="0.3">
      <c r="A876" s="102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</row>
    <row r="877" spans="1:19" ht="14.25" customHeight="1" x14ac:dyDescent="0.3">
      <c r="A877" s="102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</row>
    <row r="878" spans="1:19" ht="14.25" customHeight="1" x14ac:dyDescent="0.3">
      <c r="A878" s="102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</row>
    <row r="879" spans="1:19" ht="14.25" customHeight="1" x14ac:dyDescent="0.3">
      <c r="A879" s="102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</row>
    <row r="880" spans="1:19" ht="14.25" customHeight="1" x14ac:dyDescent="0.3">
      <c r="A880" s="102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</row>
    <row r="881" spans="1:19" ht="14.25" customHeight="1" x14ac:dyDescent="0.3">
      <c r="A881" s="102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</row>
    <row r="882" spans="1:19" ht="14.25" customHeight="1" x14ac:dyDescent="0.3">
      <c r="A882" s="102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</row>
    <row r="883" spans="1:19" ht="14.25" customHeight="1" x14ac:dyDescent="0.3">
      <c r="A883" s="102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</row>
    <row r="884" spans="1:19" ht="14.25" customHeight="1" x14ac:dyDescent="0.3">
      <c r="A884" s="102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</row>
    <row r="885" spans="1:19" ht="14.25" customHeight="1" x14ac:dyDescent="0.3">
      <c r="A885" s="102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</row>
    <row r="886" spans="1:19" ht="14.25" customHeight="1" x14ac:dyDescent="0.3">
      <c r="A886" s="102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</row>
    <row r="887" spans="1:19" ht="14.25" customHeight="1" x14ac:dyDescent="0.3">
      <c r="A887" s="102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</row>
    <row r="888" spans="1:19" ht="14.25" customHeight="1" x14ac:dyDescent="0.3">
      <c r="A888" s="102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</row>
    <row r="889" spans="1:19" ht="14.25" customHeight="1" x14ac:dyDescent="0.3">
      <c r="A889" s="102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</row>
    <row r="890" spans="1:19" ht="14.25" customHeight="1" x14ac:dyDescent="0.3">
      <c r="A890" s="102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</row>
    <row r="891" spans="1:19" ht="14.25" customHeight="1" x14ac:dyDescent="0.3">
      <c r="A891" s="102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</row>
    <row r="892" spans="1:19" ht="14.25" customHeight="1" x14ac:dyDescent="0.3">
      <c r="A892" s="102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</row>
    <row r="893" spans="1:19" ht="14.25" customHeight="1" x14ac:dyDescent="0.3">
      <c r="A893" s="102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</row>
    <row r="894" spans="1:19" ht="14.25" customHeight="1" x14ac:dyDescent="0.3">
      <c r="A894" s="102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</row>
    <row r="895" spans="1:19" ht="14.25" customHeight="1" x14ac:dyDescent="0.3">
      <c r="A895" s="102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</row>
    <row r="896" spans="1:19" ht="14.25" customHeight="1" x14ac:dyDescent="0.3">
      <c r="A896" s="102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</row>
    <row r="897" spans="1:19" ht="14.25" customHeight="1" x14ac:dyDescent="0.3">
      <c r="A897" s="102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</row>
    <row r="898" spans="1:19" ht="14.25" customHeight="1" x14ac:dyDescent="0.3">
      <c r="A898" s="102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</row>
    <row r="899" spans="1:19" ht="14.25" customHeight="1" x14ac:dyDescent="0.3">
      <c r="A899" s="102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</row>
    <row r="900" spans="1:19" ht="14.25" customHeight="1" x14ac:dyDescent="0.3">
      <c r="A900" s="102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</row>
    <row r="901" spans="1:19" ht="14.25" customHeight="1" x14ac:dyDescent="0.3">
      <c r="A901" s="102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</row>
    <row r="902" spans="1:19" ht="14.25" customHeight="1" x14ac:dyDescent="0.3">
      <c r="A902" s="102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</row>
    <row r="903" spans="1:19" ht="14.25" customHeight="1" x14ac:dyDescent="0.3">
      <c r="A903" s="102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</row>
    <row r="904" spans="1:19" ht="14.25" customHeight="1" x14ac:dyDescent="0.3">
      <c r="A904" s="102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</row>
    <row r="905" spans="1:19" ht="14.25" customHeight="1" x14ac:dyDescent="0.3">
      <c r="A905" s="102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</row>
    <row r="906" spans="1:19" ht="14.25" customHeight="1" x14ac:dyDescent="0.3">
      <c r="A906" s="102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</row>
    <row r="907" spans="1:19" ht="14.25" customHeight="1" x14ac:dyDescent="0.3">
      <c r="A907" s="102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</row>
    <row r="908" spans="1:19" ht="14.25" customHeight="1" x14ac:dyDescent="0.3">
      <c r="A908" s="102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</row>
    <row r="909" spans="1:19" ht="14.25" customHeight="1" x14ac:dyDescent="0.3">
      <c r="A909" s="102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</row>
    <row r="910" spans="1:19" ht="14.25" customHeight="1" x14ac:dyDescent="0.3">
      <c r="A910" s="102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</row>
    <row r="911" spans="1:19" ht="14.25" customHeight="1" x14ac:dyDescent="0.3">
      <c r="A911" s="102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</row>
    <row r="912" spans="1:19" ht="14.25" customHeight="1" x14ac:dyDescent="0.3">
      <c r="A912" s="102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</row>
    <row r="913" spans="1:19" ht="14.25" customHeight="1" x14ac:dyDescent="0.3">
      <c r="A913" s="102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</row>
    <row r="914" spans="1:19" ht="14.25" customHeight="1" x14ac:dyDescent="0.3">
      <c r="A914" s="102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</row>
    <row r="915" spans="1:19" ht="14.25" customHeight="1" x14ac:dyDescent="0.3">
      <c r="A915" s="102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</row>
    <row r="916" spans="1:19" ht="14.25" customHeight="1" x14ac:dyDescent="0.3">
      <c r="A916" s="102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</row>
    <row r="917" spans="1:19" ht="14.25" customHeight="1" x14ac:dyDescent="0.3">
      <c r="A917" s="102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</row>
    <row r="918" spans="1:19" ht="14.25" customHeight="1" x14ac:dyDescent="0.3">
      <c r="A918" s="102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</row>
    <row r="919" spans="1:19" ht="14.25" customHeight="1" x14ac:dyDescent="0.3">
      <c r="A919" s="102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</row>
    <row r="920" spans="1:19" ht="14.25" customHeight="1" x14ac:dyDescent="0.3">
      <c r="A920" s="102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</row>
    <row r="921" spans="1:19" ht="14.25" customHeight="1" x14ac:dyDescent="0.3">
      <c r="A921" s="102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</row>
    <row r="922" spans="1:19" ht="14.25" customHeight="1" x14ac:dyDescent="0.3">
      <c r="A922" s="102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</row>
    <row r="923" spans="1:19" ht="14.25" customHeight="1" x14ac:dyDescent="0.3">
      <c r="A923" s="102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</row>
    <row r="924" spans="1:19" ht="14.25" customHeight="1" x14ac:dyDescent="0.3">
      <c r="A924" s="102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</row>
    <row r="925" spans="1:19" ht="14.25" customHeight="1" x14ac:dyDescent="0.3">
      <c r="A925" s="102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</row>
    <row r="926" spans="1:19" ht="14.25" customHeight="1" x14ac:dyDescent="0.3">
      <c r="A926" s="102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</row>
    <row r="927" spans="1:19" ht="14.25" customHeight="1" x14ac:dyDescent="0.3">
      <c r="A927" s="102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</row>
    <row r="928" spans="1:19" ht="14.25" customHeight="1" x14ac:dyDescent="0.3">
      <c r="A928" s="102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</row>
    <row r="929" spans="1:19" ht="14.25" customHeight="1" x14ac:dyDescent="0.3">
      <c r="A929" s="102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</row>
    <row r="930" spans="1:19" ht="14.25" customHeight="1" x14ac:dyDescent="0.3">
      <c r="A930" s="102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</row>
    <row r="931" spans="1:19" ht="14.25" customHeight="1" x14ac:dyDescent="0.3">
      <c r="A931" s="102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</row>
    <row r="932" spans="1:19" ht="14.25" customHeight="1" x14ac:dyDescent="0.3">
      <c r="A932" s="102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</row>
    <row r="933" spans="1:19" ht="14.25" customHeight="1" x14ac:dyDescent="0.3">
      <c r="A933" s="102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</row>
    <row r="934" spans="1:19" ht="14.25" customHeight="1" x14ac:dyDescent="0.3">
      <c r="A934" s="102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</row>
    <row r="935" spans="1:19" ht="14.25" customHeight="1" x14ac:dyDescent="0.3">
      <c r="A935" s="102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</row>
    <row r="936" spans="1:19" ht="14.25" customHeight="1" x14ac:dyDescent="0.3">
      <c r="A936" s="102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</row>
    <row r="937" spans="1:19" ht="14.25" customHeight="1" x14ac:dyDescent="0.3">
      <c r="A937" s="102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</row>
    <row r="938" spans="1:19" ht="14.25" customHeight="1" x14ac:dyDescent="0.3">
      <c r="A938" s="102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</row>
    <row r="939" spans="1:19" ht="14.25" customHeight="1" x14ac:dyDescent="0.3">
      <c r="A939" s="102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</row>
    <row r="940" spans="1:19" ht="14.25" customHeight="1" x14ac:dyDescent="0.3">
      <c r="A940" s="102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</row>
    <row r="941" spans="1:19" ht="14.25" customHeight="1" x14ac:dyDescent="0.3">
      <c r="A941" s="102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</row>
    <row r="942" spans="1:19" ht="14.25" customHeight="1" x14ac:dyDescent="0.3">
      <c r="A942" s="102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</row>
    <row r="943" spans="1:19" ht="14.25" customHeight="1" x14ac:dyDescent="0.3">
      <c r="A943" s="102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</row>
    <row r="944" spans="1:19" ht="14.25" customHeight="1" x14ac:dyDescent="0.3">
      <c r="A944" s="102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</row>
    <row r="945" spans="1:19" ht="14.25" customHeight="1" x14ac:dyDescent="0.3">
      <c r="A945" s="102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</row>
    <row r="946" spans="1:19" ht="14.25" customHeight="1" x14ac:dyDescent="0.3">
      <c r="A946" s="102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</row>
    <row r="947" spans="1:19" ht="14.25" customHeight="1" x14ac:dyDescent="0.3">
      <c r="A947" s="102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</row>
    <row r="948" spans="1:19" ht="14.25" customHeight="1" x14ac:dyDescent="0.3">
      <c r="A948" s="102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</row>
    <row r="949" spans="1:19" ht="14.25" customHeight="1" x14ac:dyDescent="0.3">
      <c r="A949" s="102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</row>
    <row r="950" spans="1:19" ht="14.25" customHeight="1" x14ac:dyDescent="0.3">
      <c r="A950" s="102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</row>
    <row r="951" spans="1:19" ht="14.25" customHeight="1" x14ac:dyDescent="0.3">
      <c r="A951" s="102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</row>
    <row r="952" spans="1:19" ht="14.25" customHeight="1" x14ac:dyDescent="0.3">
      <c r="A952" s="102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</row>
    <row r="953" spans="1:19" ht="14.25" customHeight="1" x14ac:dyDescent="0.3">
      <c r="A953" s="102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</row>
    <row r="954" spans="1:19" ht="14.25" customHeight="1" x14ac:dyDescent="0.3">
      <c r="A954" s="102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</row>
    <row r="955" spans="1:19" ht="14.25" customHeight="1" x14ac:dyDescent="0.3">
      <c r="A955" s="102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</row>
    <row r="956" spans="1:19" ht="14.25" customHeight="1" x14ac:dyDescent="0.3">
      <c r="A956" s="102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</row>
    <row r="957" spans="1:19" ht="14.25" customHeight="1" x14ac:dyDescent="0.3">
      <c r="A957" s="102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</row>
    <row r="958" spans="1:19" ht="14.25" customHeight="1" x14ac:dyDescent="0.3">
      <c r="A958" s="102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</row>
    <row r="959" spans="1:19" ht="14.25" customHeight="1" x14ac:dyDescent="0.3">
      <c r="A959" s="102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</row>
    <row r="960" spans="1:19" ht="14.25" customHeight="1" x14ac:dyDescent="0.3">
      <c r="A960" s="102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</row>
    <row r="961" spans="1:19" ht="14.25" customHeight="1" x14ac:dyDescent="0.3">
      <c r="A961" s="102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</row>
    <row r="962" spans="1:19" ht="14.25" customHeight="1" x14ac:dyDescent="0.3">
      <c r="A962" s="102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</row>
    <row r="963" spans="1:19" ht="14.25" customHeight="1" x14ac:dyDescent="0.3">
      <c r="A963" s="102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</row>
    <row r="964" spans="1:19" ht="14.25" customHeight="1" x14ac:dyDescent="0.3">
      <c r="A964" s="102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</row>
    <row r="965" spans="1:19" ht="14.25" customHeight="1" x14ac:dyDescent="0.3">
      <c r="A965" s="102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</row>
    <row r="966" spans="1:19" ht="14.25" customHeight="1" x14ac:dyDescent="0.3">
      <c r="A966" s="102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</row>
    <row r="967" spans="1:19" ht="14.25" customHeight="1" x14ac:dyDescent="0.3">
      <c r="A967" s="102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</row>
    <row r="968" spans="1:19" ht="14.25" customHeight="1" x14ac:dyDescent="0.3">
      <c r="A968" s="102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</row>
    <row r="969" spans="1:19" ht="14.25" customHeight="1" x14ac:dyDescent="0.3">
      <c r="A969" s="102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</row>
    <row r="970" spans="1:19" ht="14.25" customHeight="1" x14ac:dyDescent="0.3">
      <c r="A970" s="102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</row>
    <row r="971" spans="1:19" ht="14.25" customHeight="1" x14ac:dyDescent="0.3">
      <c r="A971" s="102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</row>
    <row r="972" spans="1:19" ht="14.25" customHeight="1" x14ac:dyDescent="0.3">
      <c r="A972" s="102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</row>
    <row r="973" spans="1:19" ht="14.25" customHeight="1" x14ac:dyDescent="0.3">
      <c r="A973" s="102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</row>
    <row r="974" spans="1:19" ht="14.25" customHeight="1" x14ac:dyDescent="0.3">
      <c r="A974" s="102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</row>
    <row r="975" spans="1:19" ht="14.25" customHeight="1" x14ac:dyDescent="0.3">
      <c r="A975" s="102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</row>
    <row r="976" spans="1:19" ht="14.25" customHeight="1" x14ac:dyDescent="0.3">
      <c r="A976" s="102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</row>
    <row r="977" spans="1:19" ht="14.25" customHeight="1" x14ac:dyDescent="0.3">
      <c r="A977" s="102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</row>
    <row r="978" spans="1:19" ht="14.25" customHeight="1" x14ac:dyDescent="0.3">
      <c r="A978" s="102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</row>
    <row r="979" spans="1:19" ht="14.25" customHeight="1" x14ac:dyDescent="0.3">
      <c r="A979" s="102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</row>
    <row r="980" spans="1:19" ht="14.25" customHeight="1" x14ac:dyDescent="0.3">
      <c r="A980" s="102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</row>
    <row r="981" spans="1:19" ht="14.25" customHeight="1" x14ac:dyDescent="0.3">
      <c r="A981" s="102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</row>
    <row r="982" spans="1:19" ht="14.25" customHeight="1" x14ac:dyDescent="0.3">
      <c r="A982" s="102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</row>
    <row r="983" spans="1:19" ht="14.25" customHeight="1" x14ac:dyDescent="0.3">
      <c r="A983" s="102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</row>
    <row r="984" spans="1:19" ht="14.25" customHeight="1" x14ac:dyDescent="0.3">
      <c r="A984" s="102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</row>
    <row r="985" spans="1:19" ht="14.25" customHeight="1" x14ac:dyDescent="0.3">
      <c r="A985" s="102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</row>
    <row r="986" spans="1:19" ht="14.25" customHeight="1" x14ac:dyDescent="0.3">
      <c r="A986" s="102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</row>
    <row r="987" spans="1:19" ht="14.25" customHeight="1" x14ac:dyDescent="0.3">
      <c r="A987" s="102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</row>
    <row r="988" spans="1:19" ht="14.25" customHeight="1" x14ac:dyDescent="0.3">
      <c r="A988" s="102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</row>
    <row r="989" spans="1:19" ht="14.25" customHeight="1" x14ac:dyDescent="0.3">
      <c r="A989" s="102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</row>
    <row r="990" spans="1:19" ht="14.25" customHeight="1" x14ac:dyDescent="0.3">
      <c r="A990" s="102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</row>
    <row r="991" spans="1:19" ht="14.25" customHeight="1" x14ac:dyDescent="0.3">
      <c r="A991" s="102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</row>
    <row r="992" spans="1:19" ht="14.25" customHeight="1" x14ac:dyDescent="0.3">
      <c r="A992" s="102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</row>
    <row r="993" spans="1:19" ht="14.25" customHeight="1" x14ac:dyDescent="0.3">
      <c r="A993" s="102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</row>
    <row r="994" spans="1:19" ht="14.25" customHeight="1" x14ac:dyDescent="0.3">
      <c r="A994" s="102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</row>
    <row r="995" spans="1:19" ht="14.25" customHeight="1" x14ac:dyDescent="0.3">
      <c r="A995" s="102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Q217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F192" sqref="F192"/>
    </sheetView>
  </sheetViews>
  <sheetFormatPr defaultRowHeight="14.4" x14ac:dyDescent="0.3"/>
  <cols>
    <col min="2" max="2" width="38.44140625" customWidth="1"/>
    <col min="3" max="3" width="21.44140625" customWidth="1"/>
    <col min="4" max="4" width="14.88671875" customWidth="1"/>
    <col min="5" max="5" width="12" customWidth="1"/>
    <col min="6" max="6" width="15.33203125" customWidth="1"/>
    <col min="7" max="7" width="14.33203125" customWidth="1"/>
    <col min="9" max="9" width="10.5546875" customWidth="1"/>
    <col min="12" max="12" width="10.88671875" customWidth="1"/>
    <col min="15" max="15" width="10.33203125" customWidth="1"/>
  </cols>
  <sheetData>
    <row r="2" spans="1:17" x14ac:dyDescent="0.3">
      <c r="A2" s="28"/>
      <c r="B2" s="22" t="s">
        <v>38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3">
      <c r="A3" s="28"/>
      <c r="B3" s="22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x14ac:dyDescent="0.3">
      <c r="A4" s="28"/>
      <c r="B4" s="332" t="s">
        <v>44</v>
      </c>
      <c r="C4" s="321" t="s">
        <v>0</v>
      </c>
      <c r="D4" s="322"/>
      <c r="E4" s="323"/>
      <c r="F4" s="321" t="s">
        <v>1</v>
      </c>
      <c r="G4" s="322"/>
      <c r="H4" s="323"/>
      <c r="I4" s="321" t="s">
        <v>2</v>
      </c>
      <c r="J4" s="322"/>
      <c r="K4" s="323"/>
      <c r="L4" s="321" t="s">
        <v>3</v>
      </c>
      <c r="M4" s="322"/>
      <c r="N4" s="323"/>
      <c r="O4" s="321" t="s">
        <v>4</v>
      </c>
      <c r="P4" s="322"/>
      <c r="Q4" s="331"/>
    </row>
    <row r="5" spans="1:17" x14ac:dyDescent="0.3">
      <c r="A5" s="29"/>
      <c r="B5" s="333"/>
      <c r="C5" s="43" t="s">
        <v>45</v>
      </c>
      <c r="D5" s="44" t="s">
        <v>46</v>
      </c>
      <c r="E5" s="45" t="s">
        <v>47</v>
      </c>
      <c r="F5" s="43" t="s">
        <v>45</v>
      </c>
      <c r="G5" s="44" t="s">
        <v>46</v>
      </c>
      <c r="H5" s="45" t="s">
        <v>47</v>
      </c>
      <c r="I5" s="43" t="s">
        <v>45</v>
      </c>
      <c r="J5" s="44" t="s">
        <v>46</v>
      </c>
      <c r="K5" s="45" t="s">
        <v>47</v>
      </c>
      <c r="L5" s="43" t="s">
        <v>45</v>
      </c>
      <c r="M5" s="44" t="s">
        <v>46</v>
      </c>
      <c r="N5" s="45" t="s">
        <v>47</v>
      </c>
      <c r="O5" s="43" t="s">
        <v>45</v>
      </c>
      <c r="P5" s="44" t="s">
        <v>46</v>
      </c>
      <c r="Q5" s="46" t="s">
        <v>47</v>
      </c>
    </row>
    <row r="6" spans="1:17" x14ac:dyDescent="0.3">
      <c r="A6" s="29"/>
      <c r="B6" s="88"/>
      <c r="C6" s="89"/>
      <c r="D6" s="89"/>
      <c r="E6" s="89"/>
      <c r="F6" s="90"/>
      <c r="G6" s="89"/>
      <c r="H6" s="91"/>
      <c r="I6" s="89"/>
      <c r="J6" s="89"/>
      <c r="K6" s="89"/>
      <c r="L6" s="90"/>
      <c r="M6" s="89"/>
      <c r="N6" s="91"/>
      <c r="O6" s="90"/>
      <c r="P6" s="89"/>
      <c r="Q6" s="92"/>
    </row>
    <row r="7" spans="1:17" x14ac:dyDescent="0.3">
      <c r="A7" s="28"/>
      <c r="B7" s="33" t="s">
        <v>67</v>
      </c>
      <c r="C7" s="31"/>
      <c r="D7" s="31"/>
      <c r="E7" s="31"/>
      <c r="F7" s="30"/>
      <c r="G7" s="31"/>
      <c r="H7" s="32"/>
      <c r="I7" s="31"/>
      <c r="J7" s="31"/>
      <c r="K7" s="31"/>
      <c r="L7" s="30"/>
      <c r="M7" s="31"/>
      <c r="N7" s="32"/>
      <c r="O7" s="30"/>
      <c r="P7" s="31"/>
      <c r="Q7" s="42"/>
    </row>
    <row r="8" spans="1:17" x14ac:dyDescent="0.3">
      <c r="A8" s="28"/>
      <c r="B8" s="81" t="s">
        <v>154</v>
      </c>
      <c r="C8" s="28"/>
      <c r="D8" s="28"/>
      <c r="E8" s="28"/>
      <c r="F8" s="34"/>
      <c r="G8" s="28"/>
      <c r="H8" s="35"/>
      <c r="I8" s="28"/>
      <c r="J8" s="28"/>
      <c r="K8" s="28"/>
      <c r="L8" s="34"/>
      <c r="M8" s="28"/>
      <c r="N8" s="35"/>
      <c r="O8" s="34"/>
      <c r="P8" s="28"/>
      <c r="Q8" s="24"/>
    </row>
    <row r="9" spans="1:17" x14ac:dyDescent="0.3">
      <c r="A9" s="36"/>
      <c r="B9" s="82" t="s">
        <v>125</v>
      </c>
      <c r="C9" s="28"/>
      <c r="D9" s="28"/>
      <c r="E9" s="28"/>
      <c r="F9" s="34"/>
      <c r="G9" s="28"/>
      <c r="H9" s="35"/>
      <c r="I9" s="28"/>
      <c r="J9" s="28"/>
      <c r="K9" s="28"/>
      <c r="L9" s="34"/>
      <c r="M9" s="28"/>
      <c r="N9" s="35"/>
      <c r="O9" s="34"/>
      <c r="P9" s="28"/>
      <c r="Q9" s="24"/>
    </row>
    <row r="10" spans="1:17" x14ac:dyDescent="0.3">
      <c r="A10" s="36"/>
      <c r="B10" s="34" t="s">
        <v>126</v>
      </c>
      <c r="C10" s="28"/>
      <c r="D10" s="28"/>
      <c r="E10" s="28"/>
      <c r="F10" s="34"/>
      <c r="G10" s="28"/>
      <c r="H10" s="35"/>
      <c r="I10" s="28"/>
      <c r="J10" s="28"/>
      <c r="K10" s="28"/>
      <c r="L10" s="34"/>
      <c r="M10" s="28"/>
      <c r="N10" s="35"/>
      <c r="O10" s="34"/>
      <c r="P10" s="28"/>
      <c r="Q10" s="24"/>
    </row>
    <row r="11" spans="1:17" x14ac:dyDescent="0.3">
      <c r="A11" s="36"/>
      <c r="B11" s="34" t="s">
        <v>129</v>
      </c>
      <c r="C11" s="28"/>
      <c r="D11" s="28"/>
      <c r="E11" s="28"/>
      <c r="F11" s="34"/>
      <c r="G11" s="28"/>
      <c r="H11" s="35"/>
      <c r="I11" s="28"/>
      <c r="J11" s="28"/>
      <c r="K11" s="28"/>
      <c r="L11" s="34"/>
      <c r="M11" s="28"/>
      <c r="N11" s="35"/>
      <c r="O11" s="34"/>
      <c r="P11" s="28"/>
      <c r="Q11" s="24"/>
    </row>
    <row r="12" spans="1:17" x14ac:dyDescent="0.3">
      <c r="A12" s="36"/>
      <c r="B12" s="34" t="s">
        <v>130</v>
      </c>
      <c r="C12" s="28"/>
      <c r="D12" s="28"/>
      <c r="E12" s="28"/>
      <c r="F12" s="34"/>
      <c r="G12" s="28"/>
      <c r="H12" s="35"/>
      <c r="I12" s="28"/>
      <c r="J12" s="28"/>
      <c r="K12" s="28"/>
      <c r="L12" s="34"/>
      <c r="M12" s="28"/>
      <c r="N12" s="35"/>
      <c r="O12" s="34"/>
      <c r="P12" s="28"/>
      <c r="Q12" s="24"/>
    </row>
    <row r="13" spans="1:17" x14ac:dyDescent="0.3">
      <c r="A13" s="36"/>
      <c r="B13" s="34" t="s">
        <v>131</v>
      </c>
      <c r="C13" s="28"/>
      <c r="D13" s="28"/>
      <c r="E13" s="28"/>
      <c r="F13" s="34"/>
      <c r="G13" s="28"/>
      <c r="H13" s="35"/>
      <c r="I13" s="28"/>
      <c r="J13" s="28"/>
      <c r="K13" s="28"/>
      <c r="L13" s="34"/>
      <c r="M13" s="28"/>
      <c r="N13" s="35"/>
      <c r="O13" s="34"/>
      <c r="P13" s="28"/>
      <c r="Q13" s="24"/>
    </row>
    <row r="14" spans="1:17" x14ac:dyDescent="0.3">
      <c r="A14" s="36"/>
      <c r="B14" s="34" t="s">
        <v>132</v>
      </c>
      <c r="C14" s="28"/>
      <c r="D14" s="28"/>
      <c r="E14" s="35"/>
      <c r="F14" s="34"/>
      <c r="G14" s="28"/>
      <c r="H14" s="35"/>
      <c r="I14" s="28"/>
      <c r="J14" s="28"/>
      <c r="K14" s="28"/>
      <c r="L14" s="34"/>
      <c r="M14" s="28"/>
      <c r="N14" s="35"/>
      <c r="O14" s="34"/>
      <c r="P14" s="28"/>
      <c r="Q14" s="24"/>
    </row>
    <row r="15" spans="1:17" x14ac:dyDescent="0.3">
      <c r="A15" s="36"/>
      <c r="B15" s="34" t="s">
        <v>156</v>
      </c>
      <c r="C15" s="28"/>
      <c r="D15" s="28"/>
      <c r="E15" s="35"/>
      <c r="F15" s="34"/>
      <c r="G15" s="28"/>
      <c r="H15" s="35"/>
      <c r="I15" s="28"/>
      <c r="J15" s="28"/>
      <c r="K15" s="28"/>
      <c r="L15" s="34"/>
      <c r="M15" s="28"/>
      <c r="N15" s="35"/>
      <c r="O15" s="34"/>
      <c r="P15" s="28"/>
      <c r="Q15" s="24"/>
    </row>
    <row r="16" spans="1:17" x14ac:dyDescent="0.3">
      <c r="A16" s="36"/>
      <c r="B16" s="34" t="s">
        <v>157</v>
      </c>
      <c r="C16" s="28"/>
      <c r="D16" s="28"/>
      <c r="E16" s="35"/>
      <c r="F16" s="34"/>
      <c r="G16" s="28"/>
      <c r="H16" s="35"/>
      <c r="I16" s="28"/>
      <c r="J16" s="28"/>
      <c r="K16" s="28"/>
      <c r="L16" s="34"/>
      <c r="M16" s="28"/>
      <c r="N16" s="35"/>
      <c r="O16" s="34"/>
      <c r="P16" s="28"/>
      <c r="Q16" s="24"/>
    </row>
    <row r="17" spans="1:17" x14ac:dyDescent="0.3">
      <c r="A17" s="36"/>
      <c r="B17" s="34" t="s">
        <v>133</v>
      </c>
      <c r="C17" s="28"/>
      <c r="D17" s="28"/>
      <c r="E17" s="35"/>
      <c r="F17" s="34"/>
      <c r="G17" s="28"/>
      <c r="H17" s="35"/>
      <c r="I17" s="28"/>
      <c r="J17" s="28"/>
      <c r="K17" s="28"/>
      <c r="L17" s="34"/>
      <c r="M17" s="28"/>
      <c r="N17" s="35"/>
      <c r="O17" s="34"/>
      <c r="P17" s="28"/>
      <c r="Q17" s="24"/>
    </row>
    <row r="18" spans="1:17" x14ac:dyDescent="0.3">
      <c r="A18" s="36"/>
      <c r="B18" s="34" t="s">
        <v>134</v>
      </c>
      <c r="C18" s="28"/>
      <c r="D18" s="28"/>
      <c r="E18" s="35"/>
      <c r="F18" s="34"/>
      <c r="G18" s="28"/>
      <c r="H18" s="35"/>
      <c r="I18" s="28"/>
      <c r="J18" s="28"/>
      <c r="K18" s="28"/>
      <c r="L18" s="34"/>
      <c r="M18" s="28"/>
      <c r="N18" s="35"/>
      <c r="O18" s="34"/>
      <c r="P18" s="28"/>
      <c r="Q18" s="24"/>
    </row>
    <row r="19" spans="1:17" x14ac:dyDescent="0.3">
      <c r="A19" s="36"/>
      <c r="B19" s="34" t="s">
        <v>135</v>
      </c>
      <c r="C19" s="28"/>
      <c r="D19" s="28"/>
      <c r="E19" s="35"/>
      <c r="F19" s="34"/>
      <c r="G19" s="28"/>
      <c r="H19" s="35"/>
      <c r="I19" s="28"/>
      <c r="J19" s="28"/>
      <c r="K19" s="28"/>
      <c r="L19" s="34"/>
      <c r="M19" s="28"/>
      <c r="N19" s="35"/>
      <c r="O19" s="34"/>
      <c r="P19" s="28"/>
      <c r="Q19" s="24"/>
    </row>
    <row r="20" spans="1:17" x14ac:dyDescent="0.3">
      <c r="A20" s="36"/>
      <c r="B20" s="34" t="s">
        <v>137</v>
      </c>
      <c r="C20" s="28"/>
      <c r="D20" s="28"/>
      <c r="E20" s="28"/>
      <c r="F20" s="34"/>
      <c r="G20" s="28"/>
      <c r="H20" s="35"/>
      <c r="I20" s="28"/>
      <c r="J20" s="28"/>
      <c r="K20" s="28"/>
      <c r="L20" s="34"/>
      <c r="M20" s="28"/>
      <c r="N20" s="35"/>
      <c r="O20" s="34"/>
      <c r="P20" s="28"/>
      <c r="Q20" s="24"/>
    </row>
    <row r="21" spans="1:17" x14ac:dyDescent="0.3">
      <c r="A21" s="36"/>
      <c r="B21" s="34" t="s">
        <v>136</v>
      </c>
      <c r="C21" s="28"/>
      <c r="D21" s="28"/>
      <c r="E21" s="28"/>
      <c r="F21" s="34"/>
      <c r="G21" s="28"/>
      <c r="H21" s="35"/>
      <c r="I21" s="28"/>
      <c r="J21" s="28"/>
      <c r="K21" s="28"/>
      <c r="L21" s="34"/>
      <c r="M21" s="28"/>
      <c r="N21" s="35"/>
      <c r="O21" s="34"/>
      <c r="P21" s="28"/>
      <c r="Q21" s="24"/>
    </row>
    <row r="22" spans="1:17" x14ac:dyDescent="0.3">
      <c r="A22" s="36"/>
      <c r="B22" s="34" t="s">
        <v>138</v>
      </c>
      <c r="C22" s="28"/>
      <c r="D22" s="28"/>
      <c r="E22" s="28"/>
      <c r="F22" s="34"/>
      <c r="G22" s="28"/>
      <c r="H22" s="35"/>
      <c r="I22" s="28"/>
      <c r="J22" s="28"/>
      <c r="K22" s="28"/>
      <c r="L22" s="34"/>
      <c r="M22" s="28"/>
      <c r="N22" s="35"/>
      <c r="O22" s="34"/>
      <c r="P22" s="28"/>
      <c r="Q22" s="24"/>
    </row>
    <row r="23" spans="1:17" x14ac:dyDescent="0.3">
      <c r="A23" s="36"/>
      <c r="B23" s="34" t="s">
        <v>145</v>
      </c>
      <c r="C23" s="28"/>
      <c r="D23" s="28"/>
      <c r="E23" s="28"/>
      <c r="F23" s="34"/>
      <c r="G23" s="28"/>
      <c r="H23" s="35"/>
      <c r="I23" s="28"/>
      <c r="J23" s="28"/>
      <c r="K23" s="28"/>
      <c r="L23" s="34"/>
      <c r="M23" s="28"/>
      <c r="N23" s="35"/>
      <c r="O23" s="34"/>
      <c r="P23" s="28"/>
      <c r="Q23" s="24"/>
    </row>
    <row r="24" spans="1:17" x14ac:dyDescent="0.3">
      <c r="A24" s="36"/>
      <c r="B24" s="34" t="s">
        <v>139</v>
      </c>
      <c r="C24" s="28"/>
      <c r="D24" s="28"/>
      <c r="E24" s="28"/>
      <c r="F24" s="34"/>
      <c r="G24" s="28"/>
      <c r="H24" s="35"/>
      <c r="I24" s="28"/>
      <c r="J24" s="28"/>
      <c r="K24" s="28"/>
      <c r="L24" s="34"/>
      <c r="M24" s="28"/>
      <c r="N24" s="35"/>
      <c r="O24" s="34"/>
      <c r="P24" s="28"/>
      <c r="Q24" s="24"/>
    </row>
    <row r="25" spans="1:17" x14ac:dyDescent="0.3">
      <c r="A25" s="36"/>
      <c r="B25" s="34" t="s">
        <v>140</v>
      </c>
      <c r="C25" s="28"/>
      <c r="D25" s="28"/>
      <c r="E25" s="28"/>
      <c r="F25" s="34"/>
      <c r="G25" s="28"/>
      <c r="H25" s="35"/>
      <c r="I25" s="28"/>
      <c r="J25" s="28"/>
      <c r="K25" s="28"/>
      <c r="L25" s="34"/>
      <c r="M25" s="28"/>
      <c r="N25" s="35"/>
      <c r="O25" s="34"/>
      <c r="P25" s="28"/>
      <c r="Q25" s="24"/>
    </row>
    <row r="26" spans="1:17" x14ac:dyDescent="0.3">
      <c r="A26" s="36"/>
      <c r="B26" s="34" t="s">
        <v>141</v>
      </c>
      <c r="C26" s="28"/>
      <c r="D26" s="28"/>
      <c r="E26" s="28"/>
      <c r="F26" s="34"/>
      <c r="G26" s="28"/>
      <c r="H26" s="35"/>
      <c r="I26" s="28"/>
      <c r="J26" s="28"/>
      <c r="K26" s="28"/>
      <c r="L26" s="34"/>
      <c r="M26" s="28"/>
      <c r="N26" s="35"/>
      <c r="O26" s="34"/>
      <c r="P26" s="28"/>
      <c r="Q26" s="24"/>
    </row>
    <row r="27" spans="1:17" x14ac:dyDescent="0.3">
      <c r="A27" s="36"/>
      <c r="B27" s="34" t="s">
        <v>158</v>
      </c>
      <c r="C27" s="28"/>
      <c r="D27" s="28"/>
      <c r="E27" s="28"/>
      <c r="F27" s="34"/>
      <c r="G27" s="28"/>
      <c r="H27" s="35"/>
      <c r="I27" s="28"/>
      <c r="J27" s="28"/>
      <c r="K27" s="28"/>
      <c r="L27" s="34"/>
      <c r="M27" s="28"/>
      <c r="N27" s="35"/>
      <c r="O27" s="34"/>
      <c r="P27" s="28"/>
      <c r="Q27" s="24"/>
    </row>
    <row r="28" spans="1:17" x14ac:dyDescent="0.3">
      <c r="A28" s="36"/>
      <c r="B28" s="34" t="s">
        <v>159</v>
      </c>
      <c r="C28" s="28"/>
      <c r="D28" s="28"/>
      <c r="E28" s="28"/>
      <c r="F28" s="34"/>
      <c r="G28" s="28"/>
      <c r="H28" s="35"/>
      <c r="I28" s="28"/>
      <c r="J28" s="28"/>
      <c r="K28" s="28"/>
      <c r="L28" s="34"/>
      <c r="M28" s="28"/>
      <c r="N28" s="35"/>
      <c r="O28" s="34"/>
      <c r="P28" s="28"/>
      <c r="Q28" s="24"/>
    </row>
    <row r="29" spans="1:17" x14ac:dyDescent="0.3">
      <c r="A29" s="36"/>
      <c r="B29" s="34" t="s">
        <v>160</v>
      </c>
      <c r="C29" s="28"/>
      <c r="D29" s="28"/>
      <c r="E29" s="28"/>
      <c r="F29" s="34"/>
      <c r="G29" s="28"/>
      <c r="H29" s="35"/>
      <c r="I29" s="28"/>
      <c r="J29" s="28"/>
      <c r="K29" s="28"/>
      <c r="L29" s="34"/>
      <c r="M29" s="28"/>
      <c r="N29" s="35"/>
      <c r="O29" s="34"/>
      <c r="P29" s="28"/>
      <c r="Q29" s="24"/>
    </row>
    <row r="30" spans="1:17" x14ac:dyDescent="0.3">
      <c r="A30" s="36"/>
      <c r="B30" s="34" t="s">
        <v>161</v>
      </c>
      <c r="C30" s="28"/>
      <c r="D30" s="28"/>
      <c r="E30" s="28"/>
      <c r="F30" s="34"/>
      <c r="G30" s="28"/>
      <c r="H30" s="35"/>
      <c r="I30" s="28"/>
      <c r="J30" s="28"/>
      <c r="K30" s="28"/>
      <c r="L30" s="34"/>
      <c r="M30" s="28"/>
      <c r="N30" s="35"/>
      <c r="O30" s="34"/>
      <c r="P30" s="28"/>
      <c r="Q30" s="24"/>
    </row>
    <row r="31" spans="1:17" x14ac:dyDescent="0.3">
      <c r="A31" s="36"/>
      <c r="B31" s="34" t="s">
        <v>162</v>
      </c>
      <c r="C31" s="28"/>
      <c r="D31" s="28"/>
      <c r="E31" s="28"/>
      <c r="F31" s="34"/>
      <c r="G31" s="28"/>
      <c r="H31" s="35"/>
      <c r="I31" s="28"/>
      <c r="J31" s="28"/>
      <c r="K31" s="28"/>
      <c r="L31" s="34"/>
      <c r="M31" s="28"/>
      <c r="N31" s="35"/>
      <c r="O31" s="34"/>
      <c r="P31" s="28"/>
      <c r="Q31" s="24"/>
    </row>
    <row r="32" spans="1:17" x14ac:dyDescent="0.3">
      <c r="A32" s="36"/>
      <c r="B32" s="34" t="s">
        <v>163</v>
      </c>
      <c r="C32" s="28"/>
      <c r="D32" s="28"/>
      <c r="E32" s="28"/>
      <c r="F32" s="34"/>
      <c r="G32" s="28"/>
      <c r="H32" s="35"/>
      <c r="I32" s="28"/>
      <c r="J32" s="28"/>
      <c r="K32" s="28"/>
      <c r="L32" s="34"/>
      <c r="M32" s="28"/>
      <c r="N32" s="35"/>
      <c r="O32" s="34"/>
      <c r="P32" s="28"/>
      <c r="Q32" s="24"/>
    </row>
    <row r="33" spans="1:17" x14ac:dyDescent="0.3">
      <c r="A33" s="36"/>
      <c r="B33" s="34" t="s">
        <v>164</v>
      </c>
      <c r="C33" s="28"/>
      <c r="D33" s="28"/>
      <c r="E33" s="28"/>
      <c r="F33" s="34"/>
      <c r="G33" s="28"/>
      <c r="H33" s="35"/>
      <c r="I33" s="28"/>
      <c r="J33" s="28"/>
      <c r="K33" s="28"/>
      <c r="L33" s="34"/>
      <c r="M33" s="28"/>
      <c r="N33" s="35"/>
      <c r="O33" s="34"/>
      <c r="P33" s="28"/>
      <c r="Q33" s="24"/>
    </row>
    <row r="34" spans="1:17" x14ac:dyDescent="0.3">
      <c r="A34" s="36"/>
      <c r="B34" s="34" t="s">
        <v>165</v>
      </c>
      <c r="C34" s="28"/>
      <c r="D34" s="28"/>
      <c r="E34" s="28"/>
      <c r="F34" s="34"/>
      <c r="G34" s="28"/>
      <c r="H34" s="35"/>
      <c r="I34" s="28"/>
      <c r="J34" s="28"/>
      <c r="K34" s="28"/>
      <c r="L34" s="34"/>
      <c r="M34" s="28"/>
      <c r="N34" s="35"/>
      <c r="O34" s="34"/>
      <c r="P34" s="28"/>
      <c r="Q34" s="24"/>
    </row>
    <row r="35" spans="1:17" x14ac:dyDescent="0.3">
      <c r="A35" s="36"/>
      <c r="B35" s="34" t="s">
        <v>142</v>
      </c>
      <c r="C35" s="28"/>
      <c r="D35" s="28"/>
      <c r="E35" s="28"/>
      <c r="F35" s="34"/>
      <c r="G35" s="28"/>
      <c r="H35" s="35"/>
      <c r="I35" s="28"/>
      <c r="J35" s="28"/>
      <c r="K35" s="28"/>
      <c r="L35" s="34"/>
      <c r="M35" s="28"/>
      <c r="N35" s="35"/>
      <c r="O35" s="34"/>
      <c r="P35" s="28"/>
      <c r="Q35" s="24"/>
    </row>
    <row r="36" spans="1:17" x14ac:dyDescent="0.3">
      <c r="A36" s="36"/>
      <c r="B36" s="34" t="s">
        <v>143</v>
      </c>
      <c r="C36" s="28"/>
      <c r="D36" s="28"/>
      <c r="E36" s="28"/>
      <c r="F36" s="34"/>
      <c r="G36" s="28"/>
      <c r="H36" s="35"/>
      <c r="I36" s="28"/>
      <c r="J36" s="28"/>
      <c r="K36" s="28"/>
      <c r="L36" s="34"/>
      <c r="M36" s="28"/>
      <c r="N36" s="35"/>
      <c r="O36" s="34"/>
      <c r="P36" s="28"/>
      <c r="Q36" s="24"/>
    </row>
    <row r="37" spans="1:17" x14ac:dyDescent="0.3">
      <c r="A37" s="36"/>
      <c r="B37" s="34" t="s">
        <v>144</v>
      </c>
      <c r="C37" s="28"/>
      <c r="D37" s="28"/>
      <c r="E37" s="28"/>
      <c r="F37" s="34"/>
      <c r="G37" s="28"/>
      <c r="H37" s="35"/>
      <c r="I37" s="28"/>
      <c r="J37" s="28"/>
      <c r="K37" s="28"/>
      <c r="L37" s="34"/>
      <c r="M37" s="28"/>
      <c r="N37" s="35"/>
      <c r="O37" s="34"/>
      <c r="P37" s="28"/>
      <c r="Q37" s="24"/>
    </row>
    <row r="38" spans="1:17" x14ac:dyDescent="0.3">
      <c r="A38" s="36"/>
      <c r="B38" s="34" t="s">
        <v>143</v>
      </c>
      <c r="C38" s="28"/>
      <c r="D38" s="28"/>
      <c r="E38" s="28"/>
      <c r="F38" s="34"/>
      <c r="G38" s="28"/>
      <c r="H38" s="35"/>
      <c r="I38" s="28"/>
      <c r="J38" s="28"/>
      <c r="K38" s="28"/>
      <c r="L38" s="34"/>
      <c r="M38" s="28"/>
      <c r="N38" s="35"/>
      <c r="O38" s="34"/>
      <c r="P38" s="28"/>
      <c r="Q38" s="24"/>
    </row>
    <row r="39" spans="1:17" x14ac:dyDescent="0.3">
      <c r="A39" s="29"/>
      <c r="B39" s="37" t="s">
        <v>50</v>
      </c>
      <c r="C39" s="29">
        <f ca="1">SUM(C9:C66)</f>
        <v>0</v>
      </c>
      <c r="D39" s="84">
        <f t="shared" ref="D39:Q39" si="0">SUM(D9:D38)</f>
        <v>0</v>
      </c>
      <c r="E39" s="29">
        <f t="shared" si="0"/>
        <v>0</v>
      </c>
      <c r="F39" s="29">
        <f t="shared" si="0"/>
        <v>0</v>
      </c>
      <c r="G39" s="29">
        <f t="shared" si="0"/>
        <v>0</v>
      </c>
      <c r="H39" s="29">
        <f t="shared" si="0"/>
        <v>0</v>
      </c>
      <c r="I39" s="29">
        <f t="shared" si="0"/>
        <v>0</v>
      </c>
      <c r="J39" s="29">
        <f t="shared" si="0"/>
        <v>0</v>
      </c>
      <c r="K39" s="29">
        <f t="shared" si="0"/>
        <v>0</v>
      </c>
      <c r="L39" s="29">
        <f t="shared" si="0"/>
        <v>0</v>
      </c>
      <c r="M39" s="29">
        <f t="shared" si="0"/>
        <v>0</v>
      </c>
      <c r="N39" s="29">
        <f t="shared" si="0"/>
        <v>0</v>
      </c>
      <c r="O39" s="29">
        <f t="shared" si="0"/>
        <v>0</v>
      </c>
      <c r="P39" s="29">
        <f t="shared" si="0"/>
        <v>0</v>
      </c>
      <c r="Q39" s="29">
        <f t="shared" si="0"/>
        <v>0</v>
      </c>
    </row>
    <row r="40" spans="1:17" x14ac:dyDescent="0.3">
      <c r="A40" s="28"/>
      <c r="B40" s="38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</row>
    <row r="41" spans="1:17" x14ac:dyDescent="0.3">
      <c r="A41" s="28"/>
      <c r="B41" s="34" t="s">
        <v>49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</row>
    <row r="42" spans="1:17" x14ac:dyDescent="0.3">
      <c r="A42" s="28"/>
      <c r="B42" s="34" t="s">
        <v>48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</row>
    <row r="43" spans="1:17" x14ac:dyDescent="0.3">
      <c r="A43" s="28"/>
      <c r="B43" s="34" t="s">
        <v>51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</row>
    <row r="44" spans="1:17" x14ac:dyDescent="0.3">
      <c r="A44" s="28"/>
      <c r="B44" s="40" t="s">
        <v>52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</row>
    <row r="47" spans="1:17" x14ac:dyDescent="0.3">
      <c r="B47" s="51"/>
      <c r="C47" s="52"/>
      <c r="D47" s="52"/>
      <c r="E47" s="52"/>
      <c r="F47" s="53"/>
      <c r="G47" s="52"/>
      <c r="H47" s="54"/>
      <c r="I47" s="52"/>
      <c r="J47" s="52"/>
      <c r="K47" s="52"/>
      <c r="L47" s="53"/>
      <c r="M47" s="52"/>
      <c r="N47" s="54"/>
      <c r="O47" s="53"/>
      <c r="P47" s="52"/>
      <c r="Q47" s="55"/>
    </row>
    <row r="48" spans="1:17" x14ac:dyDescent="0.3">
      <c r="B48" s="56" t="s">
        <v>67</v>
      </c>
      <c r="C48" s="28"/>
      <c r="D48" s="28"/>
      <c r="E48" s="28"/>
      <c r="F48" s="34"/>
      <c r="G48" s="28"/>
      <c r="H48" s="35"/>
      <c r="I48" s="28"/>
      <c r="J48" s="28"/>
      <c r="K48" s="28"/>
      <c r="L48" s="34"/>
      <c r="M48" s="28"/>
      <c r="N48" s="35"/>
      <c r="O48" s="34"/>
      <c r="P48" s="28"/>
      <c r="Q48" s="24"/>
    </row>
    <row r="49" spans="2:17" x14ac:dyDescent="0.3">
      <c r="B49" s="81" t="s">
        <v>155</v>
      </c>
      <c r="C49" s="28"/>
      <c r="D49" s="28"/>
      <c r="E49" s="28"/>
      <c r="F49" s="34"/>
      <c r="G49" s="28"/>
      <c r="H49" s="35"/>
      <c r="I49" s="28"/>
      <c r="J49" s="28"/>
      <c r="K49" s="28"/>
      <c r="L49" s="34"/>
      <c r="M49" s="28"/>
      <c r="N49" s="35"/>
      <c r="O49" s="34"/>
      <c r="P49" s="28"/>
      <c r="Q49" s="24"/>
    </row>
    <row r="50" spans="2:17" x14ac:dyDescent="0.3">
      <c r="B50" s="34" t="s">
        <v>146</v>
      </c>
      <c r="C50" s="28"/>
      <c r="D50" s="83">
        <v>1500000</v>
      </c>
      <c r="E50" s="28"/>
      <c r="F50" s="34"/>
      <c r="G50" s="28"/>
      <c r="H50" s="35"/>
      <c r="I50" s="28"/>
      <c r="J50" s="28"/>
      <c r="K50" s="28"/>
      <c r="L50" s="34"/>
      <c r="M50" s="28"/>
      <c r="N50" s="35"/>
      <c r="O50" s="34"/>
      <c r="P50" s="28"/>
      <c r="Q50" s="24"/>
    </row>
    <row r="51" spans="2:17" x14ac:dyDescent="0.3">
      <c r="B51" s="34" t="s">
        <v>127</v>
      </c>
      <c r="C51" s="28"/>
      <c r="D51" s="83">
        <v>350000</v>
      </c>
      <c r="E51" s="28"/>
      <c r="F51" s="34"/>
      <c r="G51" s="28"/>
      <c r="H51" s="35"/>
      <c r="I51" s="28"/>
      <c r="J51" s="28"/>
      <c r="K51" s="28"/>
      <c r="L51" s="34"/>
      <c r="M51" s="28"/>
      <c r="N51" s="35"/>
      <c r="O51" s="34"/>
      <c r="P51" s="28"/>
      <c r="Q51" s="24"/>
    </row>
    <row r="52" spans="2:17" x14ac:dyDescent="0.3">
      <c r="B52" s="34" t="s">
        <v>166</v>
      </c>
      <c r="C52" s="28"/>
      <c r="D52" s="83">
        <v>350000</v>
      </c>
      <c r="E52" s="28"/>
      <c r="F52" s="34"/>
      <c r="G52" s="28"/>
      <c r="H52" s="35"/>
      <c r="I52" s="28"/>
      <c r="J52" s="28"/>
      <c r="K52" s="28"/>
      <c r="L52" s="34"/>
      <c r="M52" s="28"/>
      <c r="N52" s="35"/>
      <c r="O52" s="34"/>
      <c r="P52" s="28"/>
      <c r="Q52" s="24"/>
    </row>
    <row r="53" spans="2:17" x14ac:dyDescent="0.3">
      <c r="B53" s="34" t="s">
        <v>128</v>
      </c>
      <c r="C53" s="28"/>
      <c r="D53" s="83">
        <v>100000</v>
      </c>
      <c r="E53" s="28"/>
      <c r="F53" s="34"/>
      <c r="G53" s="28"/>
      <c r="H53" s="35"/>
      <c r="I53" s="28"/>
      <c r="J53" s="28"/>
      <c r="K53" s="28"/>
      <c r="L53" s="34"/>
      <c r="M53" s="28"/>
      <c r="N53" s="35"/>
      <c r="O53" s="34"/>
      <c r="P53" s="28"/>
      <c r="Q53" s="24"/>
    </row>
    <row r="54" spans="2:17" x14ac:dyDescent="0.3">
      <c r="B54" s="34" t="s">
        <v>147</v>
      </c>
      <c r="C54" s="28"/>
      <c r="D54" s="83">
        <v>500000</v>
      </c>
      <c r="E54" s="28"/>
      <c r="F54" s="34"/>
      <c r="G54" s="28"/>
      <c r="H54" s="35"/>
      <c r="I54" s="28"/>
      <c r="J54" s="28"/>
      <c r="K54" s="28"/>
      <c r="L54" s="34"/>
      <c r="M54" s="28"/>
      <c r="N54" s="35"/>
      <c r="O54" s="34"/>
      <c r="P54" s="28"/>
      <c r="Q54" s="24"/>
    </row>
    <row r="55" spans="2:17" x14ac:dyDescent="0.3">
      <c r="B55" s="34" t="s">
        <v>148</v>
      </c>
      <c r="C55" s="28"/>
      <c r="D55" s="83">
        <v>100000</v>
      </c>
      <c r="E55" s="28"/>
      <c r="F55" s="34"/>
      <c r="G55" s="28"/>
      <c r="H55" s="35"/>
      <c r="I55" s="28"/>
      <c r="J55" s="28"/>
      <c r="K55" s="28"/>
      <c r="L55" s="34"/>
      <c r="M55" s="28"/>
      <c r="N55" s="35"/>
      <c r="O55" s="34"/>
      <c r="P55" s="28"/>
      <c r="Q55" s="24"/>
    </row>
    <row r="56" spans="2:17" x14ac:dyDescent="0.3">
      <c r="B56" s="34" t="s">
        <v>167</v>
      </c>
      <c r="C56" s="28"/>
      <c r="D56" s="83">
        <v>250000</v>
      </c>
      <c r="E56" s="28"/>
      <c r="F56" s="34"/>
      <c r="G56" s="28"/>
      <c r="H56" s="35"/>
      <c r="I56" s="28"/>
      <c r="J56" s="28"/>
      <c r="K56" s="28"/>
      <c r="L56" s="34"/>
      <c r="M56" s="28"/>
      <c r="N56" s="35"/>
      <c r="O56" s="34"/>
      <c r="P56" s="28"/>
      <c r="Q56" s="24"/>
    </row>
    <row r="57" spans="2:17" x14ac:dyDescent="0.3">
      <c r="B57" s="34" t="s">
        <v>168</v>
      </c>
      <c r="C57" s="28"/>
      <c r="D57" s="83">
        <v>250000</v>
      </c>
      <c r="E57" s="28"/>
      <c r="F57" s="34"/>
      <c r="G57" s="28"/>
      <c r="H57" s="35"/>
      <c r="I57" s="28"/>
      <c r="J57" s="28"/>
      <c r="K57" s="28"/>
      <c r="L57" s="34"/>
      <c r="M57" s="28"/>
      <c r="N57" s="35"/>
      <c r="O57" s="34"/>
      <c r="P57" s="28"/>
      <c r="Q57" s="24"/>
    </row>
    <row r="58" spans="2:17" x14ac:dyDescent="0.3">
      <c r="B58" s="34" t="s">
        <v>169</v>
      </c>
      <c r="C58" s="28"/>
      <c r="D58" s="83">
        <v>250000</v>
      </c>
      <c r="E58" s="28"/>
      <c r="F58" s="34"/>
      <c r="G58" s="28"/>
      <c r="H58" s="35"/>
      <c r="I58" s="28"/>
      <c r="J58" s="28"/>
      <c r="K58" s="28"/>
      <c r="L58" s="34"/>
      <c r="M58" s="28"/>
      <c r="N58" s="35"/>
      <c r="O58" s="34"/>
      <c r="P58" s="28"/>
      <c r="Q58" s="24"/>
    </row>
    <row r="59" spans="2:17" x14ac:dyDescent="0.3">
      <c r="B59" s="34" t="s">
        <v>170</v>
      </c>
      <c r="C59" s="28"/>
      <c r="D59" s="83">
        <v>100000</v>
      </c>
      <c r="E59" s="28"/>
      <c r="F59" s="34"/>
      <c r="G59" s="28"/>
      <c r="H59" s="35"/>
      <c r="I59" s="28"/>
      <c r="J59" s="28"/>
      <c r="K59" s="28"/>
      <c r="L59" s="34"/>
      <c r="M59" s="28"/>
      <c r="N59" s="35"/>
      <c r="O59" s="34"/>
      <c r="P59" s="28"/>
      <c r="Q59" s="24"/>
    </row>
    <row r="60" spans="2:17" x14ac:dyDescent="0.3">
      <c r="B60" s="34" t="s">
        <v>149</v>
      </c>
      <c r="C60" s="28"/>
      <c r="D60" s="83">
        <v>750000</v>
      </c>
      <c r="E60" s="28"/>
      <c r="F60" s="34"/>
      <c r="G60" s="28"/>
      <c r="H60" s="35"/>
      <c r="I60" s="28"/>
      <c r="J60" s="28"/>
      <c r="K60" s="28"/>
      <c r="L60" s="34"/>
      <c r="M60" s="28"/>
      <c r="N60" s="35"/>
      <c r="O60" s="34"/>
      <c r="P60" s="28"/>
      <c r="Q60" s="24"/>
    </row>
    <row r="61" spans="2:17" x14ac:dyDescent="0.3">
      <c r="B61" s="34" t="s">
        <v>140</v>
      </c>
      <c r="C61" s="28"/>
      <c r="D61" s="83">
        <v>100000</v>
      </c>
      <c r="E61" s="28"/>
      <c r="F61" s="34"/>
      <c r="G61" s="28"/>
      <c r="H61" s="35"/>
      <c r="I61" s="28"/>
      <c r="J61" s="28"/>
      <c r="K61" s="28"/>
      <c r="L61" s="34"/>
      <c r="M61" s="28"/>
      <c r="N61" s="35"/>
      <c r="O61" s="34"/>
      <c r="P61" s="28"/>
      <c r="Q61" s="24"/>
    </row>
    <row r="62" spans="2:17" x14ac:dyDescent="0.3">
      <c r="B62" s="34" t="s">
        <v>150</v>
      </c>
      <c r="C62" s="28"/>
      <c r="D62" s="83">
        <v>1500000</v>
      </c>
      <c r="E62" s="28"/>
      <c r="F62" s="34"/>
      <c r="G62" s="28"/>
      <c r="H62" s="35"/>
      <c r="I62" s="28"/>
      <c r="J62" s="28"/>
      <c r="K62" s="28"/>
      <c r="L62" s="34"/>
      <c r="M62" s="28"/>
      <c r="N62" s="35"/>
      <c r="O62" s="34"/>
      <c r="P62" s="28"/>
      <c r="Q62" s="24"/>
    </row>
    <row r="63" spans="2:17" x14ac:dyDescent="0.3">
      <c r="B63" s="34" t="s">
        <v>171</v>
      </c>
      <c r="C63" s="28"/>
      <c r="D63" s="83">
        <v>150000</v>
      </c>
      <c r="E63" s="28"/>
      <c r="F63" s="34"/>
      <c r="G63" s="28"/>
      <c r="H63" s="35"/>
      <c r="I63" s="28"/>
      <c r="J63" s="28"/>
      <c r="K63" s="28"/>
      <c r="L63" s="34"/>
      <c r="M63" s="28"/>
      <c r="N63" s="35"/>
      <c r="O63" s="34"/>
      <c r="P63" s="28"/>
      <c r="Q63" s="24"/>
    </row>
    <row r="64" spans="2:17" x14ac:dyDescent="0.3">
      <c r="B64" s="34" t="s">
        <v>151</v>
      </c>
      <c r="C64" s="28"/>
      <c r="D64" s="83">
        <v>100000</v>
      </c>
      <c r="E64" s="28"/>
      <c r="F64" s="34"/>
      <c r="G64" s="28"/>
      <c r="H64" s="35"/>
      <c r="I64" s="28"/>
      <c r="J64" s="28"/>
      <c r="K64" s="28"/>
      <c r="L64" s="34"/>
      <c r="M64" s="28"/>
      <c r="N64" s="35"/>
      <c r="O64" s="34"/>
      <c r="P64" s="28"/>
      <c r="Q64" s="24"/>
    </row>
    <row r="65" spans="2:17" x14ac:dyDescent="0.3">
      <c r="B65" s="34" t="s">
        <v>152</v>
      </c>
      <c r="C65" s="28"/>
      <c r="D65" s="83">
        <v>600000</v>
      </c>
      <c r="E65" s="28"/>
      <c r="F65" s="34"/>
      <c r="G65" s="28"/>
      <c r="H65" s="35"/>
      <c r="I65" s="28"/>
      <c r="J65" s="28"/>
      <c r="K65" s="28"/>
      <c r="L65" s="34"/>
      <c r="M65" s="28"/>
      <c r="N65" s="35"/>
      <c r="O65" s="34"/>
      <c r="P65" s="28"/>
      <c r="Q65" s="24"/>
    </row>
    <row r="66" spans="2:17" x14ac:dyDescent="0.3">
      <c r="B66" s="34" t="s">
        <v>153</v>
      </c>
      <c r="C66" s="28"/>
      <c r="D66" s="83">
        <v>100000</v>
      </c>
      <c r="E66" s="28"/>
      <c r="F66" s="34"/>
      <c r="G66" s="28"/>
      <c r="H66" s="35"/>
      <c r="I66" s="28"/>
      <c r="J66" s="28"/>
      <c r="K66" s="28"/>
      <c r="L66" s="34"/>
      <c r="M66" s="28"/>
      <c r="N66" s="35"/>
      <c r="O66" s="34"/>
      <c r="P66" s="28"/>
      <c r="Q66" s="24"/>
    </row>
    <row r="67" spans="2:17" x14ac:dyDescent="0.3">
      <c r="B67" s="58" t="s">
        <v>50</v>
      </c>
      <c r="C67" s="29">
        <f t="shared" ref="C67:Q67" si="1">SUM(C49:C66)</f>
        <v>0</v>
      </c>
      <c r="D67" s="29">
        <f t="shared" si="1"/>
        <v>7050000</v>
      </c>
      <c r="E67" s="29">
        <f t="shared" si="1"/>
        <v>0</v>
      </c>
      <c r="F67" s="29">
        <f t="shared" si="1"/>
        <v>0</v>
      </c>
      <c r="G67" s="29">
        <f t="shared" si="1"/>
        <v>0</v>
      </c>
      <c r="H67" s="29">
        <f t="shared" si="1"/>
        <v>0</v>
      </c>
      <c r="I67" s="29">
        <f t="shared" si="1"/>
        <v>0</v>
      </c>
      <c r="J67" s="29">
        <f t="shared" si="1"/>
        <v>0</v>
      </c>
      <c r="K67" s="29">
        <f t="shared" si="1"/>
        <v>0</v>
      </c>
      <c r="L67" s="29">
        <f t="shared" si="1"/>
        <v>0</v>
      </c>
      <c r="M67" s="29">
        <f t="shared" si="1"/>
        <v>0</v>
      </c>
      <c r="N67" s="29">
        <f t="shared" si="1"/>
        <v>0</v>
      </c>
      <c r="O67" s="29">
        <f t="shared" si="1"/>
        <v>0</v>
      </c>
      <c r="P67" s="29">
        <f t="shared" si="1"/>
        <v>0</v>
      </c>
      <c r="Q67" s="59">
        <f t="shared" si="1"/>
        <v>0</v>
      </c>
    </row>
    <row r="68" spans="2:17" x14ac:dyDescent="0.3">
      <c r="B68" s="60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61"/>
    </row>
    <row r="69" spans="2:17" x14ac:dyDescent="0.3">
      <c r="B69" s="62" t="s">
        <v>49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4"/>
    </row>
    <row r="70" spans="2:17" x14ac:dyDescent="0.3">
      <c r="B70" s="62" t="s">
        <v>48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4"/>
    </row>
    <row r="71" spans="2:17" x14ac:dyDescent="0.3">
      <c r="B71" s="62" t="s">
        <v>51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4"/>
    </row>
    <row r="72" spans="2:17" x14ac:dyDescent="0.3">
      <c r="B72" s="63" t="s">
        <v>52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5"/>
    </row>
    <row r="75" spans="2:17" x14ac:dyDescent="0.3">
      <c r="B75" s="51" t="s">
        <v>6</v>
      </c>
      <c r="C75" s="52"/>
      <c r="D75" s="52"/>
      <c r="E75" s="52"/>
      <c r="F75" s="53"/>
      <c r="G75" s="52"/>
      <c r="H75" s="54"/>
      <c r="I75" s="52"/>
      <c r="J75" s="52"/>
      <c r="K75" s="52"/>
      <c r="L75" s="53"/>
      <c r="M75" s="52"/>
      <c r="N75" s="54"/>
      <c r="O75" s="53"/>
      <c r="P75" s="52"/>
      <c r="Q75" s="55"/>
    </row>
    <row r="76" spans="2:17" x14ac:dyDescent="0.3">
      <c r="B76" s="56" t="s">
        <v>67</v>
      </c>
      <c r="C76" s="28"/>
      <c r="D76" s="28"/>
      <c r="E76" s="28"/>
      <c r="F76" s="34"/>
      <c r="G76" s="28"/>
      <c r="H76" s="35"/>
      <c r="I76" s="28"/>
      <c r="J76" s="28"/>
      <c r="K76" s="28"/>
      <c r="L76" s="34"/>
      <c r="M76" s="28"/>
      <c r="N76" s="35"/>
      <c r="O76" s="34"/>
      <c r="P76" s="28"/>
      <c r="Q76" s="24"/>
    </row>
    <row r="77" spans="2:17" x14ac:dyDescent="0.3">
      <c r="B77" s="57" t="s">
        <v>91</v>
      </c>
      <c r="C77" s="28"/>
      <c r="D77" s="28"/>
      <c r="E77" s="28"/>
      <c r="F77" s="34"/>
      <c r="G77" s="28"/>
      <c r="H77" s="35"/>
      <c r="I77" s="28"/>
      <c r="J77" s="28"/>
      <c r="K77" s="28"/>
      <c r="L77" s="34"/>
      <c r="M77" s="28"/>
      <c r="N77" s="35"/>
      <c r="O77" s="34"/>
      <c r="P77" s="28"/>
      <c r="Q77" s="24"/>
    </row>
    <row r="78" spans="2:17" x14ac:dyDescent="0.3">
      <c r="B78" s="57" t="s">
        <v>91</v>
      </c>
      <c r="C78" s="28"/>
      <c r="D78" s="28"/>
      <c r="E78" s="28"/>
      <c r="F78" s="34"/>
      <c r="G78" s="28"/>
      <c r="H78" s="35"/>
      <c r="I78" s="28"/>
      <c r="J78" s="28"/>
      <c r="K78" s="28"/>
      <c r="L78" s="34"/>
      <c r="M78" s="28"/>
      <c r="N78" s="35"/>
      <c r="O78" s="34"/>
      <c r="P78" s="28"/>
      <c r="Q78" s="24"/>
    </row>
    <row r="79" spans="2:17" x14ac:dyDescent="0.3">
      <c r="B79" s="57" t="s">
        <v>91</v>
      </c>
      <c r="C79" s="28"/>
      <c r="D79" s="28"/>
      <c r="E79" s="28"/>
      <c r="F79" s="34"/>
      <c r="G79" s="28"/>
      <c r="H79" s="35"/>
      <c r="I79" s="28"/>
      <c r="J79" s="28"/>
      <c r="K79" s="28"/>
      <c r="L79" s="34"/>
      <c r="M79" s="28"/>
      <c r="N79" s="35"/>
      <c r="O79" s="34"/>
      <c r="P79" s="28"/>
      <c r="Q79" s="24"/>
    </row>
    <row r="80" spans="2:17" x14ac:dyDescent="0.3">
      <c r="B80" s="57" t="s">
        <v>91</v>
      </c>
      <c r="C80" s="28"/>
      <c r="D80" s="28"/>
      <c r="E80" s="28"/>
      <c r="F80" s="34"/>
      <c r="G80" s="28"/>
      <c r="H80" s="35"/>
      <c r="I80" s="28"/>
      <c r="J80" s="28"/>
      <c r="K80" s="28"/>
      <c r="L80" s="34"/>
      <c r="M80" s="28"/>
      <c r="N80" s="35"/>
      <c r="O80" s="34"/>
      <c r="P80" s="28"/>
      <c r="Q80" s="24"/>
    </row>
    <row r="81" spans="2:17" x14ac:dyDescent="0.3">
      <c r="B81" s="57" t="s">
        <v>91</v>
      </c>
      <c r="C81" s="28"/>
      <c r="D81" s="28"/>
      <c r="E81" s="28"/>
      <c r="F81" s="34"/>
      <c r="G81" s="28"/>
      <c r="H81" s="35"/>
      <c r="I81" s="28"/>
      <c r="J81" s="28"/>
      <c r="K81" s="28"/>
      <c r="L81" s="34"/>
      <c r="M81" s="28"/>
      <c r="N81" s="35"/>
      <c r="O81" s="34"/>
      <c r="P81" s="28"/>
      <c r="Q81" s="24"/>
    </row>
    <row r="82" spans="2:17" x14ac:dyDescent="0.3">
      <c r="B82" s="57" t="s">
        <v>91</v>
      </c>
      <c r="C82" s="28"/>
      <c r="D82" s="28"/>
      <c r="E82" s="28"/>
      <c r="F82" s="34"/>
      <c r="G82" s="28"/>
      <c r="H82" s="35"/>
      <c r="I82" s="28"/>
      <c r="J82" s="28"/>
      <c r="K82" s="28"/>
      <c r="L82" s="34"/>
      <c r="M82" s="28"/>
      <c r="N82" s="35"/>
      <c r="O82" s="34"/>
      <c r="P82" s="28"/>
      <c r="Q82" s="24"/>
    </row>
    <row r="83" spans="2:17" x14ac:dyDescent="0.3">
      <c r="B83" s="57" t="s">
        <v>91</v>
      </c>
      <c r="C83" s="28"/>
      <c r="D83" s="28"/>
      <c r="E83" s="28"/>
      <c r="F83" s="34"/>
      <c r="G83" s="28"/>
      <c r="H83" s="35"/>
      <c r="I83" s="28"/>
      <c r="J83" s="28"/>
      <c r="K83" s="28"/>
      <c r="L83" s="34"/>
      <c r="M83" s="28"/>
      <c r="N83" s="35"/>
      <c r="O83" s="34"/>
      <c r="P83" s="28"/>
      <c r="Q83" s="24"/>
    </row>
    <row r="84" spans="2:17" x14ac:dyDescent="0.3">
      <c r="B84" s="57" t="s">
        <v>91</v>
      </c>
      <c r="C84" s="28"/>
      <c r="D84" s="28"/>
      <c r="E84" s="28"/>
      <c r="F84" s="34"/>
      <c r="G84" s="28"/>
      <c r="H84" s="35"/>
      <c r="I84" s="28"/>
      <c r="J84" s="28"/>
      <c r="K84" s="28"/>
      <c r="L84" s="34"/>
      <c r="M84" s="28"/>
      <c r="N84" s="35"/>
      <c r="O84" s="34"/>
      <c r="P84" s="28"/>
      <c r="Q84" s="24"/>
    </row>
    <row r="85" spans="2:17" x14ac:dyDescent="0.3">
      <c r="B85" s="57" t="s">
        <v>91</v>
      </c>
      <c r="C85" s="28"/>
      <c r="D85" s="28"/>
      <c r="E85" s="28"/>
      <c r="F85" s="34"/>
      <c r="G85" s="28"/>
      <c r="H85" s="35"/>
      <c r="I85" s="28"/>
      <c r="J85" s="28"/>
      <c r="K85" s="28"/>
      <c r="L85" s="34"/>
      <c r="M85" s="28"/>
      <c r="N85" s="35"/>
      <c r="O85" s="34"/>
      <c r="P85" s="28"/>
      <c r="Q85" s="24"/>
    </row>
    <row r="86" spans="2:17" x14ac:dyDescent="0.3">
      <c r="B86" s="57" t="s">
        <v>91</v>
      </c>
      <c r="C86" s="28"/>
      <c r="D86" s="28"/>
      <c r="E86" s="28"/>
      <c r="F86" s="34"/>
      <c r="G86" s="28"/>
      <c r="H86" s="35"/>
      <c r="I86" s="28"/>
      <c r="J86" s="28"/>
      <c r="K86" s="28"/>
      <c r="L86" s="34"/>
      <c r="M86" s="28"/>
      <c r="N86" s="35"/>
      <c r="O86" s="34"/>
      <c r="P86" s="28"/>
      <c r="Q86" s="24"/>
    </row>
    <row r="87" spans="2:17" x14ac:dyDescent="0.3">
      <c r="B87" s="57" t="s">
        <v>91</v>
      </c>
      <c r="C87" s="28"/>
      <c r="D87" s="28"/>
      <c r="E87" s="28"/>
      <c r="F87" s="34"/>
      <c r="G87" s="28"/>
      <c r="H87" s="35"/>
      <c r="I87" s="28"/>
      <c r="J87" s="28"/>
      <c r="K87" s="28"/>
      <c r="L87" s="34"/>
      <c r="M87" s="28"/>
      <c r="N87" s="35"/>
      <c r="O87" s="34"/>
      <c r="P87" s="28"/>
      <c r="Q87" s="24"/>
    </row>
    <row r="88" spans="2:17" x14ac:dyDescent="0.3">
      <c r="B88" s="58" t="s">
        <v>50</v>
      </c>
      <c r="C88" s="29">
        <f>SUM(C77:C87)</f>
        <v>0</v>
      </c>
      <c r="D88" s="29">
        <f t="shared" ref="D88:Q88" si="2">SUM(D77:D87)</f>
        <v>0</v>
      </c>
      <c r="E88" s="29">
        <f t="shared" si="2"/>
        <v>0</v>
      </c>
      <c r="F88" s="29">
        <f t="shared" si="2"/>
        <v>0</v>
      </c>
      <c r="G88" s="29">
        <f t="shared" si="2"/>
        <v>0</v>
      </c>
      <c r="H88" s="29">
        <f t="shared" si="2"/>
        <v>0</v>
      </c>
      <c r="I88" s="29">
        <f t="shared" si="2"/>
        <v>0</v>
      </c>
      <c r="J88" s="29">
        <f t="shared" si="2"/>
        <v>0</v>
      </c>
      <c r="K88" s="29">
        <f t="shared" si="2"/>
        <v>0</v>
      </c>
      <c r="L88" s="29">
        <f t="shared" si="2"/>
        <v>0</v>
      </c>
      <c r="M88" s="29">
        <f t="shared" si="2"/>
        <v>0</v>
      </c>
      <c r="N88" s="29">
        <f t="shared" si="2"/>
        <v>0</v>
      </c>
      <c r="O88" s="29">
        <f t="shared" si="2"/>
        <v>0</v>
      </c>
      <c r="P88" s="29">
        <f t="shared" si="2"/>
        <v>0</v>
      </c>
      <c r="Q88" s="59">
        <f t="shared" si="2"/>
        <v>0</v>
      </c>
    </row>
    <row r="89" spans="2:17" x14ac:dyDescent="0.3">
      <c r="B89" s="60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61"/>
    </row>
    <row r="90" spans="2:17" x14ac:dyDescent="0.3">
      <c r="B90" s="62" t="s">
        <v>49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4"/>
    </row>
    <row r="91" spans="2:17" x14ac:dyDescent="0.3">
      <c r="B91" s="62" t="s">
        <v>48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4"/>
    </row>
    <row r="92" spans="2:17" x14ac:dyDescent="0.3">
      <c r="B92" s="62" t="s">
        <v>51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4"/>
    </row>
    <row r="93" spans="2:17" x14ac:dyDescent="0.3">
      <c r="B93" s="63" t="s">
        <v>52</v>
      </c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5"/>
    </row>
    <row r="96" spans="2:17" x14ac:dyDescent="0.3">
      <c r="B96" s="51" t="s">
        <v>8</v>
      </c>
      <c r="C96" s="52"/>
      <c r="D96" s="52"/>
      <c r="E96" s="52"/>
      <c r="F96" s="53"/>
      <c r="G96" s="52"/>
      <c r="H96" s="54"/>
      <c r="I96" s="52"/>
      <c r="J96" s="52"/>
      <c r="K96" s="52"/>
      <c r="L96" s="53"/>
      <c r="M96" s="52"/>
      <c r="N96" s="54"/>
      <c r="O96" s="53"/>
      <c r="P96" s="52"/>
      <c r="Q96" s="55"/>
    </row>
    <row r="97" spans="2:17" x14ac:dyDescent="0.3">
      <c r="B97" s="56" t="s">
        <v>67</v>
      </c>
      <c r="C97" s="28"/>
      <c r="D97" s="28"/>
      <c r="E97" s="28"/>
      <c r="F97" s="34"/>
      <c r="G97" s="28"/>
      <c r="H97" s="35"/>
      <c r="I97" s="28"/>
      <c r="J97" s="28"/>
      <c r="K97" s="28"/>
      <c r="L97" s="34"/>
      <c r="M97" s="28"/>
      <c r="N97" s="35"/>
      <c r="O97" s="34"/>
      <c r="P97" s="28"/>
      <c r="Q97" s="24"/>
    </row>
    <row r="98" spans="2:17" x14ac:dyDescent="0.3">
      <c r="B98" s="57" t="s">
        <v>91</v>
      </c>
      <c r="C98" s="28"/>
      <c r="D98" s="28"/>
      <c r="E98" s="28"/>
      <c r="F98" s="34"/>
      <c r="G98" s="28"/>
      <c r="H98" s="35"/>
      <c r="I98" s="28"/>
      <c r="J98" s="28"/>
      <c r="K98" s="28"/>
      <c r="L98" s="34"/>
      <c r="M98" s="28"/>
      <c r="N98" s="35"/>
      <c r="O98" s="34"/>
      <c r="P98" s="28"/>
      <c r="Q98" s="24"/>
    </row>
    <row r="99" spans="2:17" x14ac:dyDescent="0.3">
      <c r="B99" s="57" t="s">
        <v>91</v>
      </c>
      <c r="C99" s="28"/>
      <c r="D99" s="28"/>
      <c r="E99" s="28"/>
      <c r="F99" s="34"/>
      <c r="G99" s="28"/>
      <c r="H99" s="35"/>
      <c r="I99" s="28"/>
      <c r="J99" s="28"/>
      <c r="K99" s="28"/>
      <c r="L99" s="34"/>
      <c r="M99" s="28"/>
      <c r="N99" s="35"/>
      <c r="O99" s="34"/>
      <c r="P99" s="28"/>
      <c r="Q99" s="24"/>
    </row>
    <row r="100" spans="2:17" x14ac:dyDescent="0.3">
      <c r="B100" s="57" t="s">
        <v>91</v>
      </c>
      <c r="C100" s="28"/>
      <c r="D100" s="28"/>
      <c r="E100" s="28"/>
      <c r="F100" s="34"/>
      <c r="G100" s="28"/>
      <c r="H100" s="35"/>
      <c r="I100" s="28"/>
      <c r="J100" s="28"/>
      <c r="K100" s="28"/>
      <c r="L100" s="34"/>
      <c r="M100" s="28"/>
      <c r="N100" s="35"/>
      <c r="O100" s="34"/>
      <c r="P100" s="28"/>
      <c r="Q100" s="24"/>
    </row>
    <row r="101" spans="2:17" x14ac:dyDescent="0.3">
      <c r="B101" s="57" t="s">
        <v>91</v>
      </c>
      <c r="C101" s="28"/>
      <c r="D101" s="28"/>
      <c r="E101" s="28"/>
      <c r="F101" s="34"/>
      <c r="G101" s="28"/>
      <c r="H101" s="35"/>
      <c r="I101" s="28"/>
      <c r="J101" s="28"/>
      <c r="K101" s="28"/>
      <c r="L101" s="34"/>
      <c r="M101" s="28"/>
      <c r="N101" s="35"/>
      <c r="O101" s="34"/>
      <c r="P101" s="28"/>
      <c r="Q101" s="24"/>
    </row>
    <row r="102" spans="2:17" x14ac:dyDescent="0.3">
      <c r="B102" s="57" t="s">
        <v>91</v>
      </c>
      <c r="C102" s="28"/>
      <c r="D102" s="28"/>
      <c r="E102" s="28"/>
      <c r="F102" s="34"/>
      <c r="G102" s="28"/>
      <c r="H102" s="35"/>
      <c r="I102" s="28"/>
      <c r="J102" s="28"/>
      <c r="K102" s="28"/>
      <c r="L102" s="34"/>
      <c r="M102" s="28"/>
      <c r="N102" s="35"/>
      <c r="O102" s="34"/>
      <c r="P102" s="28"/>
      <c r="Q102" s="24"/>
    </row>
    <row r="103" spans="2:17" x14ac:dyDescent="0.3">
      <c r="B103" s="57" t="s">
        <v>91</v>
      </c>
      <c r="C103" s="28"/>
      <c r="D103" s="28"/>
      <c r="E103" s="28"/>
      <c r="F103" s="34"/>
      <c r="G103" s="28"/>
      <c r="H103" s="35"/>
      <c r="I103" s="28"/>
      <c r="J103" s="28"/>
      <c r="K103" s="28"/>
      <c r="L103" s="34"/>
      <c r="M103" s="28"/>
      <c r="N103" s="35"/>
      <c r="O103" s="34"/>
      <c r="P103" s="28"/>
      <c r="Q103" s="24"/>
    </row>
    <row r="104" spans="2:17" x14ac:dyDescent="0.3">
      <c r="B104" s="57" t="s">
        <v>91</v>
      </c>
      <c r="C104" s="28"/>
      <c r="D104" s="28"/>
      <c r="E104" s="28"/>
      <c r="F104" s="34"/>
      <c r="G104" s="28"/>
      <c r="H104" s="35"/>
      <c r="I104" s="28"/>
      <c r="J104" s="28"/>
      <c r="K104" s="28"/>
      <c r="L104" s="34"/>
      <c r="M104" s="28"/>
      <c r="N104" s="35"/>
      <c r="O104" s="34"/>
      <c r="P104" s="28"/>
      <c r="Q104" s="24"/>
    </row>
    <row r="105" spans="2:17" x14ac:dyDescent="0.3">
      <c r="B105" s="57" t="s">
        <v>91</v>
      </c>
      <c r="C105" s="28"/>
      <c r="D105" s="28"/>
      <c r="E105" s="28"/>
      <c r="F105" s="34"/>
      <c r="G105" s="28"/>
      <c r="H105" s="35"/>
      <c r="I105" s="28"/>
      <c r="J105" s="28"/>
      <c r="K105" s="28"/>
      <c r="L105" s="34"/>
      <c r="M105" s="28"/>
      <c r="N105" s="35"/>
      <c r="O105" s="34"/>
      <c r="P105" s="28"/>
      <c r="Q105" s="24"/>
    </row>
    <row r="106" spans="2:17" x14ac:dyDescent="0.3">
      <c r="B106" s="57" t="s">
        <v>91</v>
      </c>
      <c r="C106" s="28"/>
      <c r="D106" s="28"/>
      <c r="E106" s="28"/>
      <c r="F106" s="34"/>
      <c r="G106" s="28"/>
      <c r="H106" s="35"/>
      <c r="I106" s="28"/>
      <c r="J106" s="28"/>
      <c r="K106" s="28"/>
      <c r="L106" s="34"/>
      <c r="M106" s="28"/>
      <c r="N106" s="35"/>
      <c r="O106" s="34"/>
      <c r="P106" s="28"/>
      <c r="Q106" s="24"/>
    </row>
    <row r="107" spans="2:17" x14ac:dyDescent="0.3">
      <c r="B107" s="57" t="s">
        <v>91</v>
      </c>
      <c r="C107" s="28"/>
      <c r="D107" s="28"/>
      <c r="E107" s="28"/>
      <c r="F107" s="34"/>
      <c r="G107" s="28"/>
      <c r="H107" s="35"/>
      <c r="I107" s="28"/>
      <c r="J107" s="28"/>
      <c r="K107" s="28"/>
      <c r="L107" s="34"/>
      <c r="M107" s="28"/>
      <c r="N107" s="35"/>
      <c r="O107" s="34"/>
      <c r="P107" s="28"/>
      <c r="Q107" s="24"/>
    </row>
    <row r="108" spans="2:17" x14ac:dyDescent="0.3">
      <c r="B108" s="57" t="s">
        <v>91</v>
      </c>
      <c r="C108" s="28"/>
      <c r="D108" s="28"/>
      <c r="E108" s="28"/>
      <c r="F108" s="34"/>
      <c r="G108" s="28"/>
      <c r="H108" s="35"/>
      <c r="I108" s="28"/>
      <c r="J108" s="28"/>
      <c r="K108" s="28"/>
      <c r="L108" s="34"/>
      <c r="M108" s="28"/>
      <c r="N108" s="35"/>
      <c r="O108" s="34"/>
      <c r="P108" s="28"/>
      <c r="Q108" s="24"/>
    </row>
    <row r="109" spans="2:17" x14ac:dyDescent="0.3">
      <c r="B109" s="58" t="s">
        <v>50</v>
      </c>
      <c r="C109" s="29">
        <f>SUM(C98:C108)</f>
        <v>0</v>
      </c>
      <c r="D109" s="29">
        <f t="shared" ref="D109:Q109" si="3">SUM(D98:D108)</f>
        <v>0</v>
      </c>
      <c r="E109" s="29">
        <f t="shared" si="3"/>
        <v>0</v>
      </c>
      <c r="F109" s="29">
        <f t="shared" si="3"/>
        <v>0</v>
      </c>
      <c r="G109" s="29">
        <f t="shared" si="3"/>
        <v>0</v>
      </c>
      <c r="H109" s="29">
        <f t="shared" si="3"/>
        <v>0</v>
      </c>
      <c r="I109" s="29">
        <f t="shared" si="3"/>
        <v>0</v>
      </c>
      <c r="J109" s="29">
        <f t="shared" si="3"/>
        <v>0</v>
      </c>
      <c r="K109" s="29">
        <f t="shared" si="3"/>
        <v>0</v>
      </c>
      <c r="L109" s="29">
        <f t="shared" si="3"/>
        <v>0</v>
      </c>
      <c r="M109" s="29">
        <f t="shared" si="3"/>
        <v>0</v>
      </c>
      <c r="N109" s="29">
        <f t="shared" si="3"/>
        <v>0</v>
      </c>
      <c r="O109" s="29">
        <f t="shared" si="3"/>
        <v>0</v>
      </c>
      <c r="P109" s="29">
        <f t="shared" si="3"/>
        <v>0</v>
      </c>
      <c r="Q109" s="59">
        <f t="shared" si="3"/>
        <v>0</v>
      </c>
    </row>
    <row r="110" spans="2:17" x14ac:dyDescent="0.3">
      <c r="B110" s="60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61"/>
    </row>
    <row r="111" spans="2:17" x14ac:dyDescent="0.3">
      <c r="B111" s="62" t="s">
        <v>49</v>
      </c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4"/>
    </row>
    <row r="112" spans="2:17" x14ac:dyDescent="0.3">
      <c r="B112" s="62" t="s">
        <v>48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4"/>
    </row>
    <row r="113" spans="2:17" x14ac:dyDescent="0.3">
      <c r="B113" s="62" t="s">
        <v>51</v>
      </c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4"/>
    </row>
    <row r="114" spans="2:17" x14ac:dyDescent="0.3">
      <c r="B114" s="63" t="s">
        <v>52</v>
      </c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5"/>
    </row>
    <row r="117" spans="2:17" x14ac:dyDescent="0.3">
      <c r="B117" s="51" t="s">
        <v>7</v>
      </c>
      <c r="C117" s="52"/>
      <c r="D117" s="52"/>
      <c r="E117" s="52"/>
      <c r="F117" s="53"/>
      <c r="G117" s="52"/>
      <c r="H117" s="54"/>
      <c r="I117" s="52"/>
      <c r="J117" s="52"/>
      <c r="K117" s="52"/>
      <c r="L117" s="53"/>
      <c r="M117" s="52"/>
      <c r="N117" s="54"/>
      <c r="O117" s="53"/>
      <c r="P117" s="52"/>
      <c r="Q117" s="55"/>
    </row>
    <row r="118" spans="2:17" x14ac:dyDescent="0.3">
      <c r="B118" s="56" t="s">
        <v>67</v>
      </c>
      <c r="C118" s="28"/>
      <c r="D118" s="28"/>
      <c r="E118" s="28"/>
      <c r="F118" s="34"/>
      <c r="G118" s="28"/>
      <c r="H118" s="35"/>
      <c r="I118" s="28"/>
      <c r="J118" s="28"/>
      <c r="K118" s="28"/>
      <c r="L118" s="34"/>
      <c r="M118" s="28"/>
      <c r="N118" s="35"/>
      <c r="O118" s="34"/>
      <c r="P118" s="28"/>
      <c r="Q118" s="24"/>
    </row>
    <row r="119" spans="2:17" x14ac:dyDescent="0.3">
      <c r="B119" s="57" t="s">
        <v>91</v>
      </c>
      <c r="C119" s="28"/>
      <c r="D119" s="28"/>
      <c r="E119" s="28"/>
      <c r="F119" s="34"/>
      <c r="G119" s="28"/>
      <c r="H119" s="35"/>
      <c r="I119" s="28"/>
      <c r="J119" s="28"/>
      <c r="K119" s="28"/>
      <c r="L119" s="34"/>
      <c r="M119" s="28"/>
      <c r="N119" s="35"/>
      <c r="O119" s="34"/>
      <c r="P119" s="28"/>
      <c r="Q119" s="24"/>
    </row>
    <row r="120" spans="2:17" x14ac:dyDescent="0.3">
      <c r="B120" s="57" t="s">
        <v>91</v>
      </c>
      <c r="C120" s="28"/>
      <c r="D120" s="28"/>
      <c r="E120" s="28"/>
      <c r="F120" s="34"/>
      <c r="G120" s="28"/>
      <c r="H120" s="35"/>
      <c r="I120" s="28"/>
      <c r="J120" s="28"/>
      <c r="K120" s="28"/>
      <c r="L120" s="34"/>
      <c r="M120" s="28"/>
      <c r="N120" s="35"/>
      <c r="O120" s="34"/>
      <c r="P120" s="28"/>
      <c r="Q120" s="24"/>
    </row>
    <row r="121" spans="2:17" x14ac:dyDescent="0.3">
      <c r="B121" s="57" t="s">
        <v>91</v>
      </c>
      <c r="C121" s="28"/>
      <c r="D121" s="28"/>
      <c r="E121" s="28"/>
      <c r="F121" s="34"/>
      <c r="G121" s="28"/>
      <c r="H121" s="35"/>
      <c r="I121" s="28"/>
      <c r="J121" s="28"/>
      <c r="K121" s="28"/>
      <c r="L121" s="34"/>
      <c r="M121" s="28"/>
      <c r="N121" s="35"/>
      <c r="O121" s="34"/>
      <c r="P121" s="28"/>
      <c r="Q121" s="24"/>
    </row>
    <row r="122" spans="2:17" x14ac:dyDescent="0.3">
      <c r="B122" s="57" t="s">
        <v>91</v>
      </c>
      <c r="C122" s="28"/>
      <c r="D122" s="28"/>
      <c r="E122" s="28"/>
      <c r="F122" s="34"/>
      <c r="G122" s="28"/>
      <c r="H122" s="35"/>
      <c r="I122" s="28"/>
      <c r="J122" s="28"/>
      <c r="K122" s="28"/>
      <c r="L122" s="34"/>
      <c r="M122" s="28"/>
      <c r="N122" s="35"/>
      <c r="O122" s="34"/>
      <c r="P122" s="28"/>
      <c r="Q122" s="24"/>
    </row>
    <row r="123" spans="2:17" x14ac:dyDescent="0.3">
      <c r="B123" s="57" t="s">
        <v>91</v>
      </c>
      <c r="C123" s="28"/>
      <c r="D123" s="28"/>
      <c r="E123" s="28"/>
      <c r="F123" s="34"/>
      <c r="G123" s="28"/>
      <c r="H123" s="35"/>
      <c r="I123" s="28"/>
      <c r="J123" s="28"/>
      <c r="K123" s="28"/>
      <c r="L123" s="34"/>
      <c r="M123" s="28"/>
      <c r="N123" s="35"/>
      <c r="O123" s="34"/>
      <c r="P123" s="28"/>
      <c r="Q123" s="24"/>
    </row>
    <row r="124" spans="2:17" x14ac:dyDescent="0.3">
      <c r="B124" s="57" t="s">
        <v>91</v>
      </c>
      <c r="C124" s="28"/>
      <c r="D124" s="28"/>
      <c r="E124" s="28"/>
      <c r="F124" s="34"/>
      <c r="G124" s="28"/>
      <c r="H124" s="35"/>
      <c r="I124" s="28"/>
      <c r="J124" s="28"/>
      <c r="K124" s="28"/>
      <c r="L124" s="34"/>
      <c r="M124" s="28"/>
      <c r="N124" s="35"/>
      <c r="O124" s="34"/>
      <c r="P124" s="28"/>
      <c r="Q124" s="24"/>
    </row>
    <row r="125" spans="2:17" x14ac:dyDescent="0.3">
      <c r="B125" s="57" t="s">
        <v>91</v>
      </c>
      <c r="C125" s="28"/>
      <c r="D125" s="28"/>
      <c r="E125" s="28"/>
      <c r="F125" s="34"/>
      <c r="G125" s="28"/>
      <c r="H125" s="35"/>
      <c r="I125" s="28"/>
      <c r="J125" s="28"/>
      <c r="K125" s="28"/>
      <c r="L125" s="34"/>
      <c r="M125" s="28"/>
      <c r="N125" s="35"/>
      <c r="O125" s="34"/>
      <c r="P125" s="28"/>
      <c r="Q125" s="24"/>
    </row>
    <row r="126" spans="2:17" x14ac:dyDescent="0.3">
      <c r="B126" s="57" t="s">
        <v>91</v>
      </c>
      <c r="C126" s="28"/>
      <c r="D126" s="28"/>
      <c r="E126" s="28"/>
      <c r="F126" s="34"/>
      <c r="G126" s="28"/>
      <c r="H126" s="35"/>
      <c r="I126" s="28"/>
      <c r="J126" s="28"/>
      <c r="K126" s="28"/>
      <c r="L126" s="34"/>
      <c r="M126" s="28"/>
      <c r="N126" s="35"/>
      <c r="O126" s="34"/>
      <c r="P126" s="28"/>
      <c r="Q126" s="24"/>
    </row>
    <row r="127" spans="2:17" x14ac:dyDescent="0.3">
      <c r="B127" s="57" t="s">
        <v>91</v>
      </c>
      <c r="C127" s="28"/>
      <c r="D127" s="28"/>
      <c r="E127" s="28"/>
      <c r="F127" s="34"/>
      <c r="G127" s="28"/>
      <c r="H127" s="35"/>
      <c r="I127" s="28"/>
      <c r="J127" s="28"/>
      <c r="K127" s="28"/>
      <c r="L127" s="34"/>
      <c r="M127" s="28"/>
      <c r="N127" s="35"/>
      <c r="O127" s="34"/>
      <c r="P127" s="28"/>
      <c r="Q127" s="24"/>
    </row>
    <row r="128" spans="2:17" x14ac:dyDescent="0.3">
      <c r="B128" s="57" t="s">
        <v>91</v>
      </c>
      <c r="C128" s="28"/>
      <c r="D128" s="28"/>
      <c r="E128" s="28"/>
      <c r="F128" s="34"/>
      <c r="G128" s="28"/>
      <c r="H128" s="35"/>
      <c r="I128" s="28"/>
      <c r="J128" s="28"/>
      <c r="K128" s="28"/>
      <c r="L128" s="34"/>
      <c r="M128" s="28"/>
      <c r="N128" s="35"/>
      <c r="O128" s="34"/>
      <c r="P128" s="28"/>
      <c r="Q128" s="24"/>
    </row>
    <row r="129" spans="2:17" x14ac:dyDescent="0.3">
      <c r="B129" s="57" t="s">
        <v>91</v>
      </c>
      <c r="C129" s="28"/>
      <c r="D129" s="28"/>
      <c r="E129" s="28"/>
      <c r="F129" s="34"/>
      <c r="G129" s="28"/>
      <c r="H129" s="35"/>
      <c r="I129" s="28"/>
      <c r="J129" s="28"/>
      <c r="K129" s="28"/>
      <c r="L129" s="34"/>
      <c r="M129" s="28"/>
      <c r="N129" s="35"/>
      <c r="O129" s="34"/>
      <c r="P129" s="28"/>
      <c r="Q129" s="24"/>
    </row>
    <row r="130" spans="2:17" x14ac:dyDescent="0.3">
      <c r="B130" s="58" t="s">
        <v>50</v>
      </c>
      <c r="C130" s="29">
        <f t="shared" ref="C130:Q130" si="4">SUM(C119:C129)</f>
        <v>0</v>
      </c>
      <c r="D130" s="29">
        <f t="shared" si="4"/>
        <v>0</v>
      </c>
      <c r="E130" s="29">
        <f t="shared" si="4"/>
        <v>0</v>
      </c>
      <c r="F130" s="29">
        <f t="shared" si="4"/>
        <v>0</v>
      </c>
      <c r="G130" s="29">
        <f t="shared" si="4"/>
        <v>0</v>
      </c>
      <c r="H130" s="29">
        <f t="shared" si="4"/>
        <v>0</v>
      </c>
      <c r="I130" s="29">
        <f t="shared" si="4"/>
        <v>0</v>
      </c>
      <c r="J130" s="29">
        <f t="shared" si="4"/>
        <v>0</v>
      </c>
      <c r="K130" s="29">
        <f t="shared" si="4"/>
        <v>0</v>
      </c>
      <c r="L130" s="29">
        <f t="shared" si="4"/>
        <v>0</v>
      </c>
      <c r="M130" s="29">
        <f t="shared" si="4"/>
        <v>0</v>
      </c>
      <c r="N130" s="29">
        <f t="shared" si="4"/>
        <v>0</v>
      </c>
      <c r="O130" s="29">
        <f t="shared" si="4"/>
        <v>0</v>
      </c>
      <c r="P130" s="29">
        <f t="shared" si="4"/>
        <v>0</v>
      </c>
      <c r="Q130" s="59">
        <f t="shared" si="4"/>
        <v>0</v>
      </c>
    </row>
    <row r="131" spans="2:17" x14ac:dyDescent="0.3">
      <c r="B131" s="60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61"/>
    </row>
    <row r="132" spans="2:17" x14ac:dyDescent="0.3">
      <c r="B132" s="62" t="s">
        <v>49</v>
      </c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4"/>
    </row>
    <row r="133" spans="2:17" x14ac:dyDescent="0.3">
      <c r="B133" s="62" t="s">
        <v>48</v>
      </c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4"/>
    </row>
    <row r="134" spans="2:17" x14ac:dyDescent="0.3">
      <c r="B134" s="62" t="s">
        <v>51</v>
      </c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4"/>
    </row>
    <row r="135" spans="2:17" x14ac:dyDescent="0.3">
      <c r="B135" s="63" t="s">
        <v>52</v>
      </c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5"/>
    </row>
    <row r="138" spans="2:17" x14ac:dyDescent="0.3">
      <c r="B138" s="51" t="s">
        <v>113</v>
      </c>
      <c r="C138" s="52"/>
      <c r="D138" s="52"/>
      <c r="E138" s="52"/>
      <c r="F138" s="53"/>
      <c r="G138" s="52"/>
      <c r="H138" s="54"/>
      <c r="I138" s="52"/>
      <c r="J138" s="52"/>
      <c r="K138" s="52"/>
      <c r="L138" s="53"/>
      <c r="M138" s="52"/>
      <c r="N138" s="54"/>
      <c r="O138" s="53"/>
      <c r="P138" s="52"/>
      <c r="Q138" s="55"/>
    </row>
    <row r="139" spans="2:17" x14ac:dyDescent="0.3">
      <c r="B139" s="56" t="s">
        <v>67</v>
      </c>
      <c r="C139" s="28"/>
      <c r="D139" s="28"/>
      <c r="E139" s="28"/>
      <c r="F139" s="34"/>
      <c r="G139" s="28"/>
      <c r="H139" s="35"/>
      <c r="I139" s="28"/>
      <c r="J139" s="28"/>
      <c r="K139" s="28"/>
      <c r="L139" s="34"/>
      <c r="M139" s="28"/>
      <c r="N139" s="35"/>
      <c r="O139" s="34"/>
      <c r="P139" s="28"/>
      <c r="Q139" s="24"/>
    </row>
    <row r="140" spans="2:17" x14ac:dyDescent="0.3">
      <c r="B140" s="57" t="s">
        <v>91</v>
      </c>
      <c r="C140" s="28"/>
      <c r="D140" s="28"/>
      <c r="E140" s="28"/>
      <c r="F140" s="34"/>
      <c r="G140" s="28"/>
      <c r="H140" s="35"/>
      <c r="I140" s="28"/>
      <c r="J140" s="28"/>
      <c r="K140" s="28"/>
      <c r="L140" s="34"/>
      <c r="M140" s="28"/>
      <c r="N140" s="35"/>
      <c r="O140" s="34"/>
      <c r="P140" s="28"/>
      <c r="Q140" s="24"/>
    </row>
    <row r="141" spans="2:17" x14ac:dyDescent="0.3">
      <c r="B141" s="57" t="s">
        <v>91</v>
      </c>
      <c r="C141" s="28"/>
      <c r="D141" s="28"/>
      <c r="E141" s="28"/>
      <c r="F141" s="34"/>
      <c r="G141" s="28"/>
      <c r="H141" s="35"/>
      <c r="I141" s="28"/>
      <c r="J141" s="28"/>
      <c r="K141" s="28"/>
      <c r="L141" s="34"/>
      <c r="M141" s="28"/>
      <c r="N141" s="35"/>
      <c r="O141" s="34"/>
      <c r="P141" s="28"/>
      <c r="Q141" s="24"/>
    </row>
    <row r="142" spans="2:17" x14ac:dyDescent="0.3">
      <c r="B142" s="57" t="s">
        <v>91</v>
      </c>
      <c r="C142" s="28"/>
      <c r="D142" s="28"/>
      <c r="E142" s="28"/>
      <c r="F142" s="34"/>
      <c r="G142" s="28"/>
      <c r="H142" s="35"/>
      <c r="I142" s="28"/>
      <c r="J142" s="28"/>
      <c r="K142" s="28"/>
      <c r="L142" s="34"/>
      <c r="M142" s="28"/>
      <c r="N142" s="35"/>
      <c r="O142" s="34"/>
      <c r="P142" s="28"/>
      <c r="Q142" s="24"/>
    </row>
    <row r="143" spans="2:17" x14ac:dyDescent="0.3">
      <c r="B143" s="57" t="s">
        <v>91</v>
      </c>
      <c r="C143" s="28"/>
      <c r="D143" s="28"/>
      <c r="E143" s="28"/>
      <c r="F143" s="34"/>
      <c r="G143" s="28"/>
      <c r="H143" s="35"/>
      <c r="I143" s="28"/>
      <c r="J143" s="28"/>
      <c r="K143" s="28"/>
      <c r="L143" s="34"/>
      <c r="M143" s="28"/>
      <c r="N143" s="35"/>
      <c r="O143" s="34"/>
      <c r="P143" s="28"/>
      <c r="Q143" s="24"/>
    </row>
    <row r="144" spans="2:17" x14ac:dyDescent="0.3">
      <c r="B144" s="57" t="s">
        <v>91</v>
      </c>
      <c r="C144" s="28"/>
      <c r="D144" s="28"/>
      <c r="E144" s="28"/>
      <c r="F144" s="34"/>
      <c r="G144" s="28"/>
      <c r="H144" s="35"/>
      <c r="I144" s="28"/>
      <c r="J144" s="28"/>
      <c r="K144" s="28"/>
      <c r="L144" s="34"/>
      <c r="M144" s="28"/>
      <c r="N144" s="35"/>
      <c r="O144" s="34"/>
      <c r="P144" s="28"/>
      <c r="Q144" s="24"/>
    </row>
    <row r="145" spans="2:17" x14ac:dyDescent="0.3">
      <c r="B145" s="57" t="s">
        <v>91</v>
      </c>
      <c r="C145" s="28"/>
      <c r="D145" s="28"/>
      <c r="E145" s="28"/>
      <c r="F145" s="34"/>
      <c r="G145" s="28"/>
      <c r="H145" s="35"/>
      <c r="I145" s="28"/>
      <c r="J145" s="28"/>
      <c r="K145" s="28"/>
      <c r="L145" s="34"/>
      <c r="M145" s="28"/>
      <c r="N145" s="35"/>
      <c r="O145" s="34"/>
      <c r="P145" s="28"/>
      <c r="Q145" s="24"/>
    </row>
    <row r="146" spans="2:17" x14ac:dyDescent="0.3">
      <c r="B146" s="57" t="s">
        <v>91</v>
      </c>
      <c r="C146" s="28"/>
      <c r="D146" s="28"/>
      <c r="E146" s="28"/>
      <c r="F146" s="34"/>
      <c r="G146" s="28"/>
      <c r="H146" s="35"/>
      <c r="I146" s="28"/>
      <c r="J146" s="28"/>
      <c r="K146" s="28"/>
      <c r="L146" s="34"/>
      <c r="M146" s="28"/>
      <c r="N146" s="35"/>
      <c r="O146" s="34"/>
      <c r="P146" s="28"/>
      <c r="Q146" s="24"/>
    </row>
    <row r="147" spans="2:17" x14ac:dyDescent="0.3">
      <c r="B147" s="57" t="s">
        <v>91</v>
      </c>
      <c r="C147" s="28"/>
      <c r="D147" s="28"/>
      <c r="E147" s="28"/>
      <c r="F147" s="34"/>
      <c r="G147" s="28"/>
      <c r="H147" s="35"/>
      <c r="I147" s="28"/>
      <c r="J147" s="28"/>
      <c r="K147" s="28"/>
      <c r="L147" s="34"/>
      <c r="M147" s="28"/>
      <c r="N147" s="35"/>
      <c r="O147" s="34"/>
      <c r="P147" s="28"/>
      <c r="Q147" s="24"/>
    </row>
    <row r="148" spans="2:17" x14ac:dyDescent="0.3">
      <c r="B148" s="57" t="s">
        <v>91</v>
      </c>
      <c r="C148" s="28"/>
      <c r="D148" s="28"/>
      <c r="E148" s="28"/>
      <c r="F148" s="34"/>
      <c r="G148" s="28"/>
      <c r="H148" s="35"/>
      <c r="I148" s="28"/>
      <c r="J148" s="28"/>
      <c r="K148" s="28"/>
      <c r="L148" s="34"/>
      <c r="M148" s="28"/>
      <c r="N148" s="35"/>
      <c r="O148" s="34"/>
      <c r="P148" s="28"/>
      <c r="Q148" s="24"/>
    </row>
    <row r="149" spans="2:17" x14ac:dyDescent="0.3">
      <c r="B149" s="57" t="s">
        <v>91</v>
      </c>
      <c r="C149" s="28"/>
      <c r="D149" s="28"/>
      <c r="E149" s="28"/>
      <c r="F149" s="34"/>
      <c r="G149" s="28"/>
      <c r="H149" s="35"/>
      <c r="I149" s="28"/>
      <c r="J149" s="28"/>
      <c r="K149" s="28"/>
      <c r="L149" s="34"/>
      <c r="M149" s="28"/>
      <c r="N149" s="35"/>
      <c r="O149" s="34"/>
      <c r="P149" s="28"/>
      <c r="Q149" s="24"/>
    </row>
    <row r="150" spans="2:17" x14ac:dyDescent="0.3">
      <c r="B150" s="57" t="s">
        <v>91</v>
      </c>
      <c r="C150" s="28"/>
      <c r="D150" s="28"/>
      <c r="E150" s="28"/>
      <c r="F150" s="34"/>
      <c r="G150" s="28"/>
      <c r="H150" s="35"/>
      <c r="I150" s="28"/>
      <c r="J150" s="28"/>
      <c r="K150" s="28"/>
      <c r="L150" s="34"/>
      <c r="M150" s="28"/>
      <c r="N150" s="35"/>
      <c r="O150" s="34"/>
      <c r="P150" s="28"/>
      <c r="Q150" s="24"/>
    </row>
    <row r="151" spans="2:17" x14ac:dyDescent="0.3">
      <c r="B151" s="58" t="s">
        <v>50</v>
      </c>
      <c r="C151" s="29">
        <f>SUM(C140:C150)</f>
        <v>0</v>
      </c>
      <c r="D151" s="29">
        <f t="shared" ref="D151:Q151" si="5">SUM(D140:D150)</f>
        <v>0</v>
      </c>
      <c r="E151" s="29">
        <f t="shared" si="5"/>
        <v>0</v>
      </c>
      <c r="F151" s="29">
        <f t="shared" si="5"/>
        <v>0</v>
      </c>
      <c r="G151" s="29">
        <f t="shared" si="5"/>
        <v>0</v>
      </c>
      <c r="H151" s="29">
        <f t="shared" si="5"/>
        <v>0</v>
      </c>
      <c r="I151" s="29">
        <f t="shared" si="5"/>
        <v>0</v>
      </c>
      <c r="J151" s="29">
        <f t="shared" si="5"/>
        <v>0</v>
      </c>
      <c r="K151" s="29">
        <f t="shared" si="5"/>
        <v>0</v>
      </c>
      <c r="L151" s="29">
        <f t="shared" si="5"/>
        <v>0</v>
      </c>
      <c r="M151" s="29">
        <f t="shared" si="5"/>
        <v>0</v>
      </c>
      <c r="N151" s="29">
        <f t="shared" si="5"/>
        <v>0</v>
      </c>
      <c r="O151" s="29">
        <f t="shared" si="5"/>
        <v>0</v>
      </c>
      <c r="P151" s="29">
        <f t="shared" si="5"/>
        <v>0</v>
      </c>
      <c r="Q151" s="59">
        <f t="shared" si="5"/>
        <v>0</v>
      </c>
    </row>
    <row r="152" spans="2:17" x14ac:dyDescent="0.3">
      <c r="B152" s="60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61"/>
    </row>
    <row r="153" spans="2:17" x14ac:dyDescent="0.3">
      <c r="B153" s="62" t="s">
        <v>49</v>
      </c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4"/>
    </row>
    <row r="154" spans="2:17" x14ac:dyDescent="0.3">
      <c r="B154" s="62" t="s">
        <v>48</v>
      </c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4"/>
    </row>
    <row r="155" spans="2:17" x14ac:dyDescent="0.3">
      <c r="B155" s="62" t="s">
        <v>51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4"/>
    </row>
    <row r="156" spans="2:17" x14ac:dyDescent="0.3">
      <c r="B156" s="63" t="s">
        <v>52</v>
      </c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5"/>
    </row>
    <row r="159" spans="2:17" x14ac:dyDescent="0.3">
      <c r="B159" s="51" t="s">
        <v>119</v>
      </c>
      <c r="C159" s="52"/>
      <c r="D159" s="52"/>
      <c r="E159" s="52"/>
      <c r="F159" s="53"/>
      <c r="G159" s="52"/>
      <c r="H159" s="54"/>
      <c r="I159" s="52"/>
      <c r="J159" s="52"/>
      <c r="K159" s="52"/>
      <c r="L159" s="53"/>
      <c r="M159" s="52"/>
      <c r="N159" s="54"/>
      <c r="O159" s="53"/>
      <c r="P159" s="52"/>
      <c r="Q159" s="55"/>
    </row>
    <row r="160" spans="2:17" x14ac:dyDescent="0.3">
      <c r="B160" s="56" t="s">
        <v>67</v>
      </c>
      <c r="C160" s="28"/>
      <c r="D160" s="28"/>
      <c r="E160" s="28"/>
      <c r="F160" s="34"/>
      <c r="G160" s="28"/>
      <c r="H160" s="35"/>
      <c r="I160" s="28"/>
      <c r="J160" s="28"/>
      <c r="K160" s="28"/>
      <c r="L160" s="34"/>
      <c r="M160" s="28"/>
      <c r="N160" s="35"/>
      <c r="O160" s="34"/>
      <c r="P160" s="28"/>
      <c r="Q160" s="24"/>
    </row>
    <row r="161" spans="2:17" x14ac:dyDescent="0.3">
      <c r="B161" s="57" t="s">
        <v>91</v>
      </c>
      <c r="C161" s="28"/>
      <c r="D161" s="28"/>
      <c r="E161" s="28"/>
      <c r="F161" s="34"/>
      <c r="G161" s="28"/>
      <c r="H161" s="35"/>
      <c r="I161" s="28"/>
      <c r="J161" s="28"/>
      <c r="K161" s="28"/>
      <c r="L161" s="34"/>
      <c r="M161" s="28"/>
      <c r="N161" s="35"/>
      <c r="O161" s="34"/>
      <c r="P161" s="28"/>
      <c r="Q161" s="24"/>
    </row>
    <row r="162" spans="2:17" x14ac:dyDescent="0.3">
      <c r="B162" s="57" t="s">
        <v>91</v>
      </c>
      <c r="C162" s="28"/>
      <c r="D162" s="28"/>
      <c r="E162" s="28"/>
      <c r="F162" s="34"/>
      <c r="G162" s="28"/>
      <c r="H162" s="35"/>
      <c r="I162" s="28"/>
      <c r="J162" s="28"/>
      <c r="K162" s="28"/>
      <c r="L162" s="34"/>
      <c r="M162" s="28"/>
      <c r="N162" s="35"/>
      <c r="O162" s="34"/>
      <c r="P162" s="28"/>
      <c r="Q162" s="24"/>
    </row>
    <row r="163" spans="2:17" x14ac:dyDescent="0.3">
      <c r="B163" s="57" t="s">
        <v>91</v>
      </c>
      <c r="C163" s="28"/>
      <c r="D163" s="28"/>
      <c r="E163" s="28"/>
      <c r="F163" s="34"/>
      <c r="G163" s="28"/>
      <c r="H163" s="35"/>
      <c r="I163" s="28"/>
      <c r="J163" s="28"/>
      <c r="K163" s="28"/>
      <c r="L163" s="34"/>
      <c r="M163" s="28"/>
      <c r="N163" s="35"/>
      <c r="O163" s="34"/>
      <c r="P163" s="28"/>
      <c r="Q163" s="24"/>
    </row>
    <row r="164" spans="2:17" x14ac:dyDescent="0.3">
      <c r="B164" s="57" t="s">
        <v>91</v>
      </c>
      <c r="C164" s="28"/>
      <c r="D164" s="28"/>
      <c r="E164" s="28"/>
      <c r="F164" s="34"/>
      <c r="G164" s="28"/>
      <c r="H164" s="35"/>
      <c r="I164" s="28"/>
      <c r="J164" s="28"/>
      <c r="K164" s="28"/>
      <c r="L164" s="34"/>
      <c r="M164" s="28"/>
      <c r="N164" s="35"/>
      <c r="O164" s="34"/>
      <c r="P164" s="28"/>
      <c r="Q164" s="24"/>
    </row>
    <row r="165" spans="2:17" x14ac:dyDescent="0.3">
      <c r="B165" s="57" t="s">
        <v>91</v>
      </c>
      <c r="C165" s="28"/>
      <c r="D165" s="28"/>
      <c r="E165" s="28"/>
      <c r="F165" s="34"/>
      <c r="G165" s="28"/>
      <c r="H165" s="35"/>
      <c r="I165" s="28"/>
      <c r="J165" s="28"/>
      <c r="K165" s="28"/>
      <c r="L165" s="34"/>
      <c r="M165" s="28"/>
      <c r="N165" s="35"/>
      <c r="O165" s="34"/>
      <c r="P165" s="28"/>
      <c r="Q165" s="24"/>
    </row>
    <row r="166" spans="2:17" x14ac:dyDescent="0.3">
      <c r="B166" s="57" t="s">
        <v>91</v>
      </c>
      <c r="C166" s="28"/>
      <c r="D166" s="28"/>
      <c r="E166" s="28"/>
      <c r="F166" s="34"/>
      <c r="G166" s="28"/>
      <c r="H166" s="35"/>
      <c r="I166" s="28"/>
      <c r="J166" s="28"/>
      <c r="K166" s="28"/>
      <c r="L166" s="34"/>
      <c r="M166" s="28"/>
      <c r="N166" s="35"/>
      <c r="O166" s="34"/>
      <c r="P166" s="28"/>
      <c r="Q166" s="24"/>
    </row>
    <row r="167" spans="2:17" x14ac:dyDescent="0.3">
      <c r="B167" s="57" t="s">
        <v>91</v>
      </c>
      <c r="C167" s="28"/>
      <c r="D167" s="28"/>
      <c r="E167" s="28"/>
      <c r="F167" s="34"/>
      <c r="G167" s="28"/>
      <c r="H167" s="35"/>
      <c r="I167" s="28"/>
      <c r="J167" s="28"/>
      <c r="K167" s="28"/>
      <c r="L167" s="34"/>
      <c r="M167" s="28"/>
      <c r="N167" s="35"/>
      <c r="O167" s="34"/>
      <c r="P167" s="28"/>
      <c r="Q167" s="24"/>
    </row>
    <row r="168" spans="2:17" x14ac:dyDescent="0.3">
      <c r="B168" s="57" t="s">
        <v>91</v>
      </c>
      <c r="C168" s="28"/>
      <c r="D168" s="28"/>
      <c r="E168" s="28"/>
      <c r="F168" s="34"/>
      <c r="G168" s="28"/>
      <c r="H168" s="35"/>
      <c r="I168" s="28"/>
      <c r="J168" s="28"/>
      <c r="K168" s="28"/>
      <c r="L168" s="34"/>
      <c r="M168" s="28"/>
      <c r="N168" s="35"/>
      <c r="O168" s="34"/>
      <c r="P168" s="28"/>
      <c r="Q168" s="24"/>
    </row>
    <row r="169" spans="2:17" x14ac:dyDescent="0.3">
      <c r="B169" s="57" t="s">
        <v>91</v>
      </c>
      <c r="C169" s="28"/>
      <c r="D169" s="28"/>
      <c r="E169" s="28"/>
      <c r="F169" s="34"/>
      <c r="G169" s="28"/>
      <c r="H169" s="35"/>
      <c r="I169" s="28"/>
      <c r="J169" s="28"/>
      <c r="K169" s="28"/>
      <c r="L169" s="34"/>
      <c r="M169" s="28"/>
      <c r="N169" s="35"/>
      <c r="O169" s="34"/>
      <c r="P169" s="28"/>
      <c r="Q169" s="24"/>
    </row>
    <row r="170" spans="2:17" x14ac:dyDescent="0.3">
      <c r="B170" s="57" t="s">
        <v>91</v>
      </c>
      <c r="C170" s="28"/>
      <c r="D170" s="28"/>
      <c r="E170" s="28"/>
      <c r="F170" s="34"/>
      <c r="G170" s="28"/>
      <c r="H170" s="35"/>
      <c r="I170" s="28"/>
      <c r="J170" s="28"/>
      <c r="K170" s="28"/>
      <c r="L170" s="34"/>
      <c r="M170" s="28"/>
      <c r="N170" s="35"/>
      <c r="O170" s="34"/>
      <c r="P170" s="28"/>
      <c r="Q170" s="24"/>
    </row>
    <row r="171" spans="2:17" x14ac:dyDescent="0.3">
      <c r="B171" s="57" t="s">
        <v>91</v>
      </c>
      <c r="C171" s="28"/>
      <c r="D171" s="28"/>
      <c r="E171" s="28"/>
      <c r="F171" s="34"/>
      <c r="G171" s="28"/>
      <c r="H171" s="35"/>
      <c r="I171" s="28"/>
      <c r="J171" s="28"/>
      <c r="K171" s="28"/>
      <c r="L171" s="34"/>
      <c r="M171" s="28"/>
      <c r="N171" s="35"/>
      <c r="O171" s="34"/>
      <c r="P171" s="28"/>
      <c r="Q171" s="24"/>
    </row>
    <row r="172" spans="2:17" x14ac:dyDescent="0.3">
      <c r="B172" s="58" t="s">
        <v>50</v>
      </c>
      <c r="C172" s="29">
        <f>SUM(C161:C171)</f>
        <v>0</v>
      </c>
      <c r="D172" s="29">
        <f t="shared" ref="D172:Q172" si="6">SUM(D161:D171)</f>
        <v>0</v>
      </c>
      <c r="E172" s="29">
        <f t="shared" si="6"/>
        <v>0</v>
      </c>
      <c r="F172" s="29">
        <f t="shared" si="6"/>
        <v>0</v>
      </c>
      <c r="G172" s="29">
        <f t="shared" si="6"/>
        <v>0</v>
      </c>
      <c r="H172" s="29">
        <f t="shared" si="6"/>
        <v>0</v>
      </c>
      <c r="I172" s="29">
        <f t="shared" si="6"/>
        <v>0</v>
      </c>
      <c r="J172" s="29">
        <f t="shared" si="6"/>
        <v>0</v>
      </c>
      <c r="K172" s="29">
        <f t="shared" si="6"/>
        <v>0</v>
      </c>
      <c r="L172" s="29">
        <f t="shared" si="6"/>
        <v>0</v>
      </c>
      <c r="M172" s="29">
        <f t="shared" si="6"/>
        <v>0</v>
      </c>
      <c r="N172" s="29">
        <f t="shared" si="6"/>
        <v>0</v>
      </c>
      <c r="O172" s="29">
        <f t="shared" si="6"/>
        <v>0</v>
      </c>
      <c r="P172" s="29">
        <f t="shared" si="6"/>
        <v>0</v>
      </c>
      <c r="Q172" s="59">
        <f t="shared" si="6"/>
        <v>0</v>
      </c>
    </row>
    <row r="173" spans="2:17" x14ac:dyDescent="0.3">
      <c r="B173" s="60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61"/>
    </row>
    <row r="174" spans="2:17" x14ac:dyDescent="0.3">
      <c r="B174" s="62" t="s">
        <v>49</v>
      </c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4"/>
    </row>
    <row r="175" spans="2:17" x14ac:dyDescent="0.3">
      <c r="B175" s="62" t="s">
        <v>48</v>
      </c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4"/>
    </row>
    <row r="176" spans="2:17" x14ac:dyDescent="0.3">
      <c r="B176" s="62" t="s">
        <v>51</v>
      </c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4"/>
    </row>
    <row r="177" spans="2:17" x14ac:dyDescent="0.3">
      <c r="B177" s="63" t="s">
        <v>52</v>
      </c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5"/>
    </row>
    <row r="178" spans="2:17" x14ac:dyDescent="0.3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</row>
    <row r="180" spans="2:17" s="7" customFormat="1" x14ac:dyDescent="0.3">
      <c r="B180" s="49" t="s">
        <v>54</v>
      </c>
    </row>
    <row r="181" spans="2:17" x14ac:dyDescent="0.3">
      <c r="B181" s="3"/>
    </row>
    <row r="182" spans="2:17" x14ac:dyDescent="0.3">
      <c r="B182" s="23" t="s">
        <v>53</v>
      </c>
    </row>
    <row r="183" spans="2:17" x14ac:dyDescent="0.3">
      <c r="B183" s="3" t="s">
        <v>56</v>
      </c>
      <c r="C183" s="47" t="s">
        <v>55</v>
      </c>
    </row>
    <row r="184" spans="2:17" x14ac:dyDescent="0.3">
      <c r="B184" s="3" t="s">
        <v>57</v>
      </c>
      <c r="C184" s="48" t="s">
        <v>58</v>
      </c>
    </row>
    <row r="185" spans="2:17" x14ac:dyDescent="0.3">
      <c r="B185" s="3"/>
    </row>
    <row r="186" spans="2:17" x14ac:dyDescent="0.3">
      <c r="B186" s="3" t="s">
        <v>59</v>
      </c>
      <c r="C186" s="47" t="s">
        <v>61</v>
      </c>
    </row>
    <row r="187" spans="2:17" x14ac:dyDescent="0.3">
      <c r="B187" s="3" t="s">
        <v>60</v>
      </c>
      <c r="C187" s="47" t="s">
        <v>62</v>
      </c>
    </row>
    <row r="188" spans="2:17" x14ac:dyDescent="0.3">
      <c r="B188" s="3"/>
    </row>
    <row r="189" spans="2:17" x14ac:dyDescent="0.3">
      <c r="B189" s="3" t="s">
        <v>63</v>
      </c>
      <c r="C189" s="47" t="s">
        <v>108</v>
      </c>
    </row>
    <row r="190" spans="2:17" x14ac:dyDescent="0.3">
      <c r="B190" s="3" t="s">
        <v>64</v>
      </c>
      <c r="C190" s="47" t="s">
        <v>107</v>
      </c>
    </row>
    <row r="191" spans="2:17" x14ac:dyDescent="0.3">
      <c r="B191" s="3"/>
    </row>
    <row r="192" spans="2:17" x14ac:dyDescent="0.3">
      <c r="B192" s="3" t="s">
        <v>65</v>
      </c>
      <c r="C192" s="47" t="s">
        <v>109</v>
      </c>
    </row>
    <row r="193" spans="2:3" x14ac:dyDescent="0.3">
      <c r="B193" s="3" t="s">
        <v>66</v>
      </c>
      <c r="C193" s="47" t="s">
        <v>110</v>
      </c>
    </row>
    <row r="195" spans="2:3" x14ac:dyDescent="0.3">
      <c r="B195" s="23" t="s">
        <v>218</v>
      </c>
    </row>
    <row r="196" spans="2:3" x14ac:dyDescent="0.3">
      <c r="B196" s="3" t="s">
        <v>221</v>
      </c>
      <c r="C196" s="47" t="s">
        <v>224</v>
      </c>
    </row>
    <row r="197" spans="2:3" x14ac:dyDescent="0.3">
      <c r="B197" s="3" t="s">
        <v>223</v>
      </c>
      <c r="C197" s="47" t="s">
        <v>224</v>
      </c>
    </row>
    <row r="199" spans="2:3" x14ac:dyDescent="0.3">
      <c r="B199" s="8" t="s">
        <v>219</v>
      </c>
    </row>
    <row r="200" spans="2:3" x14ac:dyDescent="0.3">
      <c r="B200" s="3" t="s">
        <v>222</v>
      </c>
      <c r="C200" s="47"/>
    </row>
    <row r="201" spans="2:3" x14ac:dyDescent="0.3">
      <c r="B201" s="3" t="s">
        <v>60</v>
      </c>
      <c r="C201" s="47"/>
    </row>
    <row r="203" spans="2:3" x14ac:dyDescent="0.3">
      <c r="B203" s="8" t="s">
        <v>220</v>
      </c>
    </row>
    <row r="204" spans="2:3" x14ac:dyDescent="0.3">
      <c r="B204" s="3" t="s">
        <v>222</v>
      </c>
      <c r="C204" s="47"/>
    </row>
    <row r="205" spans="2:3" x14ac:dyDescent="0.3">
      <c r="B205" s="3" t="s">
        <v>60</v>
      </c>
      <c r="C205" s="47"/>
    </row>
    <row r="211" spans="3:7" x14ac:dyDescent="0.3">
      <c r="C211" s="66"/>
      <c r="D211" s="66"/>
      <c r="E211" s="66"/>
      <c r="F211" s="66"/>
      <c r="G211" s="66"/>
    </row>
    <row r="213" spans="3:7" x14ac:dyDescent="0.3">
      <c r="C213" s="123"/>
      <c r="D213" s="123"/>
    </row>
    <row r="214" spans="3:7" x14ac:dyDescent="0.3">
      <c r="C214" s="66"/>
      <c r="D214" s="66"/>
    </row>
    <row r="215" spans="3:7" x14ac:dyDescent="0.3">
      <c r="C215" s="123"/>
      <c r="D215" s="123"/>
    </row>
    <row r="216" spans="3:7" x14ac:dyDescent="0.3">
      <c r="C216" s="66"/>
    </row>
    <row r="217" spans="3:7" x14ac:dyDescent="0.3">
      <c r="C217" s="122"/>
    </row>
  </sheetData>
  <mergeCells count="6">
    <mergeCell ref="O4:Q4"/>
    <mergeCell ref="B4:B5"/>
    <mergeCell ref="C4:E4"/>
    <mergeCell ref="F4:H4"/>
    <mergeCell ref="I4:K4"/>
    <mergeCell ref="L4:N4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sensitivity analysis</vt:lpstr>
      <vt:lpstr>PL-CONS</vt:lpstr>
      <vt:lpstr>PL-Corp</vt:lpstr>
      <vt:lpstr>PL-D2C</vt:lpstr>
      <vt:lpstr>PL Assumption</vt:lpstr>
      <vt:lpstr>COGS</vt:lpstr>
      <vt:lpstr>Ppl Cost_Original</vt:lpstr>
      <vt:lpstr>Ppl Cost (D2C &amp; Corp.)</vt:lpstr>
      <vt:lpstr>Revenue-D2C</vt:lpstr>
      <vt:lpstr>FA</vt:lpstr>
      <vt:lpstr>BS Assumption</vt:lpstr>
      <vt:lpstr>FA Loan </vt:lpstr>
      <vt:lpstr>BS</vt:lpstr>
      <vt:lpstr>CFS</vt:lpstr>
      <vt:lpstr>People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PRAMILA LAKRA</dc:creator>
  <cp:lastModifiedBy>Balasubramanian</cp:lastModifiedBy>
  <cp:lastPrinted>2022-10-25T10:35:58Z</cp:lastPrinted>
  <dcterms:created xsi:type="dcterms:W3CDTF">2022-08-22T07:43:39Z</dcterms:created>
  <dcterms:modified xsi:type="dcterms:W3CDTF">2023-02-02T05:58:34Z</dcterms:modified>
</cp:coreProperties>
</file>