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15" windowWidth="19395" windowHeight="7155" firstSheet="5" activeTab="25"/>
  </bookViews>
  <sheets>
    <sheet name="01" sheetId="1" r:id="rId1"/>
    <sheet name="02" sheetId="2" r:id="rId2"/>
    <sheet name="04" sheetId="3" r:id="rId3"/>
    <sheet name="05" sheetId="4" r:id="rId4"/>
    <sheet name="06" sheetId="5" r:id="rId5"/>
    <sheet name="07" sheetId="6" r:id="rId6"/>
    <sheet name="08" sheetId="7" r:id="rId7"/>
    <sheet name="09" sheetId="8" r:id="rId8"/>
    <sheet name="11" sheetId="9" r:id="rId9"/>
    <sheet name="12" sheetId="10" r:id="rId10"/>
    <sheet name="13" sheetId="11" r:id="rId11"/>
    <sheet name="14" sheetId="12" r:id="rId12"/>
    <sheet name="15" sheetId="13" r:id="rId13"/>
    <sheet name="16" sheetId="14" r:id="rId14"/>
    <sheet name="18" sheetId="15" r:id="rId15"/>
    <sheet name="19" sheetId="17" r:id="rId16"/>
    <sheet name="20" sheetId="18" r:id="rId17"/>
    <sheet name="21" sheetId="19" r:id="rId18"/>
    <sheet name="22" sheetId="20" r:id="rId19"/>
    <sheet name="23" sheetId="21" r:id="rId20"/>
    <sheet name="25" sheetId="22" r:id="rId21"/>
    <sheet name="26" sheetId="23" r:id="rId22"/>
    <sheet name="27" sheetId="24" r:id="rId23"/>
    <sheet name="28" sheetId="25" r:id="rId24"/>
    <sheet name="29" sheetId="26" r:id="rId25"/>
    <sheet name="30" sheetId="27" r:id="rId26"/>
    <sheet name="Sheet2" sheetId="16" r:id="rId27"/>
  </sheets>
  <definedNames>
    <definedName name="_xlnm.Print_Area" localSheetId="0">'01'!$A$1:$AO$20</definedName>
    <definedName name="_xlnm.Print_Area" localSheetId="1">'02'!$A$1:$AO$20</definedName>
    <definedName name="_xlnm.Print_Area" localSheetId="2">'04'!$A$1:$AO$20</definedName>
    <definedName name="_xlnm.Print_Area" localSheetId="3">'05'!$A$1:$AO$24</definedName>
    <definedName name="_xlnm.Print_Area" localSheetId="4">'06'!$A$1:$AO$24</definedName>
    <definedName name="_xlnm.Print_Area" localSheetId="5">'07'!$A$1:$AO$24</definedName>
    <definedName name="_xlnm.Print_Area" localSheetId="6">'08'!$A$1:$AO$24</definedName>
    <definedName name="_xlnm.Print_Area" localSheetId="7">'09'!$A$1:$AO$24</definedName>
    <definedName name="_xlnm.Print_Area" localSheetId="8">'11'!$A$1:$AO$24</definedName>
    <definedName name="_xlnm.Print_Area" localSheetId="9">'12'!$A$1:$AO$24</definedName>
    <definedName name="_xlnm.Print_Area" localSheetId="10">'13'!$A$1:$AO$24</definedName>
    <definedName name="_xlnm.Print_Area" localSheetId="11">'14'!$A$1:$AO$24</definedName>
    <definedName name="_xlnm.Print_Area" localSheetId="12">'15'!$A$1:$AO$24</definedName>
    <definedName name="_xlnm.Print_Area" localSheetId="13">'16'!$A$1:$AO$29</definedName>
    <definedName name="_xlnm.Print_Area" localSheetId="14">'18'!$A$1:$AO$37</definedName>
    <definedName name="_xlnm.Print_Area" localSheetId="15">'19'!$A$1:$AO$37</definedName>
    <definedName name="_xlnm.Print_Area" localSheetId="16">'20'!$A$1:$AO$37</definedName>
    <definedName name="_xlnm.Print_Area" localSheetId="17">'21'!$A$1:$AO$37</definedName>
    <definedName name="_xlnm.Print_Area" localSheetId="18">'22'!$A$1:$AO$37</definedName>
    <definedName name="_xlnm.Print_Area" localSheetId="19">'23'!$A$1:$AO$37</definedName>
    <definedName name="_xlnm.Print_Area" localSheetId="20">'25'!$A$1:$AO$37</definedName>
    <definedName name="_xlnm.Print_Area" localSheetId="21">'26'!$A$1:$AO$41</definedName>
    <definedName name="_xlnm.Print_Area" localSheetId="22">'27'!$A$1:$AO$41</definedName>
    <definedName name="_xlnm.Print_Area" localSheetId="23">'28'!$A$1:$AO$45</definedName>
    <definedName name="_xlnm.Print_Area" localSheetId="24">'29'!$A$1:$AO$45</definedName>
    <definedName name="_xlnm.Print_Area" localSheetId="25">'30'!$A$1:$AO$45</definedName>
  </definedNames>
  <calcPr calcId="144525"/>
</workbook>
</file>

<file path=xl/calcChain.xml><?xml version="1.0" encoding="utf-8"?>
<calcChain xmlns="http://schemas.openxmlformats.org/spreadsheetml/2006/main">
  <c r="AL32" i="27" l="1"/>
  <c r="AL28" i="27"/>
  <c r="AJ32" i="27"/>
  <c r="AJ28" i="27"/>
  <c r="AH32" i="27"/>
  <c r="AH28" i="27"/>
  <c r="AE28" i="27"/>
  <c r="J32" i="27" l="1"/>
  <c r="G34" i="27"/>
  <c r="P29" i="27" l="1"/>
  <c r="Q29" i="27" s="1"/>
  <c r="M29" i="27"/>
  <c r="P30" i="27"/>
  <c r="M30" i="27"/>
  <c r="Z30" i="27"/>
  <c r="P28" i="27"/>
  <c r="M28" i="27"/>
  <c r="N28" i="27" s="1"/>
  <c r="AK41" i="27"/>
  <c r="AK43" i="27" s="1"/>
  <c r="AI41" i="27"/>
  <c r="AG41" i="27"/>
  <c r="AF41" i="27"/>
  <c r="X41" i="27"/>
  <c r="X43" i="27" s="1"/>
  <c r="U41" i="27"/>
  <c r="L41" i="27"/>
  <c r="I41" i="27"/>
  <c r="E41" i="27"/>
  <c r="AA40" i="27"/>
  <c r="AA41" i="27" s="1"/>
  <c r="X40" i="27"/>
  <c r="V40" i="27"/>
  <c r="V41" i="27" s="1"/>
  <c r="U40" i="27"/>
  <c r="R40" i="27"/>
  <c r="R41" i="27" s="1"/>
  <c r="O40" i="27"/>
  <c r="O41" i="27" s="1"/>
  <c r="L40" i="27"/>
  <c r="J40" i="27"/>
  <c r="J41" i="27" s="1"/>
  <c r="I40" i="27"/>
  <c r="F40" i="27"/>
  <c r="F41" i="27" s="1"/>
  <c r="E40" i="27"/>
  <c r="AB39" i="27"/>
  <c r="AC39" i="27" s="1"/>
  <c r="Z39" i="27"/>
  <c r="Y39" i="27"/>
  <c r="V39" i="27"/>
  <c r="W39" i="27" s="1"/>
  <c r="T39" i="27"/>
  <c r="S39" i="27"/>
  <c r="P39" i="27"/>
  <c r="Q39" i="27" s="1"/>
  <c r="N39" i="27"/>
  <c r="M39" i="27"/>
  <c r="J39" i="27"/>
  <c r="K39" i="27" s="1"/>
  <c r="H39" i="27"/>
  <c r="G39" i="27"/>
  <c r="AB38" i="27"/>
  <c r="AC38" i="27" s="1"/>
  <c r="Z38" i="27"/>
  <c r="Y38" i="27"/>
  <c r="V38" i="27"/>
  <c r="W38" i="27" s="1"/>
  <c r="T38" i="27"/>
  <c r="S38" i="27"/>
  <c r="P38" i="27"/>
  <c r="Q38" i="27" s="1"/>
  <c r="N38" i="27"/>
  <c r="M38" i="27"/>
  <c r="J38" i="27"/>
  <c r="K38" i="27" s="1"/>
  <c r="H38" i="27"/>
  <c r="G38" i="27"/>
  <c r="AM37" i="27"/>
  <c r="AL37" i="27"/>
  <c r="AL41" i="27" s="1"/>
  <c r="AJ37" i="27"/>
  <c r="AJ41" i="27" s="1"/>
  <c r="AH37" i="27"/>
  <c r="AH41" i="27" s="1"/>
  <c r="AE37" i="27"/>
  <c r="AE41" i="27" s="1"/>
  <c r="AD37" i="27"/>
  <c r="AD41" i="27" s="1"/>
  <c r="AB37" i="27"/>
  <c r="AB40" i="27" s="1"/>
  <c r="AB41" i="27" s="1"/>
  <c r="Y37" i="27"/>
  <c r="Z37" i="27" s="1"/>
  <c r="Z40" i="27" s="1"/>
  <c r="Z41" i="27" s="1"/>
  <c r="V37" i="27"/>
  <c r="S37" i="27"/>
  <c r="S40" i="27" s="1"/>
  <c r="S41" i="27" s="1"/>
  <c r="P37" i="27"/>
  <c r="P40" i="27" s="1"/>
  <c r="P41" i="27" s="1"/>
  <c r="M37" i="27"/>
  <c r="N37" i="27" s="1"/>
  <c r="N40" i="27" s="1"/>
  <c r="N41" i="27" s="1"/>
  <c r="J37" i="27"/>
  <c r="G37" i="27"/>
  <c r="G40" i="27" s="1"/>
  <c r="G41" i="27" s="1"/>
  <c r="AK36" i="27"/>
  <c r="AI36" i="27"/>
  <c r="AG36" i="27"/>
  <c r="AF36" i="27"/>
  <c r="AC35" i="27"/>
  <c r="AB35" i="27"/>
  <c r="AA35" i="27"/>
  <c r="Y35" i="27"/>
  <c r="X35" i="27"/>
  <c r="V35" i="27"/>
  <c r="U35" i="27"/>
  <c r="S35" i="27"/>
  <c r="R35" i="27"/>
  <c r="Q35" i="27"/>
  <c r="P35" i="27"/>
  <c r="O35" i="27"/>
  <c r="M35" i="27"/>
  <c r="L35" i="27"/>
  <c r="J35" i="27"/>
  <c r="I35" i="27"/>
  <c r="F35" i="27"/>
  <c r="E35" i="27"/>
  <c r="AC34" i="27"/>
  <c r="Z34" i="27"/>
  <c r="W34" i="27"/>
  <c r="T34" i="27"/>
  <c r="Q34" i="27"/>
  <c r="N34" i="27"/>
  <c r="K34" i="27"/>
  <c r="H34" i="27"/>
  <c r="AC33" i="27"/>
  <c r="Z33" i="27"/>
  <c r="Z35" i="27" s="1"/>
  <c r="W33" i="27"/>
  <c r="T33" i="27"/>
  <c r="Q33" i="27"/>
  <c r="N33" i="27"/>
  <c r="K33" i="27"/>
  <c r="G33" i="27"/>
  <c r="H33" i="27" s="1"/>
  <c r="AM32" i="27"/>
  <c r="AN32" i="27"/>
  <c r="AD32" i="27"/>
  <c r="AC32" i="27"/>
  <c r="Z32" i="27"/>
  <c r="W32" i="27"/>
  <c r="T32" i="27"/>
  <c r="T35" i="27" s="1"/>
  <c r="Q32" i="27"/>
  <c r="K32" i="27"/>
  <c r="N32" i="27"/>
  <c r="G32" i="27"/>
  <c r="G35" i="27" s="1"/>
  <c r="AC31" i="27"/>
  <c r="AB31" i="27"/>
  <c r="AA31" i="27"/>
  <c r="Y31" i="27"/>
  <c r="X31" i="27"/>
  <c r="V31" i="27"/>
  <c r="U31" i="27"/>
  <c r="S31" i="27"/>
  <c r="R31" i="27"/>
  <c r="O31" i="27"/>
  <c r="L31" i="27"/>
  <c r="AM28" i="27" s="1"/>
  <c r="I31" i="27"/>
  <c r="F31" i="27"/>
  <c r="E31" i="27"/>
  <c r="AC30" i="27"/>
  <c r="W30" i="27"/>
  <c r="T30" i="27"/>
  <c r="J30" i="27"/>
  <c r="G30" i="27"/>
  <c r="AC29" i="27"/>
  <c r="W29" i="27"/>
  <c r="T29" i="27"/>
  <c r="J29" i="27"/>
  <c r="H29" i="27"/>
  <c r="G29" i="27"/>
  <c r="AD28" i="27"/>
  <c r="AC28" i="27"/>
  <c r="W28" i="27"/>
  <c r="W31" i="27" s="1"/>
  <c r="T28" i="27"/>
  <c r="Z28" i="27"/>
  <c r="J28" i="27"/>
  <c r="H28" i="27"/>
  <c r="G28" i="27"/>
  <c r="AB27" i="27"/>
  <c r="AA27" i="27"/>
  <c r="Y27" i="27"/>
  <c r="X27" i="27"/>
  <c r="U27" i="27"/>
  <c r="R27" i="27"/>
  <c r="O27" i="27"/>
  <c r="L27" i="27"/>
  <c r="I27" i="27"/>
  <c r="F27" i="27"/>
  <c r="E27" i="27"/>
  <c r="AC26" i="27"/>
  <c r="Z26" i="27"/>
  <c r="W26" i="27"/>
  <c r="S26" i="27"/>
  <c r="T26" i="27" s="1"/>
  <c r="Q26" i="27"/>
  <c r="P26" i="27"/>
  <c r="M26" i="27"/>
  <c r="N26" i="27" s="1"/>
  <c r="K26" i="27"/>
  <c r="J26" i="27"/>
  <c r="G26" i="27"/>
  <c r="H26" i="27" s="1"/>
  <c r="AC25" i="27"/>
  <c r="Z25" i="27"/>
  <c r="S25" i="27"/>
  <c r="Q25" i="27"/>
  <c r="P25" i="27"/>
  <c r="M25" i="27"/>
  <c r="N25" i="27" s="1"/>
  <c r="K25" i="27"/>
  <c r="J25" i="27"/>
  <c r="G25" i="27"/>
  <c r="H25" i="27" s="1"/>
  <c r="AC24" i="27"/>
  <c r="V24" i="27"/>
  <c r="W24" i="27" s="1"/>
  <c r="T24" i="27"/>
  <c r="S24" i="27"/>
  <c r="P24" i="27"/>
  <c r="N24" i="27"/>
  <c r="M24" i="27"/>
  <c r="J24" i="27"/>
  <c r="K24" i="27" s="1"/>
  <c r="H24" i="27"/>
  <c r="G24" i="27"/>
  <c r="AC23" i="27"/>
  <c r="Z23" i="27"/>
  <c r="V23" i="27"/>
  <c r="S23" i="27"/>
  <c r="T23" i="27" s="1"/>
  <c r="P23" i="27"/>
  <c r="M23" i="27"/>
  <c r="N23" i="27" s="1"/>
  <c r="K23" i="27"/>
  <c r="J23" i="27"/>
  <c r="G23" i="27"/>
  <c r="H23" i="27" s="1"/>
  <c r="AC22" i="27"/>
  <c r="V22" i="27"/>
  <c r="S22" i="27"/>
  <c r="P22" i="27"/>
  <c r="T22" i="27" s="1"/>
  <c r="N22" i="27"/>
  <c r="M22" i="27"/>
  <c r="J22" i="27"/>
  <c r="K22" i="27" s="1"/>
  <c r="H22" i="27"/>
  <c r="G22" i="27"/>
  <c r="AC21" i="27"/>
  <c r="Z21" i="27"/>
  <c r="W21" i="27"/>
  <c r="S21" i="27"/>
  <c r="T21" i="27" s="1"/>
  <c r="P21" i="27"/>
  <c r="Q21" i="27" s="1"/>
  <c r="M21" i="27"/>
  <c r="N21" i="27" s="1"/>
  <c r="K21" i="27"/>
  <c r="J21" i="27"/>
  <c r="G21" i="27"/>
  <c r="H21" i="27" s="1"/>
  <c r="AM20" i="27"/>
  <c r="AL20" i="27"/>
  <c r="AJ20" i="27"/>
  <c r="AH20" i="27"/>
  <c r="AE20" i="27"/>
  <c r="AD20" i="27"/>
  <c r="AC20" i="27"/>
  <c r="AC27" i="27" s="1"/>
  <c r="Z20" i="27"/>
  <c r="W20" i="27"/>
  <c r="V20" i="27"/>
  <c r="S20" i="27"/>
  <c r="T20" i="27" s="1"/>
  <c r="Q20" i="27"/>
  <c r="P20" i="27"/>
  <c r="P27" i="27" s="1"/>
  <c r="M20" i="27"/>
  <c r="J20" i="27"/>
  <c r="G20" i="27"/>
  <c r="H20" i="27" s="1"/>
  <c r="H27" i="27" s="1"/>
  <c r="AA19" i="27"/>
  <c r="AA36" i="27" s="1"/>
  <c r="Y19" i="27"/>
  <c r="Y36" i="27" s="1"/>
  <c r="X19" i="27"/>
  <c r="X36" i="27" s="1"/>
  <c r="U19" i="27"/>
  <c r="U36" i="27" s="1"/>
  <c r="R19" i="27"/>
  <c r="R36" i="27" s="1"/>
  <c r="O19" i="27"/>
  <c r="L19" i="27"/>
  <c r="L36" i="27" s="1"/>
  <c r="I19" i="27"/>
  <c r="I36" i="27" s="1"/>
  <c r="F19" i="27"/>
  <c r="F36" i="27" s="1"/>
  <c r="E19" i="27"/>
  <c r="E36" i="27" s="1"/>
  <c r="AC18" i="27"/>
  <c r="V18" i="27"/>
  <c r="W18" i="27" s="1"/>
  <c r="S18" i="27"/>
  <c r="P18" i="27"/>
  <c r="Z18" i="27" s="1"/>
  <c r="M18" i="27"/>
  <c r="N18" i="27" s="1"/>
  <c r="J18" i="27"/>
  <c r="K18" i="27" s="1"/>
  <c r="G18" i="27"/>
  <c r="H18" i="27" s="1"/>
  <c r="AC17" i="27"/>
  <c r="AB17" i="27"/>
  <c r="Y17" i="27"/>
  <c r="V17" i="27"/>
  <c r="W17" i="27" s="1"/>
  <c r="S17" i="27"/>
  <c r="P17" i="27"/>
  <c r="Q17" i="27" s="1"/>
  <c r="M17" i="27"/>
  <c r="N17" i="27" s="1"/>
  <c r="J17" i="27"/>
  <c r="K17" i="27" s="1"/>
  <c r="G17" i="27"/>
  <c r="H17" i="27" s="1"/>
  <c r="AC16" i="27"/>
  <c r="AB16" i="27"/>
  <c r="Y16" i="27"/>
  <c r="V16" i="27"/>
  <c r="W16" i="27" s="1"/>
  <c r="S16" i="27"/>
  <c r="P16" i="27"/>
  <c r="Q16" i="27" s="1"/>
  <c r="M16" i="27"/>
  <c r="N16" i="27" s="1"/>
  <c r="J16" i="27"/>
  <c r="K16" i="27" s="1"/>
  <c r="G16" i="27"/>
  <c r="H16" i="27" s="1"/>
  <c r="AC15" i="27"/>
  <c r="AB15" i="27"/>
  <c r="Y15" i="27"/>
  <c r="V15" i="27"/>
  <c r="W15" i="27" s="1"/>
  <c r="S15" i="27"/>
  <c r="P15" i="27"/>
  <c r="Q15" i="27" s="1"/>
  <c r="M15" i="27"/>
  <c r="N15" i="27" s="1"/>
  <c r="J15" i="27"/>
  <c r="K15" i="27" s="1"/>
  <c r="G15" i="27"/>
  <c r="H15" i="27" s="1"/>
  <c r="AC14" i="27"/>
  <c r="AB14" i="27"/>
  <c r="Y14" i="27"/>
  <c r="V14" i="27"/>
  <c r="W14" i="27" s="1"/>
  <c r="S14" i="27"/>
  <c r="P14" i="27"/>
  <c r="Q14" i="27" s="1"/>
  <c r="M14" i="27"/>
  <c r="N14" i="27" s="1"/>
  <c r="J14" i="27"/>
  <c r="K14" i="27" s="1"/>
  <c r="G14" i="27"/>
  <c r="H14" i="27" s="1"/>
  <c r="AC13" i="27"/>
  <c r="AB13" i="27"/>
  <c r="Y13" i="27"/>
  <c r="V13" i="27"/>
  <c r="W13" i="27" s="1"/>
  <c r="S13" i="27"/>
  <c r="P13" i="27"/>
  <c r="Q13" i="27" s="1"/>
  <c r="M13" i="27"/>
  <c r="N13" i="27" s="1"/>
  <c r="J13" i="27"/>
  <c r="K13" i="27" s="1"/>
  <c r="G13" i="27"/>
  <c r="H13" i="27" s="1"/>
  <c r="AC12" i="27"/>
  <c r="AB12" i="27"/>
  <c r="Y12" i="27"/>
  <c r="V12" i="27"/>
  <c r="W12" i="27" s="1"/>
  <c r="S12" i="27"/>
  <c r="T12" i="27" s="1"/>
  <c r="P12" i="27"/>
  <c r="Q12" i="27" s="1"/>
  <c r="M12" i="27"/>
  <c r="N12" i="27" s="1"/>
  <c r="J12" i="27"/>
  <c r="K12" i="27" s="1"/>
  <c r="G12" i="27"/>
  <c r="H12" i="27" s="1"/>
  <c r="AB11" i="27"/>
  <c r="AC11" i="27" s="1"/>
  <c r="Y11" i="27"/>
  <c r="Z11" i="27" s="1"/>
  <c r="V11" i="27"/>
  <c r="W11" i="27" s="1"/>
  <c r="S11" i="27"/>
  <c r="T11" i="27" s="1"/>
  <c r="P11" i="27"/>
  <c r="Q11" i="27" s="1"/>
  <c r="M11" i="27"/>
  <c r="N11" i="27" s="1"/>
  <c r="J11" i="27"/>
  <c r="K11" i="27" s="1"/>
  <c r="G11" i="27"/>
  <c r="H11" i="27" s="1"/>
  <c r="AB10" i="27"/>
  <c r="AC10" i="27" s="1"/>
  <c r="Y10" i="27"/>
  <c r="Z10" i="27" s="1"/>
  <c r="V10" i="27"/>
  <c r="W10" i="27" s="1"/>
  <c r="S10" i="27"/>
  <c r="T10" i="27" s="1"/>
  <c r="P10" i="27"/>
  <c r="Q10" i="27" s="1"/>
  <c r="M10" i="27"/>
  <c r="N10" i="27" s="1"/>
  <c r="J10" i="27"/>
  <c r="K10" i="27" s="1"/>
  <c r="G10" i="27"/>
  <c r="H10" i="27" s="1"/>
  <c r="AB9" i="27"/>
  <c r="AC9" i="27" s="1"/>
  <c r="Y9" i="27"/>
  <c r="Z9" i="27" s="1"/>
  <c r="V9" i="27"/>
  <c r="W9" i="27" s="1"/>
  <c r="S9" i="27"/>
  <c r="T9" i="27" s="1"/>
  <c r="P9" i="27"/>
  <c r="Q9" i="27" s="1"/>
  <c r="M9" i="27"/>
  <c r="N9" i="27" s="1"/>
  <c r="J9" i="27"/>
  <c r="K9" i="27" s="1"/>
  <c r="G9" i="27"/>
  <c r="H9" i="27" s="1"/>
  <c r="AB8" i="27"/>
  <c r="AC8" i="27" s="1"/>
  <c r="Y8" i="27"/>
  <c r="Z8" i="27" s="1"/>
  <c r="V8" i="27"/>
  <c r="W8" i="27" s="1"/>
  <c r="S8" i="27"/>
  <c r="T8" i="27" s="1"/>
  <c r="P8" i="27"/>
  <c r="Q8" i="27" s="1"/>
  <c r="M8" i="27"/>
  <c r="N8" i="27" s="1"/>
  <c r="J8" i="27"/>
  <c r="K8" i="27" s="1"/>
  <c r="G8" i="27"/>
  <c r="H8" i="27" s="1"/>
  <c r="AB7" i="27"/>
  <c r="AC7" i="27" s="1"/>
  <c r="Y7" i="27"/>
  <c r="Z7" i="27" s="1"/>
  <c r="V7" i="27"/>
  <c r="W7" i="27" s="1"/>
  <c r="S7" i="27"/>
  <c r="T7" i="27" s="1"/>
  <c r="P7" i="27"/>
  <c r="Q7" i="27" s="1"/>
  <c r="M7" i="27"/>
  <c r="N7" i="27" s="1"/>
  <c r="J7" i="27"/>
  <c r="K7" i="27" s="1"/>
  <c r="G7" i="27"/>
  <c r="H7" i="27" s="1"/>
  <c r="AM6" i="27"/>
  <c r="AL6" i="27"/>
  <c r="AL36" i="27" s="1"/>
  <c r="AJ6" i="27"/>
  <c r="AJ36" i="27" s="1"/>
  <c r="AH6" i="27"/>
  <c r="AH36" i="27" s="1"/>
  <c r="AE6" i="27"/>
  <c r="AE36" i="27" s="1"/>
  <c r="AD6" i="27"/>
  <c r="AB6" i="27"/>
  <c r="Z6" i="27"/>
  <c r="Y6" i="27"/>
  <c r="V6" i="27"/>
  <c r="V19" i="27" s="1"/>
  <c r="T6" i="27"/>
  <c r="S6" i="27"/>
  <c r="P6" i="27"/>
  <c r="N6" i="27"/>
  <c r="N19" i="27" s="1"/>
  <c r="M6" i="27"/>
  <c r="J6" i="27"/>
  <c r="J19" i="27" s="1"/>
  <c r="H6" i="27"/>
  <c r="G6" i="27"/>
  <c r="AI43" i="27" l="1"/>
  <c r="AM36" i="27"/>
  <c r="AG43" i="27"/>
  <c r="Z29" i="27"/>
  <c r="Z31" i="27" s="1"/>
  <c r="P31" i="27"/>
  <c r="AD36" i="27"/>
  <c r="AD43" i="27" s="1"/>
  <c r="M31" i="27"/>
  <c r="AN28" i="27" s="1"/>
  <c r="L43" i="27"/>
  <c r="V36" i="27"/>
  <c r="M19" i="27"/>
  <c r="AB19" i="27"/>
  <c r="AB36" i="27" s="1"/>
  <c r="K6" i="27"/>
  <c r="K19" i="27" s="1"/>
  <c r="Z12" i="27"/>
  <c r="Z19" i="27" s="1"/>
  <c r="Z13" i="27"/>
  <c r="Z14" i="27"/>
  <c r="Z15" i="27"/>
  <c r="Z17" i="27"/>
  <c r="Q18" i="27"/>
  <c r="O36" i="27"/>
  <c r="O43" i="27" s="1"/>
  <c r="K20" i="27"/>
  <c r="K27" i="27" s="1"/>
  <c r="W23" i="27"/>
  <c r="G19" i="27"/>
  <c r="S19" i="27"/>
  <c r="T13" i="27"/>
  <c r="T14" i="27"/>
  <c r="T15" i="27"/>
  <c r="T16" i="27"/>
  <c r="T19" i="27" s="1"/>
  <c r="T17" i="27"/>
  <c r="T18" i="27"/>
  <c r="N20" i="27"/>
  <c r="N27" i="27" s="1"/>
  <c r="M27" i="27"/>
  <c r="AN20" i="27" s="1"/>
  <c r="J27" i="27"/>
  <c r="Q23" i="27"/>
  <c r="J31" i="27"/>
  <c r="J36" i="27" s="1"/>
  <c r="T31" i="27"/>
  <c r="I43" i="27"/>
  <c r="W22" i="27"/>
  <c r="W27" i="27" s="1"/>
  <c r="V27" i="27"/>
  <c r="G27" i="27"/>
  <c r="H30" i="27"/>
  <c r="K30" i="27"/>
  <c r="F43" i="27"/>
  <c r="P19" i="27"/>
  <c r="P36" i="27" s="1"/>
  <c r="Q22" i="27"/>
  <c r="Q27" i="27" s="1"/>
  <c r="Z22" i="27"/>
  <c r="Z27" i="27" s="1"/>
  <c r="T25" i="27"/>
  <c r="W25" i="27"/>
  <c r="G31" i="27"/>
  <c r="N35" i="27"/>
  <c r="W35" i="27"/>
  <c r="R43" i="27"/>
  <c r="AA43" i="27"/>
  <c r="U43" i="27"/>
  <c r="H19" i="27"/>
  <c r="Q6" i="27"/>
  <c r="Q19" i="27" s="1"/>
  <c r="W6" i="27"/>
  <c r="W19" i="27" s="1"/>
  <c r="AC6" i="27"/>
  <c r="AC19" i="27" s="1"/>
  <c r="AC36" i="27" s="1"/>
  <c r="Z16" i="27"/>
  <c r="T27" i="27"/>
  <c r="Q24" i="27"/>
  <c r="Z24" i="27"/>
  <c r="S27" i="27"/>
  <c r="H31" i="27"/>
  <c r="K29" i="27"/>
  <c r="N29" i="27"/>
  <c r="N30" i="27"/>
  <c r="N31" i="27" s="1"/>
  <c r="Q30" i="27"/>
  <c r="K35" i="27"/>
  <c r="AE43" i="27"/>
  <c r="K28" i="27"/>
  <c r="K31" i="27" s="1"/>
  <c r="Q28" i="27"/>
  <c r="Q31" i="27" s="1"/>
  <c r="H32" i="27"/>
  <c r="H35" i="27" s="1"/>
  <c r="AM41" i="27"/>
  <c r="AM43" i="27" s="1"/>
  <c r="K37" i="27"/>
  <c r="K40" i="27" s="1"/>
  <c r="K41" i="27" s="1"/>
  <c r="Q37" i="27"/>
  <c r="Q40" i="27" s="1"/>
  <c r="Q41" i="27" s="1"/>
  <c r="W37" i="27"/>
  <c r="W40" i="27" s="1"/>
  <c r="W41" i="27" s="1"/>
  <c r="AC37" i="27"/>
  <c r="AC40" i="27" s="1"/>
  <c r="AC41" i="27" s="1"/>
  <c r="AC43" i="27" s="1"/>
  <c r="M40" i="27"/>
  <c r="Y40" i="27"/>
  <c r="Y41" i="27" s="1"/>
  <c r="H37" i="27"/>
  <c r="H40" i="27" s="1"/>
  <c r="H41" i="27" s="1"/>
  <c r="T37" i="27"/>
  <c r="T40" i="27" s="1"/>
  <c r="T41" i="27" s="1"/>
  <c r="AL32" i="26"/>
  <c r="AL28" i="26"/>
  <c r="AJ32" i="26"/>
  <c r="AJ28" i="26"/>
  <c r="AH32" i="26"/>
  <c r="AH28" i="26"/>
  <c r="AE28" i="26"/>
  <c r="J32" i="26"/>
  <c r="G34" i="26"/>
  <c r="G33" i="26"/>
  <c r="G32" i="26"/>
  <c r="P30" i="26"/>
  <c r="P28" i="26"/>
  <c r="Q28" i="26" s="1"/>
  <c r="M30" i="26"/>
  <c r="M28" i="26"/>
  <c r="P26" i="26"/>
  <c r="P25" i="26"/>
  <c r="P24" i="26"/>
  <c r="P23" i="26"/>
  <c r="P22" i="26"/>
  <c r="M21" i="26"/>
  <c r="J21" i="26"/>
  <c r="G21" i="26"/>
  <c r="P21" i="26"/>
  <c r="P20" i="26"/>
  <c r="T20" i="26" s="1"/>
  <c r="AK41" i="26"/>
  <c r="AI41" i="26"/>
  <c r="AG41" i="26"/>
  <c r="AF41" i="26"/>
  <c r="X41" i="26"/>
  <c r="L41" i="26"/>
  <c r="AA40" i="26"/>
  <c r="AA41" i="26" s="1"/>
  <c r="X40" i="26"/>
  <c r="V40" i="26"/>
  <c r="V41" i="26" s="1"/>
  <c r="U40" i="26"/>
  <c r="U41" i="26" s="1"/>
  <c r="R40" i="26"/>
  <c r="R41" i="26" s="1"/>
  <c r="O40" i="26"/>
  <c r="O41" i="26" s="1"/>
  <c r="L40" i="26"/>
  <c r="J40" i="26"/>
  <c r="J41" i="26" s="1"/>
  <c r="I40" i="26"/>
  <c r="I41" i="26" s="1"/>
  <c r="F40" i="26"/>
  <c r="F41" i="26" s="1"/>
  <c r="E40" i="26"/>
  <c r="E41" i="26" s="1"/>
  <c r="AB39" i="26"/>
  <c r="AC39" i="26" s="1"/>
  <c r="Y39" i="26"/>
  <c r="Z39" i="26" s="1"/>
  <c r="V39" i="26"/>
  <c r="W39" i="26" s="1"/>
  <c r="S39" i="26"/>
  <c r="T39" i="26" s="1"/>
  <c r="P39" i="26"/>
  <c r="Q39" i="26" s="1"/>
  <c r="M39" i="26"/>
  <c r="N39" i="26" s="1"/>
  <c r="J39" i="26"/>
  <c r="K39" i="26" s="1"/>
  <c r="G39" i="26"/>
  <c r="H39" i="26" s="1"/>
  <c r="AB38" i="26"/>
  <c r="AC38" i="26" s="1"/>
  <c r="Y38" i="26"/>
  <c r="Z38" i="26" s="1"/>
  <c r="V38" i="26"/>
  <c r="W38" i="26" s="1"/>
  <c r="S38" i="26"/>
  <c r="T38" i="26" s="1"/>
  <c r="P38" i="26"/>
  <c r="Q38" i="26" s="1"/>
  <c r="M38" i="26"/>
  <c r="N38" i="26" s="1"/>
  <c r="J38" i="26"/>
  <c r="K38" i="26" s="1"/>
  <c r="G38" i="26"/>
  <c r="H38" i="26" s="1"/>
  <c r="AM37" i="26"/>
  <c r="AL37" i="26"/>
  <c r="AL41" i="26" s="1"/>
  <c r="AJ37" i="26"/>
  <c r="AJ41" i="26" s="1"/>
  <c r="AH37" i="26"/>
  <c r="AH41" i="26" s="1"/>
  <c r="AE37" i="26"/>
  <c r="AE41" i="26" s="1"/>
  <c r="AD37" i="26"/>
  <c r="AD41" i="26" s="1"/>
  <c r="AC37" i="26"/>
  <c r="AC40" i="26" s="1"/>
  <c r="AC41" i="26" s="1"/>
  <c r="AB37" i="26"/>
  <c r="AB40" i="26" s="1"/>
  <c r="AB41" i="26" s="1"/>
  <c r="Y37" i="26"/>
  <c r="Z37" i="26" s="1"/>
  <c r="Z40" i="26" s="1"/>
  <c r="Z41" i="26" s="1"/>
  <c r="W37" i="26"/>
  <c r="V37" i="26"/>
  <c r="S37" i="26"/>
  <c r="S40" i="26" s="1"/>
  <c r="S41" i="26" s="1"/>
  <c r="Q37" i="26"/>
  <c r="Q40" i="26" s="1"/>
  <c r="Q41" i="26" s="1"/>
  <c r="P37" i="26"/>
  <c r="P40" i="26" s="1"/>
  <c r="P41" i="26" s="1"/>
  <c r="M37" i="26"/>
  <c r="N37" i="26" s="1"/>
  <c r="N40" i="26" s="1"/>
  <c r="N41" i="26" s="1"/>
  <c r="K37" i="26"/>
  <c r="J37" i="26"/>
  <c r="G37" i="26"/>
  <c r="G40" i="26" s="1"/>
  <c r="G41" i="26" s="1"/>
  <c r="AK36" i="26"/>
  <c r="AI36" i="26"/>
  <c r="AG36" i="26"/>
  <c r="AF36" i="26"/>
  <c r="AB35" i="26"/>
  <c r="AA35" i="26"/>
  <c r="Y35" i="26"/>
  <c r="X35" i="26"/>
  <c r="V35" i="26"/>
  <c r="U35" i="26"/>
  <c r="S35" i="26"/>
  <c r="R35" i="26"/>
  <c r="P35" i="26"/>
  <c r="O35" i="26"/>
  <c r="M35" i="26"/>
  <c r="AN32" i="26" s="1"/>
  <c r="L35" i="26"/>
  <c r="J35" i="26"/>
  <c r="I35" i="26"/>
  <c r="F35" i="26"/>
  <c r="E35" i="26"/>
  <c r="AC34" i="26"/>
  <c r="Z34" i="26"/>
  <c r="W34" i="26"/>
  <c r="T34" i="26"/>
  <c r="Q34" i="26"/>
  <c r="N34" i="26"/>
  <c r="K34" i="26"/>
  <c r="H34" i="26"/>
  <c r="AC33" i="26"/>
  <c r="Z33" i="26"/>
  <c r="W33" i="26"/>
  <c r="W35" i="26" s="1"/>
  <c r="T33" i="26"/>
  <c r="Q33" i="26"/>
  <c r="N33" i="26"/>
  <c r="K33" i="26"/>
  <c r="H33" i="26"/>
  <c r="AM32" i="26"/>
  <c r="AD32" i="26"/>
  <c r="AC32" i="26"/>
  <c r="AC35" i="26" s="1"/>
  <c r="Z32" i="26"/>
  <c r="Z35" i="26" s="1"/>
  <c r="W32" i="26"/>
  <c r="T32" i="26"/>
  <c r="T35" i="26" s="1"/>
  <c r="Q32" i="26"/>
  <c r="Q35" i="26" s="1"/>
  <c r="N32" i="26"/>
  <c r="N35" i="26" s="1"/>
  <c r="K32" i="26"/>
  <c r="H32" i="26"/>
  <c r="H35" i="26" s="1"/>
  <c r="G35" i="26"/>
  <c r="AB31" i="26"/>
  <c r="AA31" i="26"/>
  <c r="Y31" i="26"/>
  <c r="X31" i="26"/>
  <c r="V31" i="26"/>
  <c r="U31" i="26"/>
  <c r="S31" i="26"/>
  <c r="R31" i="26"/>
  <c r="P31" i="26"/>
  <c r="O31" i="26"/>
  <c r="M31" i="26"/>
  <c r="AN28" i="26" s="1"/>
  <c r="L31" i="26"/>
  <c r="AD28" i="26" s="1"/>
  <c r="I31" i="26"/>
  <c r="G31" i="26"/>
  <c r="F31" i="26"/>
  <c r="E31" i="26"/>
  <c r="AC30" i="26"/>
  <c r="Z30" i="26"/>
  <c r="W30" i="26"/>
  <c r="W31" i="26" s="1"/>
  <c r="T30" i="26"/>
  <c r="Q30" i="26"/>
  <c r="N30" i="26"/>
  <c r="K30" i="26"/>
  <c r="J30" i="26"/>
  <c r="G30" i="26"/>
  <c r="H30" i="26" s="1"/>
  <c r="AC29" i="26"/>
  <c r="Z29" i="26"/>
  <c r="W29" i="26"/>
  <c r="T29" i="26"/>
  <c r="Q29" i="26"/>
  <c r="J29" i="26"/>
  <c r="H29" i="26"/>
  <c r="G29" i="26"/>
  <c r="AC28" i="26"/>
  <c r="Z28" i="26"/>
  <c r="W28" i="26"/>
  <c r="T28" i="26"/>
  <c r="N28" i="26"/>
  <c r="J28" i="26"/>
  <c r="H28" i="26"/>
  <c r="H31" i="26" s="1"/>
  <c r="G28" i="26"/>
  <c r="AB27" i="26"/>
  <c r="AA27" i="26"/>
  <c r="Y27" i="26"/>
  <c r="X27" i="26"/>
  <c r="U27" i="26"/>
  <c r="R27" i="26"/>
  <c r="O27" i="26"/>
  <c r="I27" i="26"/>
  <c r="F27" i="26"/>
  <c r="E27" i="26"/>
  <c r="AC26" i="26"/>
  <c r="W26" i="26"/>
  <c r="S26" i="26"/>
  <c r="Q26" i="26"/>
  <c r="Z26" i="26"/>
  <c r="M26" i="26"/>
  <c r="N26" i="26" s="1"/>
  <c r="L27" i="26"/>
  <c r="AM20" i="26" s="1"/>
  <c r="K26" i="26"/>
  <c r="J26" i="26"/>
  <c r="G26" i="26"/>
  <c r="H26" i="26" s="1"/>
  <c r="AC25" i="26"/>
  <c r="T25" i="26"/>
  <c r="S25" i="26"/>
  <c r="W25" i="26" s="1"/>
  <c r="Z25" i="26"/>
  <c r="M25" i="26"/>
  <c r="N25" i="26" s="1"/>
  <c r="J25" i="26"/>
  <c r="K25" i="26" s="1"/>
  <c r="H25" i="26"/>
  <c r="G25" i="26"/>
  <c r="AC24" i="26"/>
  <c r="Z24" i="26"/>
  <c r="V24" i="26"/>
  <c r="S24" i="26"/>
  <c r="M24" i="26"/>
  <c r="N24" i="26" s="1"/>
  <c r="K24" i="26"/>
  <c r="J24" i="26"/>
  <c r="G24" i="26"/>
  <c r="H24" i="26" s="1"/>
  <c r="AC23" i="26"/>
  <c r="V23" i="26"/>
  <c r="W23" i="26" s="1"/>
  <c r="S23" i="26"/>
  <c r="N23" i="26"/>
  <c r="M23" i="26"/>
  <c r="J23" i="26"/>
  <c r="K23" i="26" s="1"/>
  <c r="H23" i="26"/>
  <c r="G23" i="26"/>
  <c r="AC22" i="26"/>
  <c r="Z22" i="26"/>
  <c r="W22" i="26"/>
  <c r="V22" i="26"/>
  <c r="S22" i="26"/>
  <c r="T22" i="26" s="1"/>
  <c r="M22" i="26"/>
  <c r="N22" i="26" s="1"/>
  <c r="J22" i="26"/>
  <c r="G22" i="26"/>
  <c r="H22" i="26" s="1"/>
  <c r="AC21" i="26"/>
  <c r="T21" i="26"/>
  <c r="S21" i="26"/>
  <c r="W21" i="26" s="1"/>
  <c r="Z21" i="26"/>
  <c r="N21" i="26"/>
  <c r="H21" i="26"/>
  <c r="G27" i="26"/>
  <c r="AL20" i="26"/>
  <c r="AJ20" i="26"/>
  <c r="AH20" i="26"/>
  <c r="AE20" i="26"/>
  <c r="AC20" i="26"/>
  <c r="V20" i="26"/>
  <c r="W20" i="26" s="1"/>
  <c r="S20" i="26"/>
  <c r="N20" i="26"/>
  <c r="M20" i="26"/>
  <c r="J20" i="26"/>
  <c r="K20" i="26" s="1"/>
  <c r="H20" i="26"/>
  <c r="G20" i="26"/>
  <c r="AA19" i="26"/>
  <c r="AA36" i="26" s="1"/>
  <c r="X19" i="26"/>
  <c r="X36" i="26" s="1"/>
  <c r="U19" i="26"/>
  <c r="R19" i="26"/>
  <c r="R36" i="26" s="1"/>
  <c r="O19" i="26"/>
  <c r="L19" i="26"/>
  <c r="I19" i="26"/>
  <c r="I36" i="26" s="1"/>
  <c r="F19" i="26"/>
  <c r="E19" i="26"/>
  <c r="E36" i="26" s="1"/>
  <c r="AC18" i="26"/>
  <c r="V18" i="26"/>
  <c r="W18" i="26" s="1"/>
  <c r="S18" i="26"/>
  <c r="T18" i="26" s="1"/>
  <c r="P18" i="26"/>
  <c r="N18" i="26"/>
  <c r="M18" i="26"/>
  <c r="J18" i="26"/>
  <c r="G18" i="26"/>
  <c r="H18" i="26" s="1"/>
  <c r="AB17" i="26"/>
  <c r="AC17" i="26" s="1"/>
  <c r="Z17" i="26"/>
  <c r="Y17" i="26"/>
  <c r="V17" i="26"/>
  <c r="W17" i="26" s="1"/>
  <c r="S17" i="26"/>
  <c r="T17" i="26" s="1"/>
  <c r="P17" i="26"/>
  <c r="N17" i="26"/>
  <c r="M17" i="26"/>
  <c r="J17" i="26"/>
  <c r="G17" i="26"/>
  <c r="H17" i="26" s="1"/>
  <c r="AB16" i="26"/>
  <c r="AC16" i="26" s="1"/>
  <c r="Z16" i="26"/>
  <c r="Y16" i="26"/>
  <c r="V16" i="26"/>
  <c r="W16" i="26" s="1"/>
  <c r="S16" i="26"/>
  <c r="T16" i="26" s="1"/>
  <c r="P16" i="26"/>
  <c r="N16" i="26"/>
  <c r="M16" i="26"/>
  <c r="J16" i="26"/>
  <c r="G16" i="26"/>
  <c r="H16" i="26" s="1"/>
  <c r="AB15" i="26"/>
  <c r="AC15" i="26" s="1"/>
  <c r="Z15" i="26"/>
  <c r="Y15" i="26"/>
  <c r="V15" i="26"/>
  <c r="W15" i="26" s="1"/>
  <c r="S15" i="26"/>
  <c r="T15" i="26" s="1"/>
  <c r="P15" i="26"/>
  <c r="N15" i="26"/>
  <c r="M15" i="26"/>
  <c r="J15" i="26"/>
  <c r="G15" i="26"/>
  <c r="H15" i="26" s="1"/>
  <c r="AB14" i="26"/>
  <c r="AC14" i="26" s="1"/>
  <c r="Z14" i="26"/>
  <c r="Y14" i="26"/>
  <c r="V14" i="26"/>
  <c r="W14" i="26" s="1"/>
  <c r="S14" i="26"/>
  <c r="T14" i="26" s="1"/>
  <c r="P14" i="26"/>
  <c r="N14" i="26"/>
  <c r="M14" i="26"/>
  <c r="J14" i="26"/>
  <c r="G14" i="26"/>
  <c r="H14" i="26" s="1"/>
  <c r="AB13" i="26"/>
  <c r="AC13" i="26" s="1"/>
  <c r="Z13" i="26"/>
  <c r="Y13" i="26"/>
  <c r="V13" i="26"/>
  <c r="W13" i="26" s="1"/>
  <c r="S13" i="26"/>
  <c r="T13" i="26" s="1"/>
  <c r="P13" i="26"/>
  <c r="N13" i="26"/>
  <c r="M13" i="26"/>
  <c r="J13" i="26"/>
  <c r="G13" i="26"/>
  <c r="H13" i="26" s="1"/>
  <c r="AB12" i="26"/>
  <c r="AC12" i="26" s="1"/>
  <c r="Z12" i="26"/>
  <c r="Y12" i="26"/>
  <c r="V12" i="26"/>
  <c r="W12" i="26" s="1"/>
  <c r="S12" i="26"/>
  <c r="T12" i="26" s="1"/>
  <c r="P12" i="26"/>
  <c r="N12" i="26"/>
  <c r="M12" i="26"/>
  <c r="J12" i="26"/>
  <c r="G12" i="26"/>
  <c r="H12" i="26" s="1"/>
  <c r="AB11" i="26"/>
  <c r="AC11" i="26" s="1"/>
  <c r="Y11" i="26"/>
  <c r="Z11" i="26" s="1"/>
  <c r="V11" i="26"/>
  <c r="W11" i="26" s="1"/>
  <c r="S11" i="26"/>
  <c r="T11" i="26" s="1"/>
  <c r="P11" i="26"/>
  <c r="Q11" i="26" s="1"/>
  <c r="M11" i="26"/>
  <c r="N11" i="26" s="1"/>
  <c r="J11" i="26"/>
  <c r="K11" i="26" s="1"/>
  <c r="G11" i="26"/>
  <c r="H11" i="26" s="1"/>
  <c r="AB10" i="26"/>
  <c r="AC10" i="26" s="1"/>
  <c r="Y10" i="26"/>
  <c r="Z10" i="26" s="1"/>
  <c r="V10" i="26"/>
  <c r="W10" i="26" s="1"/>
  <c r="S10" i="26"/>
  <c r="T10" i="26" s="1"/>
  <c r="P10" i="26"/>
  <c r="Q10" i="26" s="1"/>
  <c r="M10" i="26"/>
  <c r="N10" i="26" s="1"/>
  <c r="J10" i="26"/>
  <c r="K10" i="26" s="1"/>
  <c r="G10" i="26"/>
  <c r="H10" i="26" s="1"/>
  <c r="AB9" i="26"/>
  <c r="AC9" i="26" s="1"/>
  <c r="Y9" i="26"/>
  <c r="Z9" i="26" s="1"/>
  <c r="V9" i="26"/>
  <c r="W9" i="26" s="1"/>
  <c r="S9" i="26"/>
  <c r="T9" i="26" s="1"/>
  <c r="P9" i="26"/>
  <c r="Q9" i="26" s="1"/>
  <c r="M9" i="26"/>
  <c r="N9" i="26" s="1"/>
  <c r="J9" i="26"/>
  <c r="K9" i="26" s="1"/>
  <c r="G9" i="26"/>
  <c r="H9" i="26" s="1"/>
  <c r="AB8" i="26"/>
  <c r="AC8" i="26" s="1"/>
  <c r="Y8" i="26"/>
  <c r="Z8" i="26" s="1"/>
  <c r="V8" i="26"/>
  <c r="W8" i="26" s="1"/>
  <c r="S8" i="26"/>
  <c r="T8" i="26" s="1"/>
  <c r="P8" i="26"/>
  <c r="Q8" i="26" s="1"/>
  <c r="M8" i="26"/>
  <c r="N8" i="26" s="1"/>
  <c r="J8" i="26"/>
  <c r="K8" i="26" s="1"/>
  <c r="G8" i="26"/>
  <c r="H8" i="26" s="1"/>
  <c r="AB7" i="26"/>
  <c r="AC7" i="26" s="1"/>
  <c r="Y7" i="26"/>
  <c r="Z7" i="26" s="1"/>
  <c r="V7" i="26"/>
  <c r="W7" i="26" s="1"/>
  <c r="S7" i="26"/>
  <c r="T7" i="26" s="1"/>
  <c r="P7" i="26"/>
  <c r="Q7" i="26" s="1"/>
  <c r="M7" i="26"/>
  <c r="N7" i="26" s="1"/>
  <c r="J7" i="26"/>
  <c r="K7" i="26" s="1"/>
  <c r="G7" i="26"/>
  <c r="H7" i="26" s="1"/>
  <c r="AM6" i="26"/>
  <c r="AL6" i="26"/>
  <c r="AJ6" i="26"/>
  <c r="AH6" i="26"/>
  <c r="AH36" i="26" s="1"/>
  <c r="AE6" i="26"/>
  <c r="AE36" i="26" s="1"/>
  <c r="AD6" i="26"/>
  <c r="AC6" i="26"/>
  <c r="AB6" i="26"/>
  <c r="AB19" i="26" s="1"/>
  <c r="AB36" i="26" s="1"/>
  <c r="Z6" i="26"/>
  <c r="Y6" i="26"/>
  <c r="W6" i="26"/>
  <c r="W19" i="26" s="1"/>
  <c r="V6" i="26"/>
  <c r="T6" i="26"/>
  <c r="T19" i="26" s="1"/>
  <c r="S6" i="26"/>
  <c r="S19" i="26" s="1"/>
  <c r="Q6" i="26"/>
  <c r="P6" i="26"/>
  <c r="P19" i="26" s="1"/>
  <c r="N6" i="26"/>
  <c r="M6" i="26"/>
  <c r="K6" i="26"/>
  <c r="J6" i="26"/>
  <c r="H6" i="26"/>
  <c r="G6" i="26"/>
  <c r="G19" i="26" s="1"/>
  <c r="N36" i="27" l="1"/>
  <c r="N43" i="27" s="1"/>
  <c r="T36" i="27"/>
  <c r="T43" i="27" s="1"/>
  <c r="Z36" i="27"/>
  <c r="Z43" i="27" s="1"/>
  <c r="W43" i="27"/>
  <c r="W36" i="27"/>
  <c r="K36" i="27"/>
  <c r="K43" i="27" s="1"/>
  <c r="Q36" i="27"/>
  <c r="Q43" i="27" s="1"/>
  <c r="S36" i="27"/>
  <c r="M41" i="27"/>
  <c r="AN41" i="27" s="1"/>
  <c r="AN37" i="27"/>
  <c r="H36" i="27"/>
  <c r="G36" i="27"/>
  <c r="M36" i="27"/>
  <c r="AN36" i="27" s="1"/>
  <c r="AN6" i="27"/>
  <c r="AK43" i="26"/>
  <c r="AJ36" i="26"/>
  <c r="AI43" i="26"/>
  <c r="AG43" i="26"/>
  <c r="K35" i="26"/>
  <c r="F36" i="26"/>
  <c r="U36" i="26"/>
  <c r="U43" i="26"/>
  <c r="T31" i="26"/>
  <c r="L36" i="26"/>
  <c r="AM36" i="26" s="1"/>
  <c r="AM28" i="26"/>
  <c r="T24" i="26"/>
  <c r="G36" i="26"/>
  <c r="O36" i="26"/>
  <c r="O43" i="26" s="1"/>
  <c r="AD20" i="26"/>
  <c r="AD36" i="26" s="1"/>
  <c r="AD43" i="26" s="1"/>
  <c r="N27" i="26"/>
  <c r="H19" i="26"/>
  <c r="Q23" i="26"/>
  <c r="Z23" i="26"/>
  <c r="V27" i="26"/>
  <c r="F43" i="26"/>
  <c r="M19" i="26"/>
  <c r="Y19" i="26"/>
  <c r="Y36" i="26" s="1"/>
  <c r="AL36" i="26"/>
  <c r="Q12" i="26"/>
  <c r="Q13" i="26"/>
  <c r="Q14" i="26"/>
  <c r="Q15" i="26"/>
  <c r="Q16" i="26"/>
  <c r="Q17" i="26"/>
  <c r="Q18" i="26"/>
  <c r="Z18" i="26"/>
  <c r="Z19" i="26" s="1"/>
  <c r="H27" i="26"/>
  <c r="P27" i="26"/>
  <c r="P36" i="26" s="1"/>
  <c r="Q20" i="26"/>
  <c r="Z20" i="26"/>
  <c r="Z27" i="26" s="1"/>
  <c r="AC27" i="26"/>
  <c r="K21" i="26"/>
  <c r="K27" i="26" s="1"/>
  <c r="Q22" i="26"/>
  <c r="W24" i="26"/>
  <c r="W27" i="26" s="1"/>
  <c r="W36" i="26" s="1"/>
  <c r="T26" i="26"/>
  <c r="J27" i="26"/>
  <c r="K28" i="26"/>
  <c r="W40" i="26"/>
  <c r="W41" i="26" s="1"/>
  <c r="I43" i="26"/>
  <c r="R43" i="26"/>
  <c r="AA43" i="26"/>
  <c r="K12" i="26"/>
  <c r="K19" i="26" s="1"/>
  <c r="K14" i="26"/>
  <c r="K15" i="26"/>
  <c r="K17" i="26"/>
  <c r="K18" i="26"/>
  <c r="K22" i="26"/>
  <c r="T23" i="26"/>
  <c r="Z31" i="26"/>
  <c r="AE43" i="26"/>
  <c r="Q19" i="26"/>
  <c r="AC19" i="26"/>
  <c r="N19" i="26"/>
  <c r="K13" i="26"/>
  <c r="K16" i="26"/>
  <c r="Q24" i="26"/>
  <c r="S27" i="26"/>
  <c r="S36" i="26" s="1"/>
  <c r="J19" i="26"/>
  <c r="V19" i="26"/>
  <c r="V36" i="26" s="1"/>
  <c r="M27" i="26"/>
  <c r="AN20" i="26" s="1"/>
  <c r="T27" i="26"/>
  <c r="Q31" i="26"/>
  <c r="AC31" i="26"/>
  <c r="K29" i="26"/>
  <c r="J31" i="26"/>
  <c r="N29" i="26"/>
  <c r="N31" i="26" s="1"/>
  <c r="K40" i="26"/>
  <c r="K41" i="26" s="1"/>
  <c r="X43" i="26"/>
  <c r="Q21" i="26"/>
  <c r="Q25" i="26"/>
  <c r="AM41" i="26"/>
  <c r="M40" i="26"/>
  <c r="Y40" i="26"/>
  <c r="Y41" i="26" s="1"/>
  <c r="H37" i="26"/>
  <c r="H40" i="26" s="1"/>
  <c r="H41" i="26" s="1"/>
  <c r="T37" i="26"/>
  <c r="T40" i="26" s="1"/>
  <c r="T41" i="26" s="1"/>
  <c r="AB16" i="25"/>
  <c r="Y16" i="25"/>
  <c r="AB17" i="25"/>
  <c r="Y17" i="25"/>
  <c r="AB14" i="25"/>
  <c r="Y14" i="25"/>
  <c r="AB15" i="25"/>
  <c r="Y15" i="25"/>
  <c r="S21" i="25"/>
  <c r="S26" i="25"/>
  <c r="S25" i="25"/>
  <c r="V24" i="25"/>
  <c r="S24" i="25"/>
  <c r="V22" i="25"/>
  <c r="S22" i="25"/>
  <c r="V23" i="25"/>
  <c r="S23" i="25"/>
  <c r="S20" i="25"/>
  <c r="AN43" i="27" l="1"/>
  <c r="AM43" i="26"/>
  <c r="T36" i="26"/>
  <c r="T43" i="26" s="1"/>
  <c r="L43" i="26"/>
  <c r="Z36" i="26"/>
  <c r="Z43" i="26" s="1"/>
  <c r="K36" i="26"/>
  <c r="K43" i="26" s="1"/>
  <c r="N36" i="26"/>
  <c r="N43" i="26" s="1"/>
  <c r="W43" i="26"/>
  <c r="M41" i="26"/>
  <c r="AN41" i="26" s="1"/>
  <c r="AN37" i="26"/>
  <c r="AC36" i="26"/>
  <c r="AC43" i="26" s="1"/>
  <c r="K31" i="26"/>
  <c r="Q27" i="26"/>
  <c r="Q36" i="26" s="1"/>
  <c r="Q43" i="26" s="1"/>
  <c r="J36" i="26"/>
  <c r="M36" i="26"/>
  <c r="AN36" i="26" s="1"/>
  <c r="AN6" i="26"/>
  <c r="H36" i="26"/>
  <c r="AL20" i="25"/>
  <c r="AJ32" i="25"/>
  <c r="AJ28" i="25"/>
  <c r="AJ20" i="25"/>
  <c r="AH32" i="25"/>
  <c r="AH28" i="25"/>
  <c r="AH20" i="25"/>
  <c r="AE20" i="25"/>
  <c r="G33" i="25"/>
  <c r="J32" i="25"/>
  <c r="G32" i="25"/>
  <c r="AN43" i="26" l="1"/>
  <c r="AF36" i="25"/>
  <c r="Q36" i="25" l="1"/>
  <c r="P36" i="25"/>
  <c r="O36" i="25"/>
  <c r="M36" i="25"/>
  <c r="L36" i="25"/>
  <c r="AB31" i="25"/>
  <c r="AA31" i="25"/>
  <c r="Y31" i="25"/>
  <c r="X31" i="25"/>
  <c r="W31" i="25"/>
  <c r="V31" i="25"/>
  <c r="U31" i="25"/>
  <c r="S31" i="25"/>
  <c r="R31" i="25"/>
  <c r="P31" i="25"/>
  <c r="O31" i="25"/>
  <c r="M31" i="25"/>
  <c r="L31" i="25"/>
  <c r="AD28" i="25" s="1"/>
  <c r="I31" i="25"/>
  <c r="F31" i="25"/>
  <c r="E31" i="25"/>
  <c r="AC30" i="25"/>
  <c r="Z30" i="25"/>
  <c r="W30" i="25"/>
  <c r="T30" i="25"/>
  <c r="Q30" i="25"/>
  <c r="N30" i="25"/>
  <c r="J30" i="25"/>
  <c r="K30" i="25" s="1"/>
  <c r="G30" i="25"/>
  <c r="H30" i="25" s="1"/>
  <c r="AC29" i="25"/>
  <c r="Z29" i="25"/>
  <c r="W29" i="25"/>
  <c r="T29" i="25"/>
  <c r="T31" i="25" s="1"/>
  <c r="Q29" i="25"/>
  <c r="J29" i="25"/>
  <c r="N29" i="25" s="1"/>
  <c r="G29" i="25"/>
  <c r="H29" i="25" s="1"/>
  <c r="AN28" i="25"/>
  <c r="AM28" i="25"/>
  <c r="AC28" i="25"/>
  <c r="AC31" i="25" s="1"/>
  <c r="Z28" i="25"/>
  <c r="Z31" i="25" s="1"/>
  <c r="W28" i="25"/>
  <c r="T28" i="25"/>
  <c r="Q28" i="25"/>
  <c r="Q31" i="25" s="1"/>
  <c r="N28" i="25"/>
  <c r="N31" i="25" s="1"/>
  <c r="J28" i="25"/>
  <c r="J31" i="25" s="1"/>
  <c r="G28" i="25"/>
  <c r="H28" i="25" s="1"/>
  <c r="M26" i="25"/>
  <c r="L26" i="25"/>
  <c r="M25" i="25"/>
  <c r="L25" i="25"/>
  <c r="M24" i="25"/>
  <c r="M23" i="25"/>
  <c r="M22" i="25"/>
  <c r="M21" i="25"/>
  <c r="M20" i="25"/>
  <c r="H31" i="25" l="1"/>
  <c r="K29" i="25"/>
  <c r="K28" i="25"/>
  <c r="G31" i="25"/>
  <c r="P26" i="25"/>
  <c r="P25" i="25"/>
  <c r="Q25" i="25" s="1"/>
  <c r="P21" i="25"/>
  <c r="Q21" i="25" s="1"/>
  <c r="P24" i="25"/>
  <c r="P22" i="25"/>
  <c r="P23" i="25"/>
  <c r="P20" i="25"/>
  <c r="AK41" i="25"/>
  <c r="AI41" i="25"/>
  <c r="AG41" i="25"/>
  <c r="AF41" i="25"/>
  <c r="X41" i="25"/>
  <c r="U41" i="25"/>
  <c r="L41" i="25"/>
  <c r="I41" i="25"/>
  <c r="E41" i="25"/>
  <c r="AA40" i="25"/>
  <c r="AA41" i="25" s="1"/>
  <c r="X40" i="25"/>
  <c r="V40" i="25"/>
  <c r="V41" i="25" s="1"/>
  <c r="U40" i="25"/>
  <c r="R40" i="25"/>
  <c r="R41" i="25" s="1"/>
  <c r="O40" i="25"/>
  <c r="O41" i="25" s="1"/>
  <c r="L40" i="25"/>
  <c r="J40" i="25"/>
  <c r="J41" i="25" s="1"/>
  <c r="I40" i="25"/>
  <c r="F40" i="25"/>
  <c r="F41" i="25" s="1"/>
  <c r="E40" i="25"/>
  <c r="AB39" i="25"/>
  <c r="AC39" i="25" s="1"/>
  <c r="Z39" i="25"/>
  <c r="Y39" i="25"/>
  <c r="V39" i="25"/>
  <c r="W39" i="25" s="1"/>
  <c r="T39" i="25"/>
  <c r="S39" i="25"/>
  <c r="P39" i="25"/>
  <c r="Q39" i="25" s="1"/>
  <c r="N39" i="25"/>
  <c r="M39" i="25"/>
  <c r="J39" i="25"/>
  <c r="K39" i="25" s="1"/>
  <c r="H39" i="25"/>
  <c r="G39" i="25"/>
  <c r="AB38" i="25"/>
  <c r="AC38" i="25" s="1"/>
  <c r="Z38" i="25"/>
  <c r="Y38" i="25"/>
  <c r="V38" i="25"/>
  <c r="W38" i="25" s="1"/>
  <c r="T38" i="25"/>
  <c r="S38" i="25"/>
  <c r="P38" i="25"/>
  <c r="Q38" i="25" s="1"/>
  <c r="N38" i="25"/>
  <c r="M38" i="25"/>
  <c r="J38" i="25"/>
  <c r="K38" i="25" s="1"/>
  <c r="H38" i="25"/>
  <c r="G38" i="25"/>
  <c r="AM37" i="25"/>
  <c r="AL37" i="25"/>
  <c r="AL41" i="25" s="1"/>
  <c r="AJ37" i="25"/>
  <c r="AJ41" i="25" s="1"/>
  <c r="AH37" i="25"/>
  <c r="AH41" i="25" s="1"/>
  <c r="AE37" i="25"/>
  <c r="AE41" i="25" s="1"/>
  <c r="AD37" i="25"/>
  <c r="AD41" i="25" s="1"/>
  <c r="AB37" i="25"/>
  <c r="AB40" i="25" s="1"/>
  <c r="AB41" i="25" s="1"/>
  <c r="Y37" i="25"/>
  <c r="V37" i="25"/>
  <c r="S37" i="25"/>
  <c r="P37" i="25"/>
  <c r="P40" i="25" s="1"/>
  <c r="P41" i="25" s="1"/>
  <c r="M37" i="25"/>
  <c r="J37" i="25"/>
  <c r="G37" i="25"/>
  <c r="AK36" i="25"/>
  <c r="AI36" i="25"/>
  <c r="AG36" i="25"/>
  <c r="AB35" i="25"/>
  <c r="AA35" i="25"/>
  <c r="Z35" i="25"/>
  <c r="Y35" i="25"/>
  <c r="X35" i="25"/>
  <c r="V35" i="25"/>
  <c r="U35" i="25"/>
  <c r="S35" i="25"/>
  <c r="R35" i="25"/>
  <c r="P35" i="25"/>
  <c r="O35" i="25"/>
  <c r="M35" i="25"/>
  <c r="L35" i="25"/>
  <c r="J35" i="25"/>
  <c r="J36" i="25" s="1"/>
  <c r="I35" i="25"/>
  <c r="I36" i="25" s="1"/>
  <c r="F35" i="25"/>
  <c r="F36" i="25" s="1"/>
  <c r="E35" i="25"/>
  <c r="E36" i="25" s="1"/>
  <c r="AC34" i="25"/>
  <c r="Z34" i="25"/>
  <c r="W34" i="25"/>
  <c r="T34" i="25"/>
  <c r="Q34" i="25"/>
  <c r="K34" i="25"/>
  <c r="N34" i="25"/>
  <c r="H34" i="25"/>
  <c r="AC33" i="25"/>
  <c r="AC35" i="25" s="1"/>
  <c r="Z33" i="25"/>
  <c r="W33" i="25"/>
  <c r="T33" i="25"/>
  <c r="Q33" i="25"/>
  <c r="Q35" i="25" s="1"/>
  <c r="N33" i="25"/>
  <c r="K33" i="25"/>
  <c r="H33" i="25"/>
  <c r="AM32" i="25"/>
  <c r="AD32" i="25"/>
  <c r="AC32" i="25"/>
  <c r="Z32" i="25"/>
  <c r="W32" i="25"/>
  <c r="W35" i="25" s="1"/>
  <c r="T32" i="25"/>
  <c r="T35" i="25" s="1"/>
  <c r="Q32" i="25"/>
  <c r="K32" i="25"/>
  <c r="N32" i="25"/>
  <c r="G35" i="25"/>
  <c r="G36" i="25" s="1"/>
  <c r="AB27" i="25"/>
  <c r="AA27" i="25"/>
  <c r="Y27" i="25"/>
  <c r="X27" i="25"/>
  <c r="U27" i="25"/>
  <c r="U36" i="25" s="1"/>
  <c r="R27" i="25"/>
  <c r="R36" i="25" s="1"/>
  <c r="O27" i="25"/>
  <c r="L27" i="25"/>
  <c r="AD20" i="25" s="1"/>
  <c r="I27" i="25"/>
  <c r="F27" i="25"/>
  <c r="E27" i="25"/>
  <c r="AC26" i="25"/>
  <c r="W26" i="25"/>
  <c r="T26" i="25"/>
  <c r="Z26" i="25"/>
  <c r="J26" i="25"/>
  <c r="G26" i="25"/>
  <c r="AC25" i="25"/>
  <c r="W25" i="25"/>
  <c r="T25" i="25"/>
  <c r="J25" i="25"/>
  <c r="H25" i="25"/>
  <c r="G25" i="25"/>
  <c r="AC24" i="25"/>
  <c r="Z24" i="25"/>
  <c r="W24" i="25"/>
  <c r="N24" i="25"/>
  <c r="J24" i="25"/>
  <c r="K24" i="25" s="1"/>
  <c r="G24" i="25"/>
  <c r="H24" i="25" s="1"/>
  <c r="AC23" i="25"/>
  <c r="Z23" i="25"/>
  <c r="Q23" i="25"/>
  <c r="N23" i="25"/>
  <c r="J23" i="25"/>
  <c r="G23" i="25"/>
  <c r="H23" i="25" s="1"/>
  <c r="AC22" i="25"/>
  <c r="W22" i="25"/>
  <c r="Z22" i="25"/>
  <c r="N22" i="25"/>
  <c r="J22" i="25"/>
  <c r="K22" i="25" s="1"/>
  <c r="H22" i="25"/>
  <c r="G22" i="25"/>
  <c r="AC21" i="25"/>
  <c r="Z21" i="25"/>
  <c r="W21" i="25"/>
  <c r="T21" i="25"/>
  <c r="N21" i="25"/>
  <c r="J21" i="25"/>
  <c r="G21" i="25"/>
  <c r="H21" i="25" s="1"/>
  <c r="AC20" i="25"/>
  <c r="Z20" i="25"/>
  <c r="V20" i="25"/>
  <c r="V27" i="25" s="1"/>
  <c r="V36" i="25" s="1"/>
  <c r="T20" i="25"/>
  <c r="M27" i="25"/>
  <c r="AN20" i="25" s="1"/>
  <c r="J20" i="25"/>
  <c r="G20" i="25"/>
  <c r="G27" i="25" s="1"/>
  <c r="AA19" i="25"/>
  <c r="AA36" i="25" s="1"/>
  <c r="X19" i="25"/>
  <c r="X36" i="25" s="1"/>
  <c r="U19" i="25"/>
  <c r="R19" i="25"/>
  <c r="O19" i="25"/>
  <c r="L19" i="25"/>
  <c r="J19" i="25"/>
  <c r="I19" i="25"/>
  <c r="F19" i="25"/>
  <c r="E19" i="25"/>
  <c r="AC18" i="25"/>
  <c r="Z18" i="25"/>
  <c r="W18" i="25"/>
  <c r="V18" i="25"/>
  <c r="S18" i="25"/>
  <c r="T18" i="25" s="1"/>
  <c r="P18" i="25"/>
  <c r="M18" i="25"/>
  <c r="N18" i="25" s="1"/>
  <c r="J18" i="25"/>
  <c r="G18" i="25"/>
  <c r="H18" i="25" s="1"/>
  <c r="AC17" i="25"/>
  <c r="Z17" i="25"/>
  <c r="W17" i="25"/>
  <c r="V17" i="25"/>
  <c r="S17" i="25"/>
  <c r="T17" i="25" s="1"/>
  <c r="P17" i="25"/>
  <c r="M17" i="25"/>
  <c r="N17" i="25" s="1"/>
  <c r="J17" i="25"/>
  <c r="G17" i="25"/>
  <c r="H17" i="25" s="1"/>
  <c r="AC16" i="25"/>
  <c r="Z16" i="25"/>
  <c r="W16" i="25"/>
  <c r="V16" i="25"/>
  <c r="S16" i="25"/>
  <c r="T16" i="25" s="1"/>
  <c r="P16" i="25"/>
  <c r="M16" i="25"/>
  <c r="N16" i="25" s="1"/>
  <c r="J16" i="25"/>
  <c r="G16" i="25"/>
  <c r="H16" i="25" s="1"/>
  <c r="AC15" i="25"/>
  <c r="Z15" i="25"/>
  <c r="W15" i="25"/>
  <c r="V15" i="25"/>
  <c r="S15" i="25"/>
  <c r="T15" i="25" s="1"/>
  <c r="P15" i="25"/>
  <c r="M15" i="25"/>
  <c r="N15" i="25" s="1"/>
  <c r="J15" i="25"/>
  <c r="G15" i="25"/>
  <c r="H15" i="25" s="1"/>
  <c r="AC14" i="25"/>
  <c r="Z14" i="25"/>
  <c r="W14" i="25"/>
  <c r="V14" i="25"/>
  <c r="S14" i="25"/>
  <c r="T14" i="25" s="1"/>
  <c r="P14" i="25"/>
  <c r="M14" i="25"/>
  <c r="N14" i="25" s="1"/>
  <c r="J14" i="25"/>
  <c r="G14" i="25"/>
  <c r="H14" i="25" s="1"/>
  <c r="AC13" i="25"/>
  <c r="AB13" i="25"/>
  <c r="Y13" i="25"/>
  <c r="Z13" i="25" s="1"/>
  <c r="W13" i="25"/>
  <c r="V13" i="25"/>
  <c r="S13" i="25"/>
  <c r="T13" i="25" s="1"/>
  <c r="P13" i="25"/>
  <c r="M13" i="25"/>
  <c r="N13" i="25" s="1"/>
  <c r="J13" i="25"/>
  <c r="G13" i="25"/>
  <c r="H13" i="25" s="1"/>
  <c r="AC12" i="25"/>
  <c r="AB12" i="25"/>
  <c r="Y12" i="25"/>
  <c r="Z12" i="25" s="1"/>
  <c r="W12" i="25"/>
  <c r="V12" i="25"/>
  <c r="S12" i="25"/>
  <c r="T12" i="25" s="1"/>
  <c r="P12" i="25"/>
  <c r="M12" i="25"/>
  <c r="N12" i="25" s="1"/>
  <c r="J12" i="25"/>
  <c r="K12" i="25" s="1"/>
  <c r="G12" i="25"/>
  <c r="H12" i="25" s="1"/>
  <c r="AC11" i="25"/>
  <c r="AB11" i="25"/>
  <c r="Y11" i="25"/>
  <c r="V11" i="25"/>
  <c r="V19" i="25" s="1"/>
  <c r="S11" i="25"/>
  <c r="P11" i="25"/>
  <c r="Q11" i="25" s="1"/>
  <c r="M11" i="25"/>
  <c r="N11" i="25" s="1"/>
  <c r="J11" i="25"/>
  <c r="K11" i="25" s="1"/>
  <c r="G11" i="25"/>
  <c r="H11" i="25" s="1"/>
  <c r="AB10" i="25"/>
  <c r="AC10" i="25" s="1"/>
  <c r="Y10" i="25"/>
  <c r="Z10" i="25" s="1"/>
  <c r="V10" i="25"/>
  <c r="W10" i="25" s="1"/>
  <c r="S10" i="25"/>
  <c r="T10" i="25" s="1"/>
  <c r="P10" i="25"/>
  <c r="Q10" i="25" s="1"/>
  <c r="M10" i="25"/>
  <c r="N10" i="25" s="1"/>
  <c r="J10" i="25"/>
  <c r="K10" i="25" s="1"/>
  <c r="G10" i="25"/>
  <c r="H10" i="25" s="1"/>
  <c r="AB9" i="25"/>
  <c r="AC9" i="25" s="1"/>
  <c r="Y9" i="25"/>
  <c r="Z9" i="25" s="1"/>
  <c r="V9" i="25"/>
  <c r="W9" i="25" s="1"/>
  <c r="S9" i="25"/>
  <c r="T9" i="25" s="1"/>
  <c r="P9" i="25"/>
  <c r="Q9" i="25" s="1"/>
  <c r="M9" i="25"/>
  <c r="N9" i="25" s="1"/>
  <c r="J9" i="25"/>
  <c r="K9" i="25" s="1"/>
  <c r="G9" i="25"/>
  <c r="H9" i="25" s="1"/>
  <c r="AB8" i="25"/>
  <c r="AC8" i="25" s="1"/>
  <c r="Y8" i="25"/>
  <c r="Z8" i="25" s="1"/>
  <c r="V8" i="25"/>
  <c r="W8" i="25" s="1"/>
  <c r="S8" i="25"/>
  <c r="T8" i="25" s="1"/>
  <c r="P8" i="25"/>
  <c r="Q8" i="25" s="1"/>
  <c r="M8" i="25"/>
  <c r="N8" i="25" s="1"/>
  <c r="J8" i="25"/>
  <c r="K8" i="25" s="1"/>
  <c r="G8" i="25"/>
  <c r="H8" i="25" s="1"/>
  <c r="AB7" i="25"/>
  <c r="AC7" i="25" s="1"/>
  <c r="Y7" i="25"/>
  <c r="Z7" i="25" s="1"/>
  <c r="V7" i="25"/>
  <c r="W7" i="25" s="1"/>
  <c r="S7" i="25"/>
  <c r="T7" i="25" s="1"/>
  <c r="P7" i="25"/>
  <c r="Q7" i="25" s="1"/>
  <c r="M7" i="25"/>
  <c r="N7" i="25" s="1"/>
  <c r="J7" i="25"/>
  <c r="K7" i="25" s="1"/>
  <c r="G7" i="25"/>
  <c r="H7" i="25" s="1"/>
  <c r="AM6" i="25"/>
  <c r="AL6" i="25"/>
  <c r="AL36" i="25" s="1"/>
  <c r="AJ6" i="25"/>
  <c r="AJ36" i="25" s="1"/>
  <c r="AH6" i="25"/>
  <c r="AE6" i="25"/>
  <c r="AE36" i="25" s="1"/>
  <c r="AE43" i="25" s="1"/>
  <c r="AD6" i="25"/>
  <c r="AC6" i="25"/>
  <c r="AB6" i="25"/>
  <c r="Y6" i="25"/>
  <c r="Z6" i="25" s="1"/>
  <c r="W6" i="25"/>
  <c r="V6" i="25"/>
  <c r="S6" i="25"/>
  <c r="S19" i="25" s="1"/>
  <c r="Q6" i="25"/>
  <c r="P6" i="25"/>
  <c r="M6" i="25"/>
  <c r="K6" i="25"/>
  <c r="J6" i="25"/>
  <c r="G6" i="25"/>
  <c r="G19" i="25" s="1"/>
  <c r="AI43" i="25" l="1"/>
  <c r="N35" i="25"/>
  <c r="N36" i="25" s="1"/>
  <c r="K31" i="25"/>
  <c r="AC27" i="25"/>
  <c r="AD36" i="25"/>
  <c r="AD43" i="25" s="1"/>
  <c r="F43" i="25"/>
  <c r="Z25" i="25"/>
  <c r="P27" i="25"/>
  <c r="AM36" i="25"/>
  <c r="O43" i="25"/>
  <c r="M19" i="25"/>
  <c r="W11" i="25"/>
  <c r="W19" i="25" s="1"/>
  <c r="N26" i="25"/>
  <c r="Q26" i="25"/>
  <c r="S40" i="25"/>
  <c r="S41" i="25" s="1"/>
  <c r="T37" i="25"/>
  <c r="T40" i="25" s="1"/>
  <c r="T41" i="25" s="1"/>
  <c r="W37" i="25"/>
  <c r="W40" i="25" s="1"/>
  <c r="W41" i="25" s="1"/>
  <c r="N6" i="25"/>
  <c r="N19" i="25" s="1"/>
  <c r="T6" i="25"/>
  <c r="T19" i="25" s="1"/>
  <c r="Z11" i="25"/>
  <c r="Z19" i="25" s="1"/>
  <c r="Z36" i="25" s="1"/>
  <c r="Q13" i="25"/>
  <c r="Q15" i="25"/>
  <c r="P19" i="25"/>
  <c r="AB19" i="25"/>
  <c r="AB36" i="25" s="1"/>
  <c r="AH36" i="25"/>
  <c r="T11" i="25"/>
  <c r="K13" i="25"/>
  <c r="K14" i="25"/>
  <c r="K15" i="25"/>
  <c r="K16" i="25"/>
  <c r="K17" i="25"/>
  <c r="K18" i="25"/>
  <c r="J27" i="25"/>
  <c r="S27" i="25"/>
  <c r="S36" i="25" s="1"/>
  <c r="K21" i="25"/>
  <c r="T24" i="25"/>
  <c r="H26" i="25"/>
  <c r="K26" i="25"/>
  <c r="N37" i="25"/>
  <c r="N40" i="25" s="1"/>
  <c r="N41" i="25" s="1"/>
  <c r="M40" i="25"/>
  <c r="Q37" i="25"/>
  <c r="Q40" i="25" s="1"/>
  <c r="Q41" i="25" s="1"/>
  <c r="Z37" i="25"/>
  <c r="Z40" i="25" s="1"/>
  <c r="Z41" i="25" s="1"/>
  <c r="Y40" i="25"/>
  <c r="Y41" i="25" s="1"/>
  <c r="AC37" i="25"/>
  <c r="AC40" i="25" s="1"/>
  <c r="AC41" i="25" s="1"/>
  <c r="AA43" i="25"/>
  <c r="AK43" i="25"/>
  <c r="Y19" i="25"/>
  <c r="Y36" i="25" s="1"/>
  <c r="AN32" i="25"/>
  <c r="I43" i="25"/>
  <c r="U43" i="25"/>
  <c r="AC19" i="25"/>
  <c r="AC36" i="25" s="1"/>
  <c r="N20" i="25"/>
  <c r="N27" i="25" s="1"/>
  <c r="K25" i="25"/>
  <c r="N25" i="25"/>
  <c r="G40" i="25"/>
  <c r="G41" i="25" s="1"/>
  <c r="H37" i="25"/>
  <c r="H40" i="25" s="1"/>
  <c r="H41" i="25" s="1"/>
  <c r="K37" i="25"/>
  <c r="K40" i="25" s="1"/>
  <c r="K41" i="25" s="1"/>
  <c r="H6" i="25"/>
  <c r="H19" i="25" s="1"/>
  <c r="Q12" i="25"/>
  <c r="Q14" i="25"/>
  <c r="Q19" i="25" s="1"/>
  <c r="Q16" i="25"/>
  <c r="Q17" i="25"/>
  <c r="Q18" i="25"/>
  <c r="H20" i="25"/>
  <c r="H27" i="25" s="1"/>
  <c r="Q20" i="25"/>
  <c r="Z27" i="25"/>
  <c r="T22" i="25"/>
  <c r="K23" i="25"/>
  <c r="T23" i="25"/>
  <c r="W23" i="25"/>
  <c r="Q24" i="25"/>
  <c r="K35" i="25"/>
  <c r="K36" i="25" s="1"/>
  <c r="R43" i="25"/>
  <c r="X43" i="25"/>
  <c r="AG43" i="25"/>
  <c r="K20" i="25"/>
  <c r="W20" i="25"/>
  <c r="AM20" i="25"/>
  <c r="Q22" i="25"/>
  <c r="H32" i="25"/>
  <c r="H35" i="25" s="1"/>
  <c r="H36" i="25" s="1"/>
  <c r="AM41" i="25"/>
  <c r="AL20" i="24"/>
  <c r="AJ20" i="24"/>
  <c r="AH20" i="24"/>
  <c r="AH28" i="24"/>
  <c r="AE20" i="24"/>
  <c r="W27" i="25" l="1"/>
  <c r="W36" i="25" s="1"/>
  <c r="W43" i="25" s="1"/>
  <c r="K19" i="25"/>
  <c r="L43" i="25"/>
  <c r="AM43" i="25"/>
  <c r="T27" i="25"/>
  <c r="Z43" i="25"/>
  <c r="K27" i="25"/>
  <c r="Q27" i="25"/>
  <c r="Q43" i="25" s="1"/>
  <c r="N43" i="25"/>
  <c r="AC43" i="25"/>
  <c r="AN37" i="25"/>
  <c r="M41" i="25"/>
  <c r="AN41" i="25" s="1"/>
  <c r="AN36" i="25"/>
  <c r="AN6" i="25"/>
  <c r="AB16" i="24"/>
  <c r="Y16" i="24"/>
  <c r="AB17" i="24"/>
  <c r="Y17" i="24"/>
  <c r="AB14" i="24"/>
  <c r="Y14" i="24"/>
  <c r="AB8" i="24"/>
  <c r="Y8" i="24"/>
  <c r="AB7" i="24"/>
  <c r="Y7" i="24"/>
  <c r="AB6" i="24"/>
  <c r="Y6" i="24"/>
  <c r="AB9" i="24"/>
  <c r="Y9" i="24"/>
  <c r="V9" i="24"/>
  <c r="S9" i="24"/>
  <c r="AB12" i="24"/>
  <c r="Y12" i="24"/>
  <c r="AB10" i="24"/>
  <c r="Y10" i="24"/>
  <c r="AB11" i="24"/>
  <c r="Y11" i="24"/>
  <c r="S24" i="24"/>
  <c r="S22" i="24"/>
  <c r="S23" i="24"/>
  <c r="V20" i="24"/>
  <c r="S20" i="24"/>
  <c r="T36" i="25" l="1"/>
  <c r="T43" i="25" s="1"/>
  <c r="K43" i="25"/>
  <c r="AN43" i="25"/>
  <c r="J30" i="24"/>
  <c r="J29" i="24"/>
  <c r="P26" i="24"/>
  <c r="M26" i="24"/>
  <c r="P24" i="24"/>
  <c r="Z24" i="24" s="1"/>
  <c r="M24" i="24"/>
  <c r="P22" i="24"/>
  <c r="T22" i="24" s="1"/>
  <c r="M22" i="24"/>
  <c r="L22" i="24"/>
  <c r="P20" i="24"/>
  <c r="M20" i="24"/>
  <c r="AK37" i="24"/>
  <c r="AI37" i="24"/>
  <c r="AG37" i="24"/>
  <c r="AF37" i="24"/>
  <c r="AE37" i="24"/>
  <c r="AA37" i="24"/>
  <c r="S37" i="24"/>
  <c r="O37" i="24"/>
  <c r="G37" i="24"/>
  <c r="AB36" i="24"/>
  <c r="AB37" i="24" s="1"/>
  <c r="AA36" i="24"/>
  <c r="X36" i="24"/>
  <c r="X37" i="24" s="1"/>
  <c r="U36" i="24"/>
  <c r="U37" i="24" s="1"/>
  <c r="R36" i="24"/>
  <c r="R37" i="24" s="1"/>
  <c r="O36" i="24"/>
  <c r="L36" i="24"/>
  <c r="I36" i="24"/>
  <c r="I37" i="24" s="1"/>
  <c r="F36" i="24"/>
  <c r="F37" i="24" s="1"/>
  <c r="E36" i="24"/>
  <c r="E37" i="24" s="1"/>
  <c r="AC35" i="24"/>
  <c r="AB35" i="24"/>
  <c r="Y35" i="24"/>
  <c r="Z35" i="24" s="1"/>
  <c r="W35" i="24"/>
  <c r="V35" i="24"/>
  <c r="S35" i="24"/>
  <c r="T35" i="24" s="1"/>
  <c r="Q35" i="24"/>
  <c r="P35" i="24"/>
  <c r="M35" i="24"/>
  <c r="N35" i="24" s="1"/>
  <c r="K35" i="24"/>
  <c r="J35" i="24"/>
  <c r="G35" i="24"/>
  <c r="H35" i="24" s="1"/>
  <c r="AC34" i="24"/>
  <c r="AB34" i="24"/>
  <c r="Y34" i="24"/>
  <c r="Z34" i="24" s="1"/>
  <c r="W34" i="24"/>
  <c r="V34" i="24"/>
  <c r="S34" i="24"/>
  <c r="T34" i="24" s="1"/>
  <c r="Q34" i="24"/>
  <c r="P34" i="24"/>
  <c r="M34" i="24"/>
  <c r="N34" i="24" s="1"/>
  <c r="K34" i="24"/>
  <c r="J34" i="24"/>
  <c r="G34" i="24"/>
  <c r="H34" i="24" s="1"/>
  <c r="AL33" i="24"/>
  <c r="AL37" i="24" s="1"/>
  <c r="AJ33" i="24"/>
  <c r="AJ37" i="24" s="1"/>
  <c r="AH33" i="24"/>
  <c r="AH37" i="24" s="1"/>
  <c r="AE33" i="24"/>
  <c r="AB33" i="24"/>
  <c r="AC33" i="24" s="1"/>
  <c r="AC36" i="24" s="1"/>
  <c r="AC37" i="24" s="1"/>
  <c r="Y33" i="24"/>
  <c r="Z33" i="24" s="1"/>
  <c r="Z36" i="24" s="1"/>
  <c r="Z37" i="24" s="1"/>
  <c r="V33" i="24"/>
  <c r="S33" i="24"/>
  <c r="S36" i="24" s="1"/>
  <c r="P33" i="24"/>
  <c r="Q33" i="24" s="1"/>
  <c r="M33" i="24"/>
  <c r="J33" i="24"/>
  <c r="G33" i="24"/>
  <c r="G36" i="24" s="1"/>
  <c r="AK32" i="24"/>
  <c r="AK39" i="24" s="1"/>
  <c r="AI32" i="24"/>
  <c r="AI39" i="24" s="1"/>
  <c r="AG32" i="24"/>
  <c r="AF32" i="24"/>
  <c r="AB31" i="24"/>
  <c r="AA31" i="24"/>
  <c r="Y31" i="24"/>
  <c r="X31" i="24"/>
  <c r="V31" i="24"/>
  <c r="U31" i="24"/>
  <c r="T31" i="24"/>
  <c r="S31" i="24"/>
  <c r="R31" i="24"/>
  <c r="P31" i="24"/>
  <c r="O31" i="24"/>
  <c r="M31" i="24"/>
  <c r="L31" i="24"/>
  <c r="AD28" i="24" s="1"/>
  <c r="I31" i="24"/>
  <c r="F31" i="24"/>
  <c r="E31" i="24"/>
  <c r="AC30" i="24"/>
  <c r="Z30" i="24"/>
  <c r="W30" i="24"/>
  <c r="T30" i="24"/>
  <c r="Q30" i="24"/>
  <c r="N30" i="24"/>
  <c r="G30" i="24"/>
  <c r="AC29" i="24"/>
  <c r="Z29" i="24"/>
  <c r="W29" i="24"/>
  <c r="T29" i="24"/>
  <c r="Q29" i="24"/>
  <c r="G29" i="24"/>
  <c r="H29" i="24" s="1"/>
  <c r="AN28" i="24"/>
  <c r="AM28" i="24"/>
  <c r="AC28" i="24"/>
  <c r="AC31" i="24" s="1"/>
  <c r="Z28" i="24"/>
  <c r="Z31" i="24" s="1"/>
  <c r="W28" i="24"/>
  <c r="W31" i="24" s="1"/>
  <c r="T28" i="24"/>
  <c r="Q28" i="24"/>
  <c r="Q31" i="24" s="1"/>
  <c r="N28" i="24"/>
  <c r="J28" i="24"/>
  <c r="G28" i="24"/>
  <c r="AB27" i="24"/>
  <c r="AA27" i="24"/>
  <c r="Y27" i="24"/>
  <c r="X27" i="24"/>
  <c r="V27" i="24"/>
  <c r="U27" i="24"/>
  <c r="S27" i="24"/>
  <c r="R27" i="24"/>
  <c r="O27" i="24"/>
  <c r="I27" i="24"/>
  <c r="F27" i="24"/>
  <c r="E27" i="24"/>
  <c r="AC26" i="24"/>
  <c r="Z26" i="24"/>
  <c r="W26" i="24"/>
  <c r="T26" i="24"/>
  <c r="Q26" i="24"/>
  <c r="K26" i="24"/>
  <c r="J26" i="24"/>
  <c r="N26" i="24" s="1"/>
  <c r="H26" i="24"/>
  <c r="G26" i="24"/>
  <c r="AC25" i="24"/>
  <c r="Z25" i="24"/>
  <c r="W25" i="24"/>
  <c r="T25" i="24"/>
  <c r="Q25" i="24"/>
  <c r="N25" i="24"/>
  <c r="J25" i="24"/>
  <c r="G25" i="24"/>
  <c r="K25" i="24" s="1"/>
  <c r="AC24" i="24"/>
  <c r="W24" i="24"/>
  <c r="T24" i="24"/>
  <c r="Q24" i="24"/>
  <c r="J24" i="24"/>
  <c r="N24" i="24" s="1"/>
  <c r="H24" i="24"/>
  <c r="G24" i="24"/>
  <c r="AC23" i="24"/>
  <c r="Z23" i="24"/>
  <c r="W23" i="24"/>
  <c r="P23" i="24"/>
  <c r="T23" i="24" s="1"/>
  <c r="M23" i="24"/>
  <c r="K23" i="24"/>
  <c r="J23" i="24"/>
  <c r="N23" i="24" s="1"/>
  <c r="H23" i="24"/>
  <c r="G23" i="24"/>
  <c r="AC22" i="24"/>
  <c r="W22" i="24"/>
  <c r="J22" i="24"/>
  <c r="N22" i="24" s="1"/>
  <c r="H22" i="24"/>
  <c r="G22" i="24"/>
  <c r="AC21" i="24"/>
  <c r="Z21" i="24"/>
  <c r="W21" i="24"/>
  <c r="T21" i="24"/>
  <c r="Q21" i="24"/>
  <c r="N21" i="24"/>
  <c r="J21" i="24"/>
  <c r="G21" i="24"/>
  <c r="K21" i="24" s="1"/>
  <c r="AC20" i="24"/>
  <c r="AC27" i="24" s="1"/>
  <c r="W20" i="24"/>
  <c r="T20" i="24"/>
  <c r="Q20" i="24"/>
  <c r="P27" i="24"/>
  <c r="L27" i="24"/>
  <c r="AM20" i="24" s="1"/>
  <c r="K20" i="24"/>
  <c r="J20" i="24"/>
  <c r="G20" i="24"/>
  <c r="AA19" i="24"/>
  <c r="AA32" i="24" s="1"/>
  <c r="X19" i="24"/>
  <c r="X32" i="24" s="1"/>
  <c r="U19" i="24"/>
  <c r="U32" i="24" s="1"/>
  <c r="R19" i="24"/>
  <c r="O19" i="24"/>
  <c r="M19" i="24"/>
  <c r="L19" i="24"/>
  <c r="I19" i="24"/>
  <c r="F19" i="24"/>
  <c r="F32" i="24" s="1"/>
  <c r="E19" i="24"/>
  <c r="E32" i="24" s="1"/>
  <c r="AC18" i="24"/>
  <c r="V18" i="24"/>
  <c r="W18" i="24" s="1"/>
  <c r="S18" i="24"/>
  <c r="T18" i="24" s="1"/>
  <c r="P18" i="24"/>
  <c r="Z18" i="24" s="1"/>
  <c r="M18" i="24"/>
  <c r="N18" i="24" s="1"/>
  <c r="K18" i="24"/>
  <c r="J18" i="24"/>
  <c r="G18" i="24"/>
  <c r="H18" i="24" s="1"/>
  <c r="AC17" i="24"/>
  <c r="V17" i="24"/>
  <c r="W17" i="24" s="1"/>
  <c r="S17" i="24"/>
  <c r="T17" i="24" s="1"/>
  <c r="P17" i="24"/>
  <c r="Q17" i="24" s="1"/>
  <c r="M17" i="24"/>
  <c r="N17" i="24" s="1"/>
  <c r="K17" i="24"/>
  <c r="J17" i="24"/>
  <c r="G17" i="24"/>
  <c r="H17" i="24" s="1"/>
  <c r="AC16" i="24"/>
  <c r="Z16" i="24"/>
  <c r="V16" i="24"/>
  <c r="S16" i="24"/>
  <c r="T16" i="24" s="1"/>
  <c r="P16" i="24"/>
  <c r="Q16" i="24" s="1"/>
  <c r="M16" i="24"/>
  <c r="N16" i="24" s="1"/>
  <c r="J16" i="24"/>
  <c r="K16" i="24" s="1"/>
  <c r="H16" i="24"/>
  <c r="G16" i="24"/>
  <c r="AB15" i="24"/>
  <c r="Y15" i="24"/>
  <c r="Z15" i="24" s="1"/>
  <c r="V15" i="24"/>
  <c r="S15" i="24"/>
  <c r="T15" i="24" s="1"/>
  <c r="P15" i="24"/>
  <c r="Q15" i="24" s="1"/>
  <c r="M15" i="24"/>
  <c r="N15" i="24" s="1"/>
  <c r="J15" i="24"/>
  <c r="K15" i="24" s="1"/>
  <c r="H15" i="24"/>
  <c r="G15" i="24"/>
  <c r="AC14" i="24"/>
  <c r="W14" i="24"/>
  <c r="V14" i="24"/>
  <c r="S14" i="24"/>
  <c r="P14" i="24"/>
  <c r="Z14" i="24" s="1"/>
  <c r="M14" i="24"/>
  <c r="J14" i="24"/>
  <c r="K14" i="24" s="1"/>
  <c r="G14" i="24"/>
  <c r="H14" i="24" s="1"/>
  <c r="AB13" i="24"/>
  <c r="AC13" i="24" s="1"/>
  <c r="Y13" i="24"/>
  <c r="W13" i="24"/>
  <c r="V13" i="24"/>
  <c r="S13" i="24"/>
  <c r="P13" i="24"/>
  <c r="Q13" i="24" s="1"/>
  <c r="M13" i="24"/>
  <c r="J13" i="24"/>
  <c r="K13" i="24" s="1"/>
  <c r="G13" i="24"/>
  <c r="H13" i="24" s="1"/>
  <c r="AC12" i="24"/>
  <c r="W12" i="24"/>
  <c r="V12" i="24"/>
  <c r="S12" i="24"/>
  <c r="P12" i="24"/>
  <c r="Q12" i="24" s="1"/>
  <c r="M12" i="24"/>
  <c r="J12" i="24"/>
  <c r="K12" i="24" s="1"/>
  <c r="G12" i="24"/>
  <c r="H12" i="24" s="1"/>
  <c r="AC11" i="24"/>
  <c r="W11" i="24"/>
  <c r="V11" i="24"/>
  <c r="S11" i="24"/>
  <c r="P11" i="24"/>
  <c r="Q11" i="24" s="1"/>
  <c r="M11" i="24"/>
  <c r="J11" i="24"/>
  <c r="K11" i="24" s="1"/>
  <c r="G11" i="24"/>
  <c r="H11" i="24" s="1"/>
  <c r="AC10" i="24"/>
  <c r="W10" i="24"/>
  <c r="V10" i="24"/>
  <c r="S10" i="24"/>
  <c r="P10" i="24"/>
  <c r="Q10" i="24" s="1"/>
  <c r="M10" i="24"/>
  <c r="J10" i="24"/>
  <c r="K10" i="24" s="1"/>
  <c r="G10" i="24"/>
  <c r="H10" i="24" s="1"/>
  <c r="AC9" i="24"/>
  <c r="W9" i="24"/>
  <c r="P9" i="24"/>
  <c r="Q9" i="24" s="1"/>
  <c r="M9" i="24"/>
  <c r="J9" i="24"/>
  <c r="K9" i="24" s="1"/>
  <c r="G9" i="24"/>
  <c r="H9" i="24" s="1"/>
  <c r="AC8" i="24"/>
  <c r="Z8" i="24"/>
  <c r="W8" i="24"/>
  <c r="V8" i="24"/>
  <c r="S8" i="24"/>
  <c r="T8" i="24" s="1"/>
  <c r="Q8" i="24"/>
  <c r="P8" i="24"/>
  <c r="M8" i="24"/>
  <c r="N8" i="24" s="1"/>
  <c r="K8" i="24"/>
  <c r="J8" i="24"/>
  <c r="G8" i="24"/>
  <c r="H8" i="24" s="1"/>
  <c r="AC7" i="24"/>
  <c r="Z7" i="24"/>
  <c r="W7" i="24"/>
  <c r="V7" i="24"/>
  <c r="S7" i="24"/>
  <c r="T7" i="24" s="1"/>
  <c r="Q7" i="24"/>
  <c r="P7" i="24"/>
  <c r="M7" i="24"/>
  <c r="N7" i="24" s="1"/>
  <c r="K7" i="24"/>
  <c r="J7" i="24"/>
  <c r="G7" i="24"/>
  <c r="H7" i="24" s="1"/>
  <c r="AM6" i="24"/>
  <c r="AL6" i="24"/>
  <c r="AL32" i="24" s="1"/>
  <c r="AJ6" i="24"/>
  <c r="AJ32" i="24" s="1"/>
  <c r="AH6" i="24"/>
  <c r="AH32" i="24" s="1"/>
  <c r="AE6" i="24"/>
  <c r="AE32" i="24" s="1"/>
  <c r="AD6" i="24"/>
  <c r="AB19" i="24"/>
  <c r="AB32" i="24" s="1"/>
  <c r="Z6" i="24"/>
  <c r="V6" i="24"/>
  <c r="W6" i="24" s="1"/>
  <c r="S6" i="24"/>
  <c r="S19" i="24" s="1"/>
  <c r="S32" i="24" s="1"/>
  <c r="P6" i="24"/>
  <c r="P19" i="24" s="1"/>
  <c r="P32" i="24" s="1"/>
  <c r="M6" i="24"/>
  <c r="N6" i="24" s="1"/>
  <c r="J6" i="24"/>
  <c r="J19" i="24" s="1"/>
  <c r="G6" i="24"/>
  <c r="G19" i="24" s="1"/>
  <c r="AG39" i="24" l="1"/>
  <c r="R32" i="24"/>
  <c r="I32" i="24"/>
  <c r="I39" i="24" s="1"/>
  <c r="O32" i="24"/>
  <c r="AD20" i="24"/>
  <c r="AD32" i="24" s="1"/>
  <c r="W19" i="24"/>
  <c r="Q6" i="24"/>
  <c r="AC6" i="24"/>
  <c r="T9" i="24"/>
  <c r="T10" i="24"/>
  <c r="T11" i="24"/>
  <c r="T12" i="24"/>
  <c r="T13" i="24"/>
  <c r="T14" i="24"/>
  <c r="AC15" i="24"/>
  <c r="Y19" i="24"/>
  <c r="Y32" i="24" s="1"/>
  <c r="G27" i="24"/>
  <c r="T27" i="24"/>
  <c r="K22" i="24"/>
  <c r="K27" i="24" s="1"/>
  <c r="K24" i="24"/>
  <c r="K28" i="24"/>
  <c r="Q36" i="24"/>
  <c r="Q37" i="24" s="1"/>
  <c r="P36" i="24"/>
  <c r="P37" i="24" s="1"/>
  <c r="X39" i="24"/>
  <c r="AA39" i="24"/>
  <c r="Z9" i="24"/>
  <c r="H6" i="24"/>
  <c r="H19" i="24" s="1"/>
  <c r="T6" i="24"/>
  <c r="N9" i="24"/>
  <c r="N10" i="24"/>
  <c r="N19" i="24" s="1"/>
  <c r="N11" i="24"/>
  <c r="N12" i="24"/>
  <c r="N13" i="24"/>
  <c r="N14" i="24"/>
  <c r="W15" i="24"/>
  <c r="W16" i="24"/>
  <c r="Z17" i="24"/>
  <c r="Q18" i="24"/>
  <c r="L32" i="24"/>
  <c r="AM32" i="24" s="1"/>
  <c r="V19" i="24"/>
  <c r="V32" i="24" s="1"/>
  <c r="H20" i="24"/>
  <c r="M27" i="24"/>
  <c r="AN20" i="24" s="1"/>
  <c r="N20" i="24"/>
  <c r="N27" i="24" s="1"/>
  <c r="W27" i="24"/>
  <c r="H21" i="24"/>
  <c r="Z22" i="24"/>
  <c r="Q23" i="24"/>
  <c r="K30" i="24"/>
  <c r="H30" i="24"/>
  <c r="R39" i="24"/>
  <c r="O39" i="24"/>
  <c r="AE39" i="24"/>
  <c r="J36" i="24"/>
  <c r="J37" i="24" s="1"/>
  <c r="K33" i="24"/>
  <c r="K36" i="24" s="1"/>
  <c r="K37" i="24" s="1"/>
  <c r="V36" i="24"/>
  <c r="V37" i="24" s="1"/>
  <c r="W33" i="24"/>
  <c r="W36" i="24" s="1"/>
  <c r="W37" i="24" s="1"/>
  <c r="AM33" i="24"/>
  <c r="AD33" i="24"/>
  <c r="AD37" i="24" s="1"/>
  <c r="L37" i="24"/>
  <c r="AN6" i="24"/>
  <c r="K6" i="24"/>
  <c r="K19" i="24" s="1"/>
  <c r="Z10" i="24"/>
  <c r="Z11" i="24"/>
  <c r="Z12" i="24"/>
  <c r="Z13" i="24"/>
  <c r="Q14" i="24"/>
  <c r="Q22" i="24"/>
  <c r="Q27" i="24" s="1"/>
  <c r="H25" i="24"/>
  <c r="J27" i="24"/>
  <c r="G31" i="24"/>
  <c r="G32" i="24" s="1"/>
  <c r="H28" i="24"/>
  <c r="N29" i="24"/>
  <c r="N31" i="24" s="1"/>
  <c r="K29" i="24"/>
  <c r="N33" i="24"/>
  <c r="N36" i="24" s="1"/>
  <c r="N37" i="24" s="1"/>
  <c r="F39" i="24"/>
  <c r="U39" i="24"/>
  <c r="M36" i="24"/>
  <c r="Y36" i="24"/>
  <c r="Y37" i="24" s="1"/>
  <c r="Z20" i="24"/>
  <c r="J31" i="24"/>
  <c r="J32" i="24" s="1"/>
  <c r="H33" i="24"/>
  <c r="H36" i="24" s="1"/>
  <c r="H37" i="24" s="1"/>
  <c r="T33" i="24"/>
  <c r="T36" i="24" s="1"/>
  <c r="T37" i="24" s="1"/>
  <c r="J29" i="23"/>
  <c r="J28" i="23"/>
  <c r="G30" i="23"/>
  <c r="G29" i="23"/>
  <c r="Z19" i="24" l="1"/>
  <c r="W32" i="24"/>
  <c r="W39" i="24" s="1"/>
  <c r="AD39" i="24"/>
  <c r="N32" i="24"/>
  <c r="N39" i="24" s="1"/>
  <c r="M37" i="24"/>
  <c r="AN37" i="24" s="1"/>
  <c r="AN33" i="24"/>
  <c r="Q19" i="24"/>
  <c r="Q32" i="24" s="1"/>
  <c r="Q39" i="24" s="1"/>
  <c r="H27" i="24"/>
  <c r="M32" i="24"/>
  <c r="AN32" i="24" s="1"/>
  <c r="Z27" i="24"/>
  <c r="T19" i="24"/>
  <c r="T32" i="24" s="1"/>
  <c r="T39" i="24" s="1"/>
  <c r="K31" i="24"/>
  <c r="L39" i="24"/>
  <c r="AM37" i="24"/>
  <c r="AM39" i="24" s="1"/>
  <c r="H31" i="24"/>
  <c r="H32" i="24" s="1"/>
  <c r="K32" i="24"/>
  <c r="K39" i="24" s="1"/>
  <c r="AC19" i="24"/>
  <c r="AC32" i="24" s="1"/>
  <c r="AC39" i="24" s="1"/>
  <c r="G28" i="23"/>
  <c r="Z32" i="24" l="1"/>
  <c r="Z39" i="24" s="1"/>
  <c r="AN39" i="24"/>
  <c r="AH20" i="23"/>
  <c r="AH28" i="23"/>
  <c r="AL20" i="23"/>
  <c r="AJ20" i="23"/>
  <c r="AE20" i="23"/>
  <c r="P22" i="23"/>
  <c r="M22" i="23"/>
  <c r="P23" i="23"/>
  <c r="M23" i="23"/>
  <c r="P20" i="23"/>
  <c r="M20" i="23"/>
  <c r="L20" i="23"/>
  <c r="AF32" i="23" l="1"/>
  <c r="AC32" i="23"/>
  <c r="AB32" i="23"/>
  <c r="AA32" i="23"/>
  <c r="Y32" i="23"/>
  <c r="X32" i="23"/>
  <c r="W32" i="23"/>
  <c r="V32" i="23"/>
  <c r="U32" i="23"/>
  <c r="S32" i="23"/>
  <c r="R32" i="23"/>
  <c r="O32" i="23"/>
  <c r="AB27" i="23"/>
  <c r="AA27" i="23"/>
  <c r="Y27" i="23"/>
  <c r="X27" i="23"/>
  <c r="V27" i="23"/>
  <c r="U27" i="23"/>
  <c r="S27" i="23"/>
  <c r="R27" i="23"/>
  <c r="O27" i="23"/>
  <c r="L27" i="23"/>
  <c r="AM20" i="23" s="1"/>
  <c r="I27" i="23"/>
  <c r="F27" i="23"/>
  <c r="E27" i="23"/>
  <c r="AC26" i="23"/>
  <c r="Z26" i="23"/>
  <c r="W26" i="23"/>
  <c r="T26" i="23"/>
  <c r="Q26" i="23"/>
  <c r="J26" i="23"/>
  <c r="N26" i="23" s="1"/>
  <c r="H26" i="23"/>
  <c r="G26" i="23"/>
  <c r="AC25" i="23"/>
  <c r="Z25" i="23"/>
  <c r="W25" i="23"/>
  <c r="T25" i="23"/>
  <c r="Q25" i="23"/>
  <c r="K25" i="23"/>
  <c r="J25" i="23"/>
  <c r="N25" i="23" s="1"/>
  <c r="H25" i="23"/>
  <c r="G25" i="23"/>
  <c r="AC24" i="23"/>
  <c r="Z24" i="23"/>
  <c r="W24" i="23"/>
  <c r="T24" i="23"/>
  <c r="Q24" i="23"/>
  <c r="J24" i="23"/>
  <c r="N24" i="23" s="1"/>
  <c r="G24" i="23"/>
  <c r="H24" i="23" s="1"/>
  <c r="AC23" i="23"/>
  <c r="Z23" i="23"/>
  <c r="W23" i="23"/>
  <c r="T23" i="23"/>
  <c r="Q23" i="23"/>
  <c r="N23" i="23"/>
  <c r="J23" i="23"/>
  <c r="K23" i="23" s="1"/>
  <c r="G23" i="23"/>
  <c r="H23" i="23" s="1"/>
  <c r="AC22" i="23"/>
  <c r="Z22" i="23"/>
  <c r="W22" i="23"/>
  <c r="T22" i="23"/>
  <c r="Q22" i="23"/>
  <c r="K22" i="23"/>
  <c r="J22" i="23"/>
  <c r="N22" i="23" s="1"/>
  <c r="H22" i="23"/>
  <c r="G22" i="23"/>
  <c r="AC21" i="23"/>
  <c r="Z21" i="23"/>
  <c r="W21" i="23"/>
  <c r="T21" i="23"/>
  <c r="Q21" i="23"/>
  <c r="N21" i="23"/>
  <c r="K21" i="23"/>
  <c r="J21" i="23"/>
  <c r="H21" i="23"/>
  <c r="G21" i="23"/>
  <c r="AC20" i="23"/>
  <c r="AC27" i="23" s="1"/>
  <c r="W20" i="23"/>
  <c r="Q20" i="23"/>
  <c r="M27" i="23"/>
  <c r="J20" i="23"/>
  <c r="K20" i="23" s="1"/>
  <c r="G20" i="23"/>
  <c r="V16" i="23"/>
  <c r="AB17" i="23"/>
  <c r="Y17" i="23"/>
  <c r="V17" i="23"/>
  <c r="V14" i="23"/>
  <c r="AB15" i="23"/>
  <c r="Y15" i="23"/>
  <c r="V15" i="23"/>
  <c r="AB9" i="23"/>
  <c r="Y9" i="23"/>
  <c r="V9" i="23"/>
  <c r="AB8" i="23"/>
  <c r="Y8" i="23"/>
  <c r="V8" i="23"/>
  <c r="V7" i="23"/>
  <c r="AB6" i="23"/>
  <c r="Y6" i="23"/>
  <c r="V6" i="23"/>
  <c r="V13" i="23"/>
  <c r="AB13" i="23"/>
  <c r="Y13" i="23"/>
  <c r="AB12" i="23"/>
  <c r="Y12" i="23"/>
  <c r="AB10" i="23"/>
  <c r="Y10" i="23"/>
  <c r="AB11" i="23"/>
  <c r="Y11" i="23"/>
  <c r="L32" i="23" l="1"/>
  <c r="Q27" i="23"/>
  <c r="G27" i="23"/>
  <c r="W27" i="23"/>
  <c r="AN20" i="23"/>
  <c r="K24" i="23"/>
  <c r="Z20" i="23"/>
  <c r="Z27" i="23" s="1"/>
  <c r="T20" i="23"/>
  <c r="T27" i="23" s="1"/>
  <c r="AD20" i="23"/>
  <c r="K26" i="23"/>
  <c r="K27" i="23" s="1"/>
  <c r="J27" i="23"/>
  <c r="H20" i="23"/>
  <c r="H27" i="23" s="1"/>
  <c r="N20" i="23"/>
  <c r="N27" i="23" s="1"/>
  <c r="P27" i="23"/>
  <c r="AK37" i="23"/>
  <c r="AI37" i="23"/>
  <c r="AG37" i="23"/>
  <c r="AF37" i="23"/>
  <c r="X37" i="23"/>
  <c r="AA36" i="23"/>
  <c r="AA37" i="23" s="1"/>
  <c r="X36" i="23"/>
  <c r="U36" i="23"/>
  <c r="U37" i="23" s="1"/>
  <c r="R36" i="23"/>
  <c r="R37" i="23" s="1"/>
  <c r="O36" i="23"/>
  <c r="O37" i="23" s="1"/>
  <c r="L36" i="23"/>
  <c r="L37" i="23" s="1"/>
  <c r="I36" i="23"/>
  <c r="I37" i="23" s="1"/>
  <c r="F36" i="23"/>
  <c r="F37" i="23" s="1"/>
  <c r="E36" i="23"/>
  <c r="E37" i="23" s="1"/>
  <c r="AB35" i="23"/>
  <c r="Z35" i="23"/>
  <c r="Y35" i="23"/>
  <c r="V35" i="23"/>
  <c r="S35" i="23"/>
  <c r="W35" i="23" s="1"/>
  <c r="P35" i="23"/>
  <c r="M35" i="23"/>
  <c r="Q35" i="23" s="1"/>
  <c r="J35" i="23"/>
  <c r="N35" i="23" s="1"/>
  <c r="G35" i="23"/>
  <c r="AB34" i="23"/>
  <c r="Z34" i="23"/>
  <c r="Y34" i="23"/>
  <c r="V34" i="23"/>
  <c r="V36" i="23" s="1"/>
  <c r="V37" i="23" s="1"/>
  <c r="S34" i="23"/>
  <c r="W34" i="23" s="1"/>
  <c r="P34" i="23"/>
  <c r="M34" i="23"/>
  <c r="Q34" i="23" s="1"/>
  <c r="J34" i="23"/>
  <c r="N34" i="23" s="1"/>
  <c r="G34" i="23"/>
  <c r="AL33" i="23"/>
  <c r="AL37" i="23" s="1"/>
  <c r="AJ33" i="23"/>
  <c r="AJ37" i="23" s="1"/>
  <c r="AH33" i="23"/>
  <c r="AH37" i="23" s="1"/>
  <c r="AE33" i="23"/>
  <c r="AE37" i="23" s="1"/>
  <c r="AD33" i="23"/>
  <c r="AD37" i="23" s="1"/>
  <c r="AB33" i="23"/>
  <c r="Y33" i="23"/>
  <c r="Z33" i="23" s="1"/>
  <c r="V33" i="23"/>
  <c r="S33" i="23"/>
  <c r="S36" i="23" s="1"/>
  <c r="S37" i="23" s="1"/>
  <c r="P33" i="23"/>
  <c r="P36" i="23" s="1"/>
  <c r="P37" i="23" s="1"/>
  <c r="M33" i="23"/>
  <c r="N33" i="23" s="1"/>
  <c r="J33" i="23"/>
  <c r="J36" i="23" s="1"/>
  <c r="J37" i="23" s="1"/>
  <c r="G33" i="23"/>
  <c r="G36" i="23" s="1"/>
  <c r="G37" i="23" s="1"/>
  <c r="AK32" i="23"/>
  <c r="AI32" i="23"/>
  <c r="AG32" i="23"/>
  <c r="AB31" i="23"/>
  <c r="AA31" i="23"/>
  <c r="Y31" i="23"/>
  <c r="X31" i="23"/>
  <c r="V31" i="23"/>
  <c r="U31" i="23"/>
  <c r="S31" i="23"/>
  <c r="R31" i="23"/>
  <c r="O31" i="23"/>
  <c r="L31" i="23"/>
  <c r="AM28" i="23" s="1"/>
  <c r="I31" i="23"/>
  <c r="I32" i="23" s="1"/>
  <c r="F31" i="23"/>
  <c r="F32" i="23" s="1"/>
  <c r="E31" i="23"/>
  <c r="E32" i="23" s="1"/>
  <c r="AC30" i="23"/>
  <c r="Z30" i="23"/>
  <c r="W30" i="23"/>
  <c r="T30" i="23"/>
  <c r="Q30" i="23"/>
  <c r="N30" i="23"/>
  <c r="H30" i="23"/>
  <c r="AC29" i="23"/>
  <c r="Z29" i="23"/>
  <c r="W29" i="23"/>
  <c r="T29" i="23"/>
  <c r="Q29" i="23"/>
  <c r="K29" i="23"/>
  <c r="H29" i="23"/>
  <c r="AC28" i="23"/>
  <c r="AC31" i="23" s="1"/>
  <c r="W28" i="23"/>
  <c r="T28" i="23"/>
  <c r="T31" i="23" s="1"/>
  <c r="T32" i="23" s="1"/>
  <c r="P31" i="23"/>
  <c r="N28" i="23"/>
  <c r="G31" i="23"/>
  <c r="G32" i="23" s="1"/>
  <c r="AA19" i="23"/>
  <c r="X19" i="23"/>
  <c r="R19" i="23"/>
  <c r="O19" i="23"/>
  <c r="L19" i="23"/>
  <c r="I19" i="23"/>
  <c r="F19" i="23"/>
  <c r="E19" i="23"/>
  <c r="AC18" i="23"/>
  <c r="V18" i="23"/>
  <c r="W18" i="23" s="1"/>
  <c r="S18" i="23"/>
  <c r="P18" i="23"/>
  <c r="Z18" i="23" s="1"/>
  <c r="M18" i="23"/>
  <c r="J18" i="23"/>
  <c r="K18" i="23" s="1"/>
  <c r="G18" i="23"/>
  <c r="H18" i="23" s="1"/>
  <c r="AC17" i="23"/>
  <c r="Z17" i="23"/>
  <c r="S17" i="23"/>
  <c r="T17" i="23" s="1"/>
  <c r="P17" i="23"/>
  <c r="M17" i="23"/>
  <c r="N17" i="23" s="1"/>
  <c r="J17" i="23"/>
  <c r="G17" i="23"/>
  <c r="H17" i="23" s="1"/>
  <c r="AC16" i="23"/>
  <c r="W16" i="23"/>
  <c r="S16" i="23"/>
  <c r="P16" i="23"/>
  <c r="T16" i="23" s="1"/>
  <c r="M16" i="23"/>
  <c r="N16" i="23" s="1"/>
  <c r="J16" i="23"/>
  <c r="K16" i="23" s="1"/>
  <c r="H16" i="23"/>
  <c r="G16" i="23"/>
  <c r="AC15" i="23"/>
  <c r="W15" i="23"/>
  <c r="S15" i="23"/>
  <c r="P15" i="23"/>
  <c r="Z15" i="23" s="1"/>
  <c r="M15" i="23"/>
  <c r="J15" i="23"/>
  <c r="G15" i="23"/>
  <c r="H15" i="23" s="1"/>
  <c r="AC14" i="23"/>
  <c r="S14" i="23"/>
  <c r="W14" i="23" s="1"/>
  <c r="P14" i="23"/>
  <c r="M14" i="23"/>
  <c r="J14" i="23"/>
  <c r="K14" i="23" s="1"/>
  <c r="H14" i="23"/>
  <c r="G14" i="23"/>
  <c r="AC13" i="23"/>
  <c r="S13" i="23"/>
  <c r="W13" i="23" s="1"/>
  <c r="P13" i="23"/>
  <c r="M13" i="23"/>
  <c r="J13" i="23"/>
  <c r="K13" i="23" s="1"/>
  <c r="H13" i="23"/>
  <c r="G13" i="23"/>
  <c r="AC12" i="23"/>
  <c r="V12" i="23"/>
  <c r="S12" i="23"/>
  <c r="P12" i="23"/>
  <c r="M12" i="23"/>
  <c r="J12" i="23"/>
  <c r="K12" i="23" s="1"/>
  <c r="H12" i="23"/>
  <c r="G12" i="23"/>
  <c r="AC11" i="23"/>
  <c r="V11" i="23"/>
  <c r="S11" i="23"/>
  <c r="P11" i="23"/>
  <c r="M11" i="23"/>
  <c r="J11" i="23"/>
  <c r="K11" i="23" s="1"/>
  <c r="H11" i="23"/>
  <c r="G11" i="23"/>
  <c r="AC10" i="23"/>
  <c r="V10" i="23"/>
  <c r="S10" i="23"/>
  <c r="P10" i="23"/>
  <c r="M10" i="23"/>
  <c r="J10" i="23"/>
  <c r="K10" i="23" s="1"/>
  <c r="H10" i="23"/>
  <c r="G10" i="23"/>
  <c r="AC9" i="23"/>
  <c r="W9" i="23"/>
  <c r="S9" i="23"/>
  <c r="P9" i="23"/>
  <c r="Z9" i="23" s="1"/>
  <c r="M9" i="23"/>
  <c r="N9" i="23" s="1"/>
  <c r="J9" i="23"/>
  <c r="G9" i="23"/>
  <c r="H9" i="23" s="1"/>
  <c r="W8" i="23"/>
  <c r="S8" i="23"/>
  <c r="P8" i="23"/>
  <c r="Z8" i="23" s="1"/>
  <c r="M8" i="23"/>
  <c r="N8" i="23" s="1"/>
  <c r="J8" i="23"/>
  <c r="G8" i="23"/>
  <c r="H8" i="23" s="1"/>
  <c r="AB7" i="23"/>
  <c r="Y7" i="23"/>
  <c r="S7" i="23"/>
  <c r="P7" i="23"/>
  <c r="Q7" i="23" s="1"/>
  <c r="M7" i="23"/>
  <c r="J7" i="23"/>
  <c r="G7" i="23"/>
  <c r="H7" i="23" s="1"/>
  <c r="AL6" i="23"/>
  <c r="AL32" i="23" s="1"/>
  <c r="AJ6" i="23"/>
  <c r="AH6" i="23"/>
  <c r="AH32" i="23" s="1"/>
  <c r="AE6" i="23"/>
  <c r="AE32" i="23" s="1"/>
  <c r="AD6" i="23"/>
  <c r="AC6" i="23"/>
  <c r="Z6" i="23"/>
  <c r="W6" i="23"/>
  <c r="U19" i="23"/>
  <c r="S6" i="23"/>
  <c r="P6" i="23"/>
  <c r="M6" i="23"/>
  <c r="Q6" i="23" s="1"/>
  <c r="J6" i="23"/>
  <c r="G6" i="23"/>
  <c r="P32" i="23" l="1"/>
  <c r="AK39" i="23"/>
  <c r="W10" i="23"/>
  <c r="W11" i="23"/>
  <c r="W12" i="23"/>
  <c r="N15" i="23"/>
  <c r="K17" i="23"/>
  <c r="N18" i="23"/>
  <c r="AD28" i="23"/>
  <c r="AD32" i="23" s="1"/>
  <c r="AD39" i="23" s="1"/>
  <c r="N29" i="23"/>
  <c r="K30" i="23"/>
  <c r="AM33" i="23"/>
  <c r="T34" i="23"/>
  <c r="T35" i="23"/>
  <c r="T7" i="23"/>
  <c r="N36" i="23"/>
  <c r="N37" i="23" s="1"/>
  <c r="Z36" i="23"/>
  <c r="Z37" i="23" s="1"/>
  <c r="K34" i="23"/>
  <c r="K35" i="23"/>
  <c r="Q8" i="23"/>
  <c r="Q9" i="23"/>
  <c r="K6" i="23"/>
  <c r="AJ32" i="23"/>
  <c r="N7" i="23"/>
  <c r="W7" i="23"/>
  <c r="T8" i="23"/>
  <c r="T9" i="23"/>
  <c r="Q10" i="23"/>
  <c r="Q11" i="23"/>
  <c r="Q12" i="23"/>
  <c r="Q13" i="23"/>
  <c r="T14" i="23"/>
  <c r="T15" i="23"/>
  <c r="W31" i="23"/>
  <c r="AB36" i="23"/>
  <c r="AB37" i="23" s="1"/>
  <c r="H34" i="23"/>
  <c r="AC34" i="23"/>
  <c r="H35" i="23"/>
  <c r="AC35" i="23"/>
  <c r="AG39" i="23"/>
  <c r="AI39" i="23"/>
  <c r="AM32" i="23"/>
  <c r="X39" i="23"/>
  <c r="AM6" i="23"/>
  <c r="L39" i="23"/>
  <c r="S19" i="23"/>
  <c r="T6" i="23"/>
  <c r="Z7" i="23"/>
  <c r="Y19" i="23"/>
  <c r="N6" i="23"/>
  <c r="M19" i="23"/>
  <c r="K8" i="23"/>
  <c r="T11" i="23"/>
  <c r="T12" i="23"/>
  <c r="T13" i="23"/>
  <c r="Q15" i="23"/>
  <c r="Q18" i="23"/>
  <c r="J19" i="23"/>
  <c r="G19" i="23"/>
  <c r="H6" i="23"/>
  <c r="H19" i="23" s="1"/>
  <c r="P19" i="23"/>
  <c r="V19" i="23"/>
  <c r="AB19" i="23"/>
  <c r="AC7" i="23"/>
  <c r="AC8" i="23"/>
  <c r="N10" i="23"/>
  <c r="N11" i="23"/>
  <c r="N12" i="23"/>
  <c r="N13" i="23"/>
  <c r="N14" i="23"/>
  <c r="K15" i="23"/>
  <c r="Q17" i="23"/>
  <c r="T18" i="23"/>
  <c r="N31" i="23"/>
  <c r="N32" i="23" s="1"/>
  <c r="F39" i="23"/>
  <c r="O39" i="23"/>
  <c r="Q14" i="23"/>
  <c r="Z14" i="23"/>
  <c r="I39" i="23"/>
  <c r="R39" i="23"/>
  <c r="AA39" i="23"/>
  <c r="Z10" i="23"/>
  <c r="Z11" i="23"/>
  <c r="Z12" i="23"/>
  <c r="Z13" i="23"/>
  <c r="Z16" i="23"/>
  <c r="Q16" i="23"/>
  <c r="AE39" i="23"/>
  <c r="U39" i="23"/>
  <c r="K7" i="23"/>
  <c r="K9" i="23"/>
  <c r="T10" i="23"/>
  <c r="W17" i="23"/>
  <c r="Z28" i="23"/>
  <c r="Z31" i="23" s="1"/>
  <c r="Z32" i="23" s="1"/>
  <c r="AM37" i="23"/>
  <c r="K28" i="23"/>
  <c r="K31" i="23" s="1"/>
  <c r="K32" i="23" s="1"/>
  <c r="Q28" i="23"/>
  <c r="Q31" i="23" s="1"/>
  <c r="Q32" i="23" s="1"/>
  <c r="M31" i="23"/>
  <c r="K33" i="23"/>
  <c r="K36" i="23" s="1"/>
  <c r="K37" i="23" s="1"/>
  <c r="Q33" i="23"/>
  <c r="Q36" i="23" s="1"/>
  <c r="Q37" i="23" s="1"/>
  <c r="W33" i="23"/>
  <c r="W36" i="23" s="1"/>
  <c r="W37" i="23" s="1"/>
  <c r="AC33" i="23"/>
  <c r="AC36" i="23" s="1"/>
  <c r="AC37" i="23" s="1"/>
  <c r="M36" i="23"/>
  <c r="Y36" i="23"/>
  <c r="Y37" i="23" s="1"/>
  <c r="J31" i="23"/>
  <c r="J32" i="23" s="1"/>
  <c r="H28" i="23"/>
  <c r="H31" i="23" s="1"/>
  <c r="H32" i="23" s="1"/>
  <c r="H33" i="23"/>
  <c r="H36" i="23" s="1"/>
  <c r="H37" i="23" s="1"/>
  <c r="T33" i="23"/>
  <c r="T36" i="23" s="1"/>
  <c r="T37" i="23" s="1"/>
  <c r="AL20" i="22"/>
  <c r="AJ20" i="22"/>
  <c r="AH20" i="22"/>
  <c r="AE20" i="22"/>
  <c r="AE6" i="22"/>
  <c r="P20" i="22"/>
  <c r="M20" i="22"/>
  <c r="P17" i="22"/>
  <c r="P9" i="22"/>
  <c r="S16" i="22"/>
  <c r="P16" i="22"/>
  <c r="S17" i="22"/>
  <c r="S18" i="22"/>
  <c r="P18" i="22"/>
  <c r="M18" i="22"/>
  <c r="J18" i="22"/>
  <c r="G18" i="22"/>
  <c r="S14" i="22"/>
  <c r="P14" i="22"/>
  <c r="P15" i="22"/>
  <c r="S15" i="22"/>
  <c r="P8" i="22"/>
  <c r="AB8" i="22"/>
  <c r="Y8" i="22"/>
  <c r="V8" i="22"/>
  <c r="AB7" i="22"/>
  <c r="Y7" i="22"/>
  <c r="V7" i="22"/>
  <c r="AB6" i="22"/>
  <c r="Y6" i="22"/>
  <c r="V6" i="22"/>
  <c r="U6" i="22"/>
  <c r="S8" i="22"/>
  <c r="S7" i="22"/>
  <c r="P7" i="22"/>
  <c r="S6" i="22"/>
  <c r="P6" i="22"/>
  <c r="AB12" i="22"/>
  <c r="Y12" i="22"/>
  <c r="AB10" i="22"/>
  <c r="Y10" i="22"/>
  <c r="S13" i="22"/>
  <c r="P13" i="22"/>
  <c r="S10" i="22"/>
  <c r="M10" i="22"/>
  <c r="P10" i="22"/>
  <c r="AN28" i="23" l="1"/>
  <c r="M32" i="23"/>
  <c r="AN32" i="23" s="1"/>
  <c r="Q19" i="23"/>
  <c r="W19" i="23"/>
  <c r="W39" i="23" s="1"/>
  <c r="K19" i="23"/>
  <c r="K39" i="23" s="1"/>
  <c r="AM39" i="23"/>
  <c r="AC19" i="23"/>
  <c r="AC39" i="23" s="1"/>
  <c r="Z19" i="23"/>
  <c r="Z39" i="23" s="1"/>
  <c r="Q39" i="23"/>
  <c r="N19" i="23"/>
  <c r="N39" i="23" s="1"/>
  <c r="M37" i="23"/>
  <c r="AN37" i="23" s="1"/>
  <c r="AN33" i="23"/>
  <c r="AN6" i="23"/>
  <c r="T19" i="23"/>
  <c r="T39" i="23" s="1"/>
  <c r="AK33" i="22"/>
  <c r="AI33" i="22"/>
  <c r="AG33" i="22"/>
  <c r="AF33" i="22"/>
  <c r="X33" i="22"/>
  <c r="L33" i="22"/>
  <c r="AA32" i="22"/>
  <c r="AA33" i="22" s="1"/>
  <c r="Y32" i="22"/>
  <c r="Y33" i="22" s="1"/>
  <c r="X32" i="22"/>
  <c r="V32" i="22"/>
  <c r="V33" i="22" s="1"/>
  <c r="U32" i="22"/>
  <c r="U33" i="22" s="1"/>
  <c r="R32" i="22"/>
  <c r="R33" i="22" s="1"/>
  <c r="O32" i="22"/>
  <c r="O33" i="22" s="1"/>
  <c r="M32" i="22"/>
  <c r="L32" i="22"/>
  <c r="J32" i="22"/>
  <c r="J33" i="22" s="1"/>
  <c r="I32" i="22"/>
  <c r="I33" i="22" s="1"/>
  <c r="F32" i="22"/>
  <c r="F33" i="22" s="1"/>
  <c r="E32" i="22"/>
  <c r="E33" i="22" s="1"/>
  <c r="AB31" i="22"/>
  <c r="Y31" i="22"/>
  <c r="V31" i="22"/>
  <c r="S31" i="22"/>
  <c r="P31" i="22"/>
  <c r="M31" i="22"/>
  <c r="J31" i="22"/>
  <c r="G31" i="22"/>
  <c r="AB30" i="22"/>
  <c r="Y30" i="22"/>
  <c r="V30" i="22"/>
  <c r="S30" i="22"/>
  <c r="P30" i="22"/>
  <c r="M30" i="22"/>
  <c r="J30" i="22"/>
  <c r="G30" i="22"/>
  <c r="AM29" i="22"/>
  <c r="AL29" i="22"/>
  <c r="AL33" i="22" s="1"/>
  <c r="AJ29" i="22"/>
  <c r="AJ33" i="22" s="1"/>
  <c r="AH29" i="22"/>
  <c r="AH33" i="22" s="1"/>
  <c r="AE29" i="22"/>
  <c r="AE33" i="22" s="1"/>
  <c r="AD29" i="22"/>
  <c r="AD33" i="22" s="1"/>
  <c r="AC29" i="22"/>
  <c r="AB29" i="22"/>
  <c r="AB32" i="22" s="1"/>
  <c r="AB33" i="22" s="1"/>
  <c r="Y29" i="22"/>
  <c r="Z29" i="22" s="1"/>
  <c r="W29" i="22"/>
  <c r="V29" i="22"/>
  <c r="S29" i="22"/>
  <c r="S32" i="22" s="1"/>
  <c r="S33" i="22" s="1"/>
  <c r="Q29" i="22"/>
  <c r="P29" i="22"/>
  <c r="P32" i="22" s="1"/>
  <c r="P33" i="22" s="1"/>
  <c r="M29" i="22"/>
  <c r="N29" i="22" s="1"/>
  <c r="K29" i="22"/>
  <c r="J29" i="22"/>
  <c r="G29" i="22"/>
  <c r="AK28" i="22"/>
  <c r="AK35" i="22" s="1"/>
  <c r="AJ28" i="22"/>
  <c r="AI28" i="22"/>
  <c r="AG28" i="22"/>
  <c r="AF28" i="22"/>
  <c r="AB27" i="22"/>
  <c r="AA27" i="22"/>
  <c r="Y27" i="22"/>
  <c r="X27" i="22"/>
  <c r="V27" i="22"/>
  <c r="U27" i="22"/>
  <c r="S27" i="22"/>
  <c r="R27" i="22"/>
  <c r="P27" i="22"/>
  <c r="O27" i="22"/>
  <c r="M27" i="22"/>
  <c r="AN20" i="22" s="1"/>
  <c r="L27" i="22"/>
  <c r="I27" i="22"/>
  <c r="I28" i="22" s="1"/>
  <c r="F27" i="22"/>
  <c r="E27" i="22"/>
  <c r="E28" i="22" s="1"/>
  <c r="AC26" i="22"/>
  <c r="Z26" i="22"/>
  <c r="W26" i="22"/>
  <c r="T26" i="22"/>
  <c r="Q26" i="22"/>
  <c r="J26" i="22"/>
  <c r="N26" i="22" s="1"/>
  <c r="G26" i="22"/>
  <c r="H26" i="22" s="1"/>
  <c r="AC25" i="22"/>
  <c r="Z25" i="22"/>
  <c r="W25" i="22"/>
  <c r="T25" i="22"/>
  <c r="Q25" i="22"/>
  <c r="N25" i="22"/>
  <c r="J25" i="22"/>
  <c r="G25" i="22"/>
  <c r="K25" i="22" s="1"/>
  <c r="AC24" i="22"/>
  <c r="Z24" i="22"/>
  <c r="W24" i="22"/>
  <c r="T24" i="22"/>
  <c r="Q24" i="22"/>
  <c r="J24" i="22"/>
  <c r="N24" i="22" s="1"/>
  <c r="G24" i="22"/>
  <c r="H24" i="22" s="1"/>
  <c r="AC23" i="22"/>
  <c r="Z23" i="22"/>
  <c r="W23" i="22"/>
  <c r="T23" i="22"/>
  <c r="Q23" i="22"/>
  <c r="N23" i="22"/>
  <c r="J23" i="22"/>
  <c r="H23" i="22"/>
  <c r="G23" i="22"/>
  <c r="K23" i="22" s="1"/>
  <c r="AC22" i="22"/>
  <c r="Z22" i="22"/>
  <c r="W22" i="22"/>
  <c r="T22" i="22"/>
  <c r="Q22" i="22"/>
  <c r="J22" i="22"/>
  <c r="N22" i="22" s="1"/>
  <c r="H22" i="22"/>
  <c r="G22" i="22"/>
  <c r="AC21" i="22"/>
  <c r="AC27" i="22" s="1"/>
  <c r="Z21" i="22"/>
  <c r="W21" i="22"/>
  <c r="T21" i="22"/>
  <c r="Q21" i="22"/>
  <c r="N21" i="22"/>
  <c r="J21" i="22"/>
  <c r="G21" i="22"/>
  <c r="K21" i="22" s="1"/>
  <c r="AM20" i="22"/>
  <c r="AD20" i="22"/>
  <c r="AC20" i="22"/>
  <c r="Z20" i="22"/>
  <c r="W20" i="22"/>
  <c r="T20" i="22"/>
  <c r="T27" i="22" s="1"/>
  <c r="Q20" i="22"/>
  <c r="N20" i="22"/>
  <c r="N27" i="22" s="1"/>
  <c r="J20" i="22"/>
  <c r="H20" i="22"/>
  <c r="G20" i="22"/>
  <c r="AA19" i="22"/>
  <c r="AA28" i="22" s="1"/>
  <c r="O19" i="22"/>
  <c r="L19" i="22"/>
  <c r="L28" i="22" s="1"/>
  <c r="AM28" i="22" s="1"/>
  <c r="I19" i="22"/>
  <c r="F19" i="22"/>
  <c r="F28" i="22" s="1"/>
  <c r="E19" i="22"/>
  <c r="AC18" i="22"/>
  <c r="Z18" i="22"/>
  <c r="W18" i="22"/>
  <c r="V18" i="22"/>
  <c r="T18" i="22"/>
  <c r="N18" i="22"/>
  <c r="H18" i="22"/>
  <c r="AC17" i="22"/>
  <c r="V17" i="22"/>
  <c r="W17" i="22" s="1"/>
  <c r="T17" i="22"/>
  <c r="M17" i="22"/>
  <c r="J17" i="22"/>
  <c r="K17" i="22" s="1"/>
  <c r="H17" i="22"/>
  <c r="G17" i="22"/>
  <c r="AC16" i="22"/>
  <c r="W16" i="22"/>
  <c r="Q16" i="22"/>
  <c r="M16" i="22"/>
  <c r="N16" i="22" s="1"/>
  <c r="J16" i="22"/>
  <c r="K16" i="22" s="1"/>
  <c r="G16" i="22"/>
  <c r="H16" i="22" s="1"/>
  <c r="AC15" i="22"/>
  <c r="Z15" i="22"/>
  <c r="V15" i="22"/>
  <c r="T15" i="22"/>
  <c r="M15" i="22"/>
  <c r="N15" i="22" s="1"/>
  <c r="J15" i="22"/>
  <c r="K15" i="22" s="1"/>
  <c r="G15" i="22"/>
  <c r="H15" i="22" s="1"/>
  <c r="AC14" i="22"/>
  <c r="W14" i="22"/>
  <c r="V14" i="22"/>
  <c r="Z14" i="22"/>
  <c r="M14" i="22"/>
  <c r="J14" i="22"/>
  <c r="K14" i="22" s="1"/>
  <c r="G14" i="22"/>
  <c r="H14" i="22" s="1"/>
  <c r="AB13" i="22"/>
  <c r="AC13" i="22" s="1"/>
  <c r="Y13" i="22"/>
  <c r="W13" i="22"/>
  <c r="V13" i="22"/>
  <c r="Q13" i="22"/>
  <c r="M13" i="22"/>
  <c r="J13" i="22"/>
  <c r="K13" i="22" s="1"/>
  <c r="G13" i="22"/>
  <c r="H13" i="22" s="1"/>
  <c r="AC12" i="22"/>
  <c r="W12" i="22"/>
  <c r="V12" i="22"/>
  <c r="S12" i="22"/>
  <c r="P12" i="22"/>
  <c r="Q12" i="22" s="1"/>
  <c r="M12" i="22"/>
  <c r="J12" i="22"/>
  <c r="K12" i="22" s="1"/>
  <c r="G12" i="22"/>
  <c r="H12" i="22" s="1"/>
  <c r="AB11" i="22"/>
  <c r="AC11" i="22" s="1"/>
  <c r="Y11" i="22"/>
  <c r="W11" i="22"/>
  <c r="V11" i="22"/>
  <c r="S11" i="22"/>
  <c r="P11" i="22"/>
  <c r="Q11" i="22" s="1"/>
  <c r="M11" i="22"/>
  <c r="J11" i="22"/>
  <c r="K11" i="22" s="1"/>
  <c r="G11" i="22"/>
  <c r="H11" i="22" s="1"/>
  <c r="AC10" i="22"/>
  <c r="W10" i="22"/>
  <c r="V10" i="22"/>
  <c r="Q10" i="22"/>
  <c r="J10" i="22"/>
  <c r="K10" i="22" s="1"/>
  <c r="G10" i="22"/>
  <c r="H10" i="22" s="1"/>
  <c r="AC9" i="22"/>
  <c r="V9" i="22"/>
  <c r="W9" i="22" s="1"/>
  <c r="T9" i="22"/>
  <c r="S9" i="22"/>
  <c r="Q9" i="22"/>
  <c r="N9" i="22"/>
  <c r="M9" i="22"/>
  <c r="J9" i="22"/>
  <c r="K9" i="22" s="1"/>
  <c r="H9" i="22"/>
  <c r="G9" i="22"/>
  <c r="AC8" i="22"/>
  <c r="Z8" i="22"/>
  <c r="V19" i="22"/>
  <c r="V28" i="22" s="1"/>
  <c r="T8" i="22"/>
  <c r="R19" i="22"/>
  <c r="R28" i="22" s="1"/>
  <c r="M8" i="22"/>
  <c r="N8" i="22" s="1"/>
  <c r="K8" i="22"/>
  <c r="J8" i="22"/>
  <c r="G8" i="22"/>
  <c r="H8" i="22" s="1"/>
  <c r="AC7" i="22"/>
  <c r="Z7" i="22"/>
  <c r="T7" i="22"/>
  <c r="M7" i="22"/>
  <c r="N7" i="22" s="1"/>
  <c r="J7" i="22"/>
  <c r="G7" i="22"/>
  <c r="G19" i="22" s="1"/>
  <c r="AL6" i="22"/>
  <c r="AL28" i="22" s="1"/>
  <c r="AJ6" i="22"/>
  <c r="AH6" i="22"/>
  <c r="AH28" i="22" s="1"/>
  <c r="AE28" i="22"/>
  <c r="AB19" i="22"/>
  <c r="AB28" i="22" s="1"/>
  <c r="X19" i="22"/>
  <c r="X28" i="22" s="1"/>
  <c r="W6" i="22"/>
  <c r="U19" i="22"/>
  <c r="U28" i="22" s="1"/>
  <c r="P19" i="22"/>
  <c r="P28" i="22" s="1"/>
  <c r="M6" i="22"/>
  <c r="J6" i="22"/>
  <c r="J19" i="22" s="1"/>
  <c r="G6" i="22"/>
  <c r="H6" i="22" s="1"/>
  <c r="AN39" i="23" l="1"/>
  <c r="AI35" i="22"/>
  <c r="AG35" i="22"/>
  <c r="Z27" i="22"/>
  <c r="Q27" i="22"/>
  <c r="O28" i="22"/>
  <c r="AM6" i="22"/>
  <c r="AD6" i="22"/>
  <c r="AD28" i="22" s="1"/>
  <c r="J28" i="22"/>
  <c r="AC32" i="22"/>
  <c r="AC33" i="22" s="1"/>
  <c r="T6" i="22"/>
  <c r="Z6" i="22"/>
  <c r="Y19" i="22"/>
  <c r="Y28" i="22" s="1"/>
  <c r="Q6" i="22"/>
  <c r="Z10" i="22"/>
  <c r="Z11" i="22"/>
  <c r="Z12" i="22"/>
  <c r="Z13" i="22"/>
  <c r="Z16" i="22"/>
  <c r="R35" i="22"/>
  <c r="K6" i="22"/>
  <c r="AC6" i="22"/>
  <c r="AC19" i="22" s="1"/>
  <c r="AC28" i="22" s="1"/>
  <c r="H7" i="22"/>
  <c r="H19" i="22" s="1"/>
  <c r="H28" i="22" s="1"/>
  <c r="Z9" i="22"/>
  <c r="T10" i="22"/>
  <c r="T11" i="22"/>
  <c r="T13" i="22"/>
  <c r="T14" i="22"/>
  <c r="W15" i="22"/>
  <c r="Q18" i="22"/>
  <c r="M19" i="22"/>
  <c r="K7" i="22"/>
  <c r="Q8" i="22"/>
  <c r="W8" i="22"/>
  <c r="N10" i="22"/>
  <c r="N11" i="22"/>
  <c r="N12" i="22"/>
  <c r="N13" i="22"/>
  <c r="N14" i="22"/>
  <c r="Q15" i="22"/>
  <c r="T16" i="22"/>
  <c r="N17" i="22"/>
  <c r="K18" i="22"/>
  <c r="G27" i="22"/>
  <c r="G28" i="22" s="1"/>
  <c r="K20" i="22"/>
  <c r="K26" i="22"/>
  <c r="G32" i="22"/>
  <c r="G33" i="22" s="1"/>
  <c r="AD35" i="22"/>
  <c r="N30" i="22"/>
  <c r="Q30" i="22"/>
  <c r="Q32" i="22" s="1"/>
  <c r="Q33" i="22" s="1"/>
  <c r="Z30" i="22"/>
  <c r="Z32" i="22" s="1"/>
  <c r="Z33" i="22" s="1"/>
  <c r="AC30" i="22"/>
  <c r="N31" i="22"/>
  <c r="Q31" i="22"/>
  <c r="Z31" i="22"/>
  <c r="AC31" i="22"/>
  <c r="I35" i="22"/>
  <c r="O35" i="22"/>
  <c r="H27" i="22"/>
  <c r="J27" i="22"/>
  <c r="AE35" i="22"/>
  <c r="Q17" i="22"/>
  <c r="Z17" i="22"/>
  <c r="Q14" i="22"/>
  <c r="W27" i="22"/>
  <c r="K22" i="22"/>
  <c r="T30" i="22"/>
  <c r="W30" i="22"/>
  <c r="W32" i="22" s="1"/>
  <c r="W33" i="22" s="1"/>
  <c r="H31" i="22"/>
  <c r="K31" i="22"/>
  <c r="T31" i="22"/>
  <c r="W31" i="22"/>
  <c r="L35" i="22"/>
  <c r="AM33" i="22"/>
  <c r="AM35" i="22" s="1"/>
  <c r="H25" i="22"/>
  <c r="H30" i="22"/>
  <c r="K30" i="22"/>
  <c r="K32" i="22" s="1"/>
  <c r="K33" i="22" s="1"/>
  <c r="Q7" i="22"/>
  <c r="W7" i="22"/>
  <c r="T12" i="22"/>
  <c r="S19" i="22"/>
  <c r="S28" i="22" s="1"/>
  <c r="H21" i="22"/>
  <c r="K24" i="22"/>
  <c r="N32" i="22"/>
  <c r="N33" i="22" s="1"/>
  <c r="N35" i="22" s="1"/>
  <c r="F35" i="22"/>
  <c r="M33" i="22"/>
  <c r="AN33" i="22" s="1"/>
  <c r="AN29" i="22"/>
  <c r="U35" i="22"/>
  <c r="AA35" i="22"/>
  <c r="X35" i="22"/>
  <c r="N6" i="22"/>
  <c r="N19" i="22" s="1"/>
  <c r="N28" i="22" s="1"/>
  <c r="H29" i="22"/>
  <c r="H32" i="22" s="1"/>
  <c r="H33" i="22" s="1"/>
  <c r="T29" i="22"/>
  <c r="T32" i="22" s="1"/>
  <c r="T33" i="22" s="1"/>
  <c r="S16" i="21"/>
  <c r="V17" i="21"/>
  <c r="S17" i="21"/>
  <c r="V18" i="21"/>
  <c r="S18" i="21"/>
  <c r="V14" i="21"/>
  <c r="S14" i="21"/>
  <c r="V15" i="21"/>
  <c r="S15" i="21"/>
  <c r="V9" i="21"/>
  <c r="S9" i="21"/>
  <c r="R9" i="21"/>
  <c r="AB8" i="21"/>
  <c r="Y8" i="21"/>
  <c r="X8" i="21"/>
  <c r="V8" i="21"/>
  <c r="S8" i="21"/>
  <c r="R8" i="21"/>
  <c r="AB7" i="21"/>
  <c r="Y7" i="21"/>
  <c r="V7" i="21"/>
  <c r="S7" i="21"/>
  <c r="R7" i="21"/>
  <c r="AB6" i="21"/>
  <c r="Y6" i="21"/>
  <c r="X6" i="21"/>
  <c r="V6" i="21"/>
  <c r="U6" i="21"/>
  <c r="S6" i="21"/>
  <c r="R6" i="21"/>
  <c r="AB13" i="21"/>
  <c r="Y13" i="21"/>
  <c r="V13" i="21"/>
  <c r="S13" i="21"/>
  <c r="AB12" i="21"/>
  <c r="Y12" i="21"/>
  <c r="V12" i="21"/>
  <c r="S12" i="21"/>
  <c r="AB10" i="21"/>
  <c r="Y10" i="21"/>
  <c r="V10" i="21"/>
  <c r="S10" i="21"/>
  <c r="AB11" i="21"/>
  <c r="Y11" i="21"/>
  <c r="V11" i="21"/>
  <c r="S11" i="21"/>
  <c r="W19" i="22" l="1"/>
  <c r="W28" i="22" s="1"/>
  <c r="W35" i="22" s="1"/>
  <c r="Q19" i="22"/>
  <c r="Q28" i="22" s="1"/>
  <c r="Q35" i="22" s="1"/>
  <c r="K27" i="22"/>
  <c r="K19" i="22"/>
  <c r="K28" i="22" s="1"/>
  <c r="K35" i="22" s="1"/>
  <c r="Z19" i="22"/>
  <c r="Z28" i="22" s="1"/>
  <c r="Z35" i="22" s="1"/>
  <c r="AN6" i="22"/>
  <c r="M28" i="22"/>
  <c r="AN28" i="22" s="1"/>
  <c r="AN35" i="22" s="1"/>
  <c r="T19" i="22"/>
  <c r="T28" i="22" s="1"/>
  <c r="T35" i="22" s="1"/>
  <c r="AC35" i="22"/>
  <c r="AL20" i="21"/>
  <c r="AL6" i="21"/>
  <c r="AJ20" i="21"/>
  <c r="AJ6" i="21"/>
  <c r="AH20" i="21"/>
  <c r="AH6" i="21"/>
  <c r="AE6" i="21"/>
  <c r="J30" i="21"/>
  <c r="G30" i="21"/>
  <c r="J29" i="21"/>
  <c r="G29" i="21"/>
  <c r="M18" i="21"/>
  <c r="M17" i="21"/>
  <c r="M16" i="21"/>
  <c r="M15" i="21"/>
  <c r="N15" i="21" s="1"/>
  <c r="M14" i="21"/>
  <c r="M13" i="21"/>
  <c r="M12" i="21"/>
  <c r="N12" i="21" s="1"/>
  <c r="M9" i="21"/>
  <c r="M8" i="21"/>
  <c r="M7" i="21"/>
  <c r="M6" i="21"/>
  <c r="AK33" i="21"/>
  <c r="AK35" i="21" s="1"/>
  <c r="AI33" i="21"/>
  <c r="AG33" i="21"/>
  <c r="AF33" i="21"/>
  <c r="AE33" i="21"/>
  <c r="AA33" i="21"/>
  <c r="U33" i="21"/>
  <c r="O33" i="21"/>
  <c r="I33" i="21"/>
  <c r="E33" i="21"/>
  <c r="AA32" i="21"/>
  <c r="X32" i="21"/>
  <c r="X33" i="21" s="1"/>
  <c r="U32" i="21"/>
  <c r="R32" i="21"/>
  <c r="R33" i="21" s="1"/>
  <c r="O32" i="21"/>
  <c r="L32" i="21"/>
  <c r="AM29" i="21" s="1"/>
  <c r="I32" i="21"/>
  <c r="F32" i="21"/>
  <c r="F33" i="21" s="1"/>
  <c r="F35" i="21" s="1"/>
  <c r="E32" i="21"/>
  <c r="AC31" i="21"/>
  <c r="AB31" i="21"/>
  <c r="Z31" i="21"/>
  <c r="Y31" i="21"/>
  <c r="W31" i="21"/>
  <c r="V31" i="21"/>
  <c r="T31" i="21"/>
  <c r="S31" i="21"/>
  <c r="Q31" i="21"/>
  <c r="P31" i="21"/>
  <c r="N31" i="21"/>
  <c r="M31" i="21"/>
  <c r="K31" i="21"/>
  <c r="J31" i="21"/>
  <c r="H31" i="21"/>
  <c r="G31" i="21"/>
  <c r="AC30" i="21"/>
  <c r="AB30" i="21"/>
  <c r="Z30" i="21"/>
  <c r="Y30" i="21"/>
  <c r="W30" i="21"/>
  <c r="V30" i="21"/>
  <c r="T30" i="21"/>
  <c r="S30" i="21"/>
  <c r="Q30" i="21"/>
  <c r="P30" i="21"/>
  <c r="N30" i="21"/>
  <c r="M30" i="21"/>
  <c r="K30" i="21"/>
  <c r="H30" i="21"/>
  <c r="AL29" i="21"/>
  <c r="AL33" i="21" s="1"/>
  <c r="AJ29" i="21"/>
  <c r="AJ33" i="21" s="1"/>
  <c r="AH29" i="21"/>
  <c r="AH33" i="21" s="1"/>
  <c r="AE29" i="21"/>
  <c r="AB29" i="21"/>
  <c r="AC29" i="21" s="1"/>
  <c r="AC32" i="21" s="1"/>
  <c r="AC33" i="21" s="1"/>
  <c r="Y29" i="21"/>
  <c r="Z29" i="21" s="1"/>
  <c r="Z32" i="21" s="1"/>
  <c r="Z33" i="21" s="1"/>
  <c r="V29" i="21"/>
  <c r="V32" i="21" s="1"/>
  <c r="V33" i="21" s="1"/>
  <c r="S29" i="21"/>
  <c r="S32" i="21" s="1"/>
  <c r="S33" i="21" s="1"/>
  <c r="P29" i="21"/>
  <c r="Q29" i="21" s="1"/>
  <c r="Q32" i="21" s="1"/>
  <c r="Q33" i="21" s="1"/>
  <c r="M29" i="21"/>
  <c r="J32" i="21"/>
  <c r="J33" i="21" s="1"/>
  <c r="G32" i="21"/>
  <c r="G33" i="21" s="1"/>
  <c r="AK28" i="21"/>
  <c r="AI28" i="21"/>
  <c r="AG28" i="21"/>
  <c r="AF28" i="21"/>
  <c r="AE28" i="21"/>
  <c r="AB27" i="21"/>
  <c r="AA27" i="21"/>
  <c r="Z27" i="21"/>
  <c r="Y27" i="21"/>
  <c r="X27" i="21"/>
  <c r="V27" i="21"/>
  <c r="U27" i="21"/>
  <c r="T27" i="21"/>
  <c r="S27" i="21"/>
  <c r="R27" i="21"/>
  <c r="P27" i="21"/>
  <c r="O27" i="21"/>
  <c r="M27" i="21"/>
  <c r="L27" i="21"/>
  <c r="AM20" i="21" s="1"/>
  <c r="J27" i="21"/>
  <c r="I27" i="21"/>
  <c r="F27" i="21"/>
  <c r="E27" i="21"/>
  <c r="AC26" i="21"/>
  <c r="Z26" i="21"/>
  <c r="W26" i="21"/>
  <c r="T26" i="21"/>
  <c r="Q26" i="21"/>
  <c r="K26" i="21"/>
  <c r="J26" i="21"/>
  <c r="N26" i="21" s="1"/>
  <c r="H26" i="21"/>
  <c r="G26" i="21"/>
  <c r="AC25" i="21"/>
  <c r="Z25" i="21"/>
  <c r="W25" i="21"/>
  <c r="T25" i="21"/>
  <c r="Q25" i="21"/>
  <c r="K25" i="21"/>
  <c r="J25" i="21"/>
  <c r="N25" i="21" s="1"/>
  <c r="H25" i="21"/>
  <c r="G25" i="21"/>
  <c r="AC24" i="21"/>
  <c r="Z24" i="21"/>
  <c r="W24" i="21"/>
  <c r="T24" i="21"/>
  <c r="Q24" i="21"/>
  <c r="N24" i="21"/>
  <c r="K24" i="21"/>
  <c r="J24" i="21"/>
  <c r="H24" i="21"/>
  <c r="G24" i="21"/>
  <c r="AC23" i="21"/>
  <c r="Z23" i="21"/>
  <c r="W23" i="21"/>
  <c r="T23" i="21"/>
  <c r="Q23" i="21"/>
  <c r="K23" i="21"/>
  <c r="J23" i="21"/>
  <c r="N23" i="21" s="1"/>
  <c r="H23" i="21"/>
  <c r="G23" i="21"/>
  <c r="AC22" i="21"/>
  <c r="Z22" i="21"/>
  <c r="W22" i="21"/>
  <c r="T22" i="21"/>
  <c r="Q22" i="21"/>
  <c r="N22" i="21"/>
  <c r="K22" i="21"/>
  <c r="J22" i="21"/>
  <c r="H22" i="21"/>
  <c r="H27" i="21" s="1"/>
  <c r="G22" i="21"/>
  <c r="AC21" i="21"/>
  <c r="Z21" i="21"/>
  <c r="W21" i="21"/>
  <c r="T21" i="21"/>
  <c r="Q21" i="21"/>
  <c r="K21" i="21"/>
  <c r="J21" i="21"/>
  <c r="N21" i="21" s="1"/>
  <c r="H21" i="21"/>
  <c r="G21" i="21"/>
  <c r="AN20" i="21"/>
  <c r="AC20" i="21"/>
  <c r="AC27" i="21" s="1"/>
  <c r="Z20" i="21"/>
  <c r="W20" i="21"/>
  <c r="W27" i="21" s="1"/>
  <c r="T20" i="21"/>
  <c r="Q20" i="21"/>
  <c r="Q27" i="21" s="1"/>
  <c r="K20" i="21"/>
  <c r="K27" i="21" s="1"/>
  <c r="J20" i="21"/>
  <c r="N20" i="21" s="1"/>
  <c r="N27" i="21" s="1"/>
  <c r="H20" i="21"/>
  <c r="G20" i="21"/>
  <c r="G27" i="21" s="1"/>
  <c r="AA19" i="21"/>
  <c r="AA28" i="21" s="1"/>
  <c r="Y19" i="21"/>
  <c r="Y28" i="21" s="1"/>
  <c r="X19" i="21"/>
  <c r="X28" i="21" s="1"/>
  <c r="U19" i="21"/>
  <c r="U28" i="21" s="1"/>
  <c r="R19" i="21"/>
  <c r="R28" i="21" s="1"/>
  <c r="O19" i="21"/>
  <c r="O28" i="21" s="1"/>
  <c r="I19" i="21"/>
  <c r="F19" i="21"/>
  <c r="F28" i="21" s="1"/>
  <c r="E19" i="21"/>
  <c r="E28" i="21" s="1"/>
  <c r="AC18" i="21"/>
  <c r="W18" i="21"/>
  <c r="T18" i="21"/>
  <c r="P18" i="21"/>
  <c r="N18" i="21"/>
  <c r="J18" i="21"/>
  <c r="G18" i="21"/>
  <c r="H18" i="21" s="1"/>
  <c r="AC17" i="21"/>
  <c r="W17" i="21"/>
  <c r="T17" i="21"/>
  <c r="P17" i="21"/>
  <c r="Q17" i="21" s="1"/>
  <c r="N17" i="21"/>
  <c r="J17" i="21"/>
  <c r="K17" i="21" s="1"/>
  <c r="G17" i="21"/>
  <c r="H17" i="21" s="1"/>
  <c r="AC16" i="21"/>
  <c r="W16" i="21"/>
  <c r="T16" i="21"/>
  <c r="P16" i="21"/>
  <c r="N16" i="21"/>
  <c r="J16" i="21"/>
  <c r="G16" i="21"/>
  <c r="H16" i="21" s="1"/>
  <c r="AC15" i="21"/>
  <c r="W15" i="21"/>
  <c r="T15" i="21"/>
  <c r="P15" i="21"/>
  <c r="Q15" i="21" s="1"/>
  <c r="J15" i="21"/>
  <c r="K15" i="21" s="1"/>
  <c r="G15" i="21"/>
  <c r="H15" i="21" s="1"/>
  <c r="AC14" i="21"/>
  <c r="W14" i="21"/>
  <c r="T14" i="21"/>
  <c r="P14" i="21"/>
  <c r="J14" i="21"/>
  <c r="G14" i="21"/>
  <c r="H14" i="21" s="1"/>
  <c r="AC13" i="21"/>
  <c r="W13" i="21"/>
  <c r="P13" i="21"/>
  <c r="N13" i="21"/>
  <c r="K13" i="21"/>
  <c r="J13" i="21"/>
  <c r="H13" i="21"/>
  <c r="G13" i="21"/>
  <c r="AC12" i="21"/>
  <c r="Z12" i="21"/>
  <c r="W12" i="21"/>
  <c r="T12" i="21"/>
  <c r="Q12" i="21"/>
  <c r="P12" i="21"/>
  <c r="K12" i="21"/>
  <c r="J12" i="21"/>
  <c r="H12" i="21"/>
  <c r="G12" i="21"/>
  <c r="AC11" i="21"/>
  <c r="W11" i="21"/>
  <c r="T11" i="21"/>
  <c r="Q11" i="21"/>
  <c r="P11" i="21"/>
  <c r="Z11" i="21" s="1"/>
  <c r="N11" i="21"/>
  <c r="M11" i="21"/>
  <c r="K11" i="21"/>
  <c r="J11" i="21"/>
  <c r="H11" i="21"/>
  <c r="G11" i="21"/>
  <c r="AC10" i="21"/>
  <c r="Z10" i="21"/>
  <c r="W10" i="21"/>
  <c r="T10" i="21"/>
  <c r="Q10" i="21"/>
  <c r="P10" i="21"/>
  <c r="N10" i="21"/>
  <c r="M10" i="21"/>
  <c r="K10" i="21"/>
  <c r="J10" i="21"/>
  <c r="H10" i="21"/>
  <c r="G10" i="21"/>
  <c r="AC9" i="21"/>
  <c r="W9" i="21"/>
  <c r="T9" i="21"/>
  <c r="P9" i="21"/>
  <c r="N9" i="21"/>
  <c r="J9" i="21"/>
  <c r="K9" i="21" s="1"/>
  <c r="G9" i="21"/>
  <c r="H9" i="21" s="1"/>
  <c r="AC8" i="21"/>
  <c r="Z8" i="21"/>
  <c r="W8" i="21"/>
  <c r="T8" i="21"/>
  <c r="P8" i="21"/>
  <c r="Q8" i="21" s="1"/>
  <c r="N8" i="21"/>
  <c r="J8" i="21"/>
  <c r="K8" i="21" s="1"/>
  <c r="G8" i="21"/>
  <c r="H8" i="21" s="1"/>
  <c r="AC7" i="21"/>
  <c r="Z7" i="21"/>
  <c r="W7" i="21"/>
  <c r="T7" i="21"/>
  <c r="P7" i="21"/>
  <c r="Q7" i="21" s="1"/>
  <c r="N7" i="21"/>
  <c r="L19" i="21"/>
  <c r="K7" i="21"/>
  <c r="J7" i="21"/>
  <c r="H7" i="21"/>
  <c r="G7" i="21"/>
  <c r="AL28" i="21"/>
  <c r="AJ28" i="21"/>
  <c r="AH28" i="21"/>
  <c r="Z6" i="21"/>
  <c r="T6" i="21"/>
  <c r="P6" i="21"/>
  <c r="J6" i="21"/>
  <c r="G6" i="21"/>
  <c r="H6" i="21" s="1"/>
  <c r="H19" i="21" s="1"/>
  <c r="H28" i="21" s="1"/>
  <c r="AA35" i="21" l="1"/>
  <c r="X35" i="21"/>
  <c r="R35" i="21"/>
  <c r="AI35" i="21"/>
  <c r="AG35" i="21"/>
  <c r="AE35" i="21"/>
  <c r="N29" i="21"/>
  <c r="N32" i="21" s="1"/>
  <c r="N33" i="21" s="1"/>
  <c r="I28" i="21"/>
  <c r="I35" i="21" s="1"/>
  <c r="O35" i="21"/>
  <c r="J19" i="21"/>
  <c r="J28" i="21" s="1"/>
  <c r="K6" i="21"/>
  <c r="V19" i="21"/>
  <c r="V28" i="21" s="1"/>
  <c r="W6" i="21"/>
  <c r="W19" i="21" s="1"/>
  <c r="W28" i="21" s="1"/>
  <c r="N6" i="21"/>
  <c r="Z13" i="21"/>
  <c r="Q13" i="21"/>
  <c r="P19" i="21"/>
  <c r="P28" i="21" s="1"/>
  <c r="Q6" i="21"/>
  <c r="AB19" i="21"/>
  <c r="AB28" i="21" s="1"/>
  <c r="AC6" i="21"/>
  <c r="AC19" i="21" s="1"/>
  <c r="AC28" i="21" s="1"/>
  <c r="AC35" i="21" s="1"/>
  <c r="Z9" i="21"/>
  <c r="Q9" i="21"/>
  <c r="T13" i="21"/>
  <c r="K14" i="21"/>
  <c r="Q16" i="21"/>
  <c r="K18" i="21"/>
  <c r="U35" i="21"/>
  <c r="T19" i="21"/>
  <c r="T28" i="21" s="1"/>
  <c r="N14" i="21"/>
  <c r="M19" i="21"/>
  <c r="AM6" i="21"/>
  <c r="AD6" i="21"/>
  <c r="L28" i="21"/>
  <c r="AM28" i="21" s="1"/>
  <c r="Q14" i="21"/>
  <c r="K16" i="21"/>
  <c r="Q18" i="21"/>
  <c r="P32" i="21"/>
  <c r="P33" i="21" s="1"/>
  <c r="AB32" i="21"/>
  <c r="AB33" i="21" s="1"/>
  <c r="K29" i="21"/>
  <c r="K32" i="21" s="1"/>
  <c r="K33" i="21" s="1"/>
  <c r="W29" i="21"/>
  <c r="W32" i="21" s="1"/>
  <c r="W33" i="21" s="1"/>
  <c r="M32" i="21"/>
  <c r="Y32" i="21"/>
  <c r="Y33" i="21" s="1"/>
  <c r="L33" i="21"/>
  <c r="Z14" i="21"/>
  <c r="Z19" i="21" s="1"/>
  <c r="Z28" i="21" s="1"/>
  <c r="Z35" i="21" s="1"/>
  <c r="Z15" i="21"/>
  <c r="Z16" i="21"/>
  <c r="Z17" i="21"/>
  <c r="Z18" i="21"/>
  <c r="G19" i="21"/>
  <c r="G28" i="21" s="1"/>
  <c r="S19" i="21"/>
  <c r="S28" i="21" s="1"/>
  <c r="AD29" i="21"/>
  <c r="AD33" i="21" s="1"/>
  <c r="AD20" i="21"/>
  <c r="H29" i="21"/>
  <c r="H32" i="21" s="1"/>
  <c r="H33" i="21" s="1"/>
  <c r="T29" i="21"/>
  <c r="T32" i="21" s="1"/>
  <c r="T33" i="21" s="1"/>
  <c r="AL20" i="20"/>
  <c r="AL6" i="20"/>
  <c r="AJ6" i="20"/>
  <c r="AH20" i="20"/>
  <c r="AH6" i="20"/>
  <c r="AE6" i="20"/>
  <c r="J25" i="20"/>
  <c r="J23" i="20"/>
  <c r="N23" i="20" s="1"/>
  <c r="P17" i="20"/>
  <c r="P16" i="20"/>
  <c r="P15" i="20"/>
  <c r="T15" i="20" s="1"/>
  <c r="P14" i="20"/>
  <c r="M17" i="20"/>
  <c r="M14" i="20"/>
  <c r="M15" i="20"/>
  <c r="N15" i="20" s="1"/>
  <c r="P13" i="20"/>
  <c r="P12" i="20"/>
  <c r="Q12" i="20" s="1"/>
  <c r="P10" i="20"/>
  <c r="P9" i="20"/>
  <c r="P8" i="20"/>
  <c r="P7" i="20"/>
  <c r="P6" i="20"/>
  <c r="M13" i="20"/>
  <c r="N13" i="20" s="1"/>
  <c r="L13" i="20"/>
  <c r="M12" i="20"/>
  <c r="N12" i="20" s="1"/>
  <c r="M10" i="20"/>
  <c r="M9" i="20"/>
  <c r="M8" i="20"/>
  <c r="N8" i="20" s="1"/>
  <c r="M7" i="20"/>
  <c r="L7" i="20"/>
  <c r="M6" i="20"/>
  <c r="AL33" i="20"/>
  <c r="AK33" i="20"/>
  <c r="AK35" i="20" s="1"/>
  <c r="AI33" i="20"/>
  <c r="AH33" i="20"/>
  <c r="AG33" i="20"/>
  <c r="AF33" i="20"/>
  <c r="R33" i="20"/>
  <c r="R35" i="20" s="1"/>
  <c r="F33" i="20"/>
  <c r="AA32" i="20"/>
  <c r="AA33" i="20" s="1"/>
  <c r="X32" i="20"/>
  <c r="X33" i="20" s="1"/>
  <c r="X35" i="20" s="1"/>
  <c r="U32" i="20"/>
  <c r="U33" i="20" s="1"/>
  <c r="U35" i="20" s="1"/>
  <c r="S32" i="20"/>
  <c r="S33" i="20" s="1"/>
  <c r="R32" i="20"/>
  <c r="O32" i="20"/>
  <c r="O33" i="20" s="1"/>
  <c r="L32" i="20"/>
  <c r="AD29" i="20" s="1"/>
  <c r="AD33" i="20" s="1"/>
  <c r="I32" i="20"/>
  <c r="I33" i="20" s="1"/>
  <c r="G32" i="20"/>
  <c r="G33" i="20" s="1"/>
  <c r="F32" i="20"/>
  <c r="E32" i="20"/>
  <c r="E33" i="20" s="1"/>
  <c r="AB31" i="20"/>
  <c r="AC31" i="20" s="1"/>
  <c r="Y31" i="20"/>
  <c r="Z31" i="20" s="1"/>
  <c r="V31" i="20"/>
  <c r="W31" i="20" s="1"/>
  <c r="S31" i="20"/>
  <c r="T31" i="20" s="1"/>
  <c r="P31" i="20"/>
  <c r="Q31" i="20" s="1"/>
  <c r="M31" i="20"/>
  <c r="N31" i="20" s="1"/>
  <c r="J31" i="20"/>
  <c r="K31" i="20" s="1"/>
  <c r="G31" i="20"/>
  <c r="H31" i="20" s="1"/>
  <c r="AB30" i="20"/>
  <c r="AC30" i="20" s="1"/>
  <c r="Y30" i="20"/>
  <c r="Z30" i="20" s="1"/>
  <c r="V30" i="20"/>
  <c r="W30" i="20" s="1"/>
  <c r="S30" i="20"/>
  <c r="T30" i="20" s="1"/>
  <c r="P30" i="20"/>
  <c r="Q30" i="20" s="1"/>
  <c r="M30" i="20"/>
  <c r="N30" i="20" s="1"/>
  <c r="J30" i="20"/>
  <c r="K30" i="20" s="1"/>
  <c r="G30" i="20"/>
  <c r="H30" i="20" s="1"/>
  <c r="AM29" i="20"/>
  <c r="AL29" i="20"/>
  <c r="AJ29" i="20"/>
  <c r="AJ33" i="20" s="1"/>
  <c r="AH29" i="20"/>
  <c r="AE29" i="20"/>
  <c r="AE33" i="20" s="1"/>
  <c r="AB29" i="20"/>
  <c r="AC29" i="20" s="1"/>
  <c r="AC32" i="20" s="1"/>
  <c r="AC33" i="20" s="1"/>
  <c r="Z29" i="20"/>
  <c r="Z32" i="20" s="1"/>
  <c r="Z33" i="20" s="1"/>
  <c r="Y29" i="20"/>
  <c r="Y32" i="20" s="1"/>
  <c r="Y33" i="20" s="1"/>
  <c r="V29" i="20"/>
  <c r="V32" i="20" s="1"/>
  <c r="V33" i="20" s="1"/>
  <c r="T29" i="20"/>
  <c r="S29" i="20"/>
  <c r="P29" i="20"/>
  <c r="Q29" i="20" s="1"/>
  <c r="Q32" i="20" s="1"/>
  <c r="Q33" i="20" s="1"/>
  <c r="N29" i="20"/>
  <c r="M29" i="20"/>
  <c r="M32" i="20" s="1"/>
  <c r="J29" i="20"/>
  <c r="J32" i="20" s="1"/>
  <c r="J33" i="20" s="1"/>
  <c r="H29" i="20"/>
  <c r="H32" i="20" s="1"/>
  <c r="H33" i="20" s="1"/>
  <c r="G29" i="20"/>
  <c r="AK28" i="20"/>
  <c r="AI28" i="20"/>
  <c r="AH28" i="20"/>
  <c r="AG28" i="20"/>
  <c r="AG35" i="20" s="1"/>
  <c r="AF28" i="20"/>
  <c r="R28" i="20"/>
  <c r="AB27" i="20"/>
  <c r="AA27" i="20"/>
  <c r="Y27" i="20"/>
  <c r="X27" i="20"/>
  <c r="V27" i="20"/>
  <c r="U27" i="20"/>
  <c r="S27" i="20"/>
  <c r="R27" i="20"/>
  <c r="P27" i="20"/>
  <c r="O27" i="20"/>
  <c r="M27" i="20"/>
  <c r="L27" i="20"/>
  <c r="I27" i="20"/>
  <c r="F27" i="20"/>
  <c r="F28" i="20" s="1"/>
  <c r="E27" i="20"/>
  <c r="AC26" i="20"/>
  <c r="Z26" i="20"/>
  <c r="W26" i="20"/>
  <c r="T26" i="20"/>
  <c r="Q26" i="20"/>
  <c r="N26" i="20"/>
  <c r="J26" i="20"/>
  <c r="K26" i="20" s="1"/>
  <c r="G26" i="20"/>
  <c r="H26" i="20" s="1"/>
  <c r="AC25" i="20"/>
  <c r="Z25" i="20"/>
  <c r="W25" i="20"/>
  <c r="T25" i="20"/>
  <c r="Q25" i="20"/>
  <c r="N25" i="20"/>
  <c r="K25" i="20"/>
  <c r="H25" i="20"/>
  <c r="G25" i="20"/>
  <c r="AC24" i="20"/>
  <c r="Z24" i="20"/>
  <c r="W24" i="20"/>
  <c r="T24" i="20"/>
  <c r="Q24" i="20"/>
  <c r="N24" i="20"/>
  <c r="K24" i="20"/>
  <c r="J24" i="20"/>
  <c r="G24" i="20"/>
  <c r="H24" i="20" s="1"/>
  <c r="AC23" i="20"/>
  <c r="Z23" i="20"/>
  <c r="W23" i="20"/>
  <c r="T23" i="20"/>
  <c r="Q23" i="20"/>
  <c r="H23" i="20"/>
  <c r="G23" i="20"/>
  <c r="AC22" i="20"/>
  <c r="Z22" i="20"/>
  <c r="W22" i="20"/>
  <c r="W27" i="20" s="1"/>
  <c r="T22" i="20"/>
  <c r="Q22" i="20"/>
  <c r="N22" i="20"/>
  <c r="K22" i="20"/>
  <c r="J22" i="20"/>
  <c r="G22" i="20"/>
  <c r="H22" i="20" s="1"/>
  <c r="AC21" i="20"/>
  <c r="Z21" i="20"/>
  <c r="W21" i="20"/>
  <c r="T21" i="20"/>
  <c r="Q21" i="20"/>
  <c r="J21" i="20"/>
  <c r="N21" i="20" s="1"/>
  <c r="H21" i="20"/>
  <c r="G21" i="20"/>
  <c r="AM20" i="20"/>
  <c r="AJ20" i="20"/>
  <c r="AN20" i="20"/>
  <c r="AD20" i="20"/>
  <c r="AC20" i="20"/>
  <c r="AC27" i="20" s="1"/>
  <c r="Z20" i="20"/>
  <c r="Z27" i="20" s="1"/>
  <c r="W20" i="20"/>
  <c r="T20" i="20"/>
  <c r="T27" i="20" s="1"/>
  <c r="Q20" i="20"/>
  <c r="Q27" i="20" s="1"/>
  <c r="J20" i="20"/>
  <c r="H20" i="20"/>
  <c r="G20" i="20"/>
  <c r="AA19" i="20"/>
  <c r="AA28" i="20" s="1"/>
  <c r="X19" i="20"/>
  <c r="X28" i="20" s="1"/>
  <c r="U19" i="20"/>
  <c r="U28" i="20" s="1"/>
  <c r="R19" i="20"/>
  <c r="O19" i="20"/>
  <c r="O28" i="20" s="1"/>
  <c r="L19" i="20"/>
  <c r="L28" i="20" s="1"/>
  <c r="I19" i="20"/>
  <c r="F19" i="20"/>
  <c r="E19" i="20"/>
  <c r="E28" i="20" s="1"/>
  <c r="AC18" i="20"/>
  <c r="Z18" i="20"/>
  <c r="W18" i="20"/>
  <c r="P18" i="20"/>
  <c r="T18" i="20" s="1"/>
  <c r="M18" i="20"/>
  <c r="N18" i="20" s="1"/>
  <c r="J18" i="20"/>
  <c r="K18" i="20" s="1"/>
  <c r="G18" i="20"/>
  <c r="H18" i="20" s="1"/>
  <c r="AC17" i="20"/>
  <c r="Z17" i="20"/>
  <c r="W17" i="20"/>
  <c r="T17" i="20"/>
  <c r="Q17" i="20"/>
  <c r="N17" i="20"/>
  <c r="J17" i="20"/>
  <c r="K17" i="20" s="1"/>
  <c r="H17" i="20"/>
  <c r="G17" i="20"/>
  <c r="AC16" i="20"/>
  <c r="Z16" i="20"/>
  <c r="W16" i="20"/>
  <c r="T16" i="20"/>
  <c r="M16" i="20"/>
  <c r="Q16" i="20" s="1"/>
  <c r="J16" i="20"/>
  <c r="K16" i="20" s="1"/>
  <c r="G16" i="20"/>
  <c r="H16" i="20" s="1"/>
  <c r="AC15" i="20"/>
  <c r="W15" i="20"/>
  <c r="J15" i="20"/>
  <c r="K15" i="20" s="1"/>
  <c r="G15" i="20"/>
  <c r="H15" i="20" s="1"/>
  <c r="AC14" i="20"/>
  <c r="W14" i="20"/>
  <c r="T14" i="20"/>
  <c r="Q14" i="20"/>
  <c r="N14" i="20"/>
  <c r="J14" i="20"/>
  <c r="K14" i="20" s="1"/>
  <c r="G14" i="20"/>
  <c r="H14" i="20" s="1"/>
  <c r="AC13" i="20"/>
  <c r="V13" i="20"/>
  <c r="W13" i="20" s="1"/>
  <c r="S13" i="20"/>
  <c r="T13" i="20" s="1"/>
  <c r="Z13" i="20"/>
  <c r="J13" i="20"/>
  <c r="K13" i="20" s="1"/>
  <c r="G13" i="20"/>
  <c r="H13" i="20" s="1"/>
  <c r="AC12" i="20"/>
  <c r="Z12" i="20"/>
  <c r="V12" i="20"/>
  <c r="W12" i="20" s="1"/>
  <c r="S12" i="20"/>
  <c r="J12" i="20"/>
  <c r="K12" i="20" s="1"/>
  <c r="G12" i="20"/>
  <c r="H12" i="20" s="1"/>
  <c r="AC11" i="20"/>
  <c r="V11" i="20"/>
  <c r="W11" i="20" s="1"/>
  <c r="S11" i="20"/>
  <c r="T11" i="20" s="1"/>
  <c r="P11" i="20"/>
  <c r="Z11" i="20" s="1"/>
  <c r="M11" i="20"/>
  <c r="N11" i="20" s="1"/>
  <c r="J11" i="20"/>
  <c r="K11" i="20" s="1"/>
  <c r="G11" i="20"/>
  <c r="H11" i="20" s="1"/>
  <c r="AC10" i="20"/>
  <c r="Z10" i="20"/>
  <c r="V10" i="20"/>
  <c r="W10" i="20" s="1"/>
  <c r="S10" i="20"/>
  <c r="T10" i="20" s="1"/>
  <c r="J10" i="20"/>
  <c r="K10" i="20" s="1"/>
  <c r="G10" i="20"/>
  <c r="H10" i="20" s="1"/>
  <c r="AC9" i="20"/>
  <c r="W9" i="20"/>
  <c r="T9" i="20"/>
  <c r="S9" i="20"/>
  <c r="Z9" i="20"/>
  <c r="N9" i="20"/>
  <c r="J9" i="20"/>
  <c r="K9" i="20" s="1"/>
  <c r="H9" i="20"/>
  <c r="G9" i="20"/>
  <c r="AB8" i="20"/>
  <c r="AC8" i="20" s="1"/>
  <c r="Z8" i="20"/>
  <c r="Y8" i="20"/>
  <c r="V8" i="20"/>
  <c r="W8" i="20" s="1"/>
  <c r="T8" i="20"/>
  <c r="S8" i="20"/>
  <c r="Q8" i="20"/>
  <c r="J8" i="20"/>
  <c r="K8" i="20" s="1"/>
  <c r="H8" i="20"/>
  <c r="G8" i="20"/>
  <c r="AB7" i="20"/>
  <c r="AC7" i="20" s="1"/>
  <c r="Z7" i="20"/>
  <c r="Y7" i="20"/>
  <c r="V7" i="20"/>
  <c r="W7" i="20" s="1"/>
  <c r="T7" i="20"/>
  <c r="S7" i="20"/>
  <c r="Q7" i="20"/>
  <c r="N7" i="20"/>
  <c r="J7" i="20"/>
  <c r="K7" i="20" s="1"/>
  <c r="H7" i="20"/>
  <c r="G7" i="20"/>
  <c r="AL28" i="20"/>
  <c r="AJ28" i="20"/>
  <c r="AE28" i="20"/>
  <c r="AB6" i="20"/>
  <c r="AC6" i="20" s="1"/>
  <c r="Y6" i="20"/>
  <c r="Y19" i="20" s="1"/>
  <c r="Y28" i="20" s="1"/>
  <c r="V6" i="20"/>
  <c r="V19" i="20" s="1"/>
  <c r="V28" i="20" s="1"/>
  <c r="S6" i="20"/>
  <c r="T6" i="20" s="1"/>
  <c r="J6" i="20"/>
  <c r="J19" i="20" s="1"/>
  <c r="G6" i="20"/>
  <c r="H6" i="20" s="1"/>
  <c r="H19" i="20" s="1"/>
  <c r="W35" i="21" l="1"/>
  <c r="T35" i="21"/>
  <c r="N19" i="21"/>
  <c r="N28" i="21" s="1"/>
  <c r="N35" i="21" s="1"/>
  <c r="M28" i="21"/>
  <c r="AN28" i="21" s="1"/>
  <c r="AN6" i="21"/>
  <c r="Q19" i="21"/>
  <c r="Q28" i="21" s="1"/>
  <c r="Q35" i="21" s="1"/>
  <c r="L35" i="21"/>
  <c r="AM33" i="21"/>
  <c r="AM35" i="21" s="1"/>
  <c r="K35" i="21"/>
  <c r="AD28" i="21"/>
  <c r="AD35" i="21" s="1"/>
  <c r="K19" i="21"/>
  <c r="K28" i="21" s="1"/>
  <c r="M33" i="21"/>
  <c r="AN33" i="21" s="1"/>
  <c r="AN35" i="21" s="1"/>
  <c r="AN29" i="21"/>
  <c r="AI35" i="20"/>
  <c r="AM28" i="20"/>
  <c r="J27" i="20"/>
  <c r="J28" i="20" s="1"/>
  <c r="I28" i="20"/>
  <c r="I35" i="20" s="1"/>
  <c r="F35" i="20"/>
  <c r="Q15" i="20"/>
  <c r="T12" i="20"/>
  <c r="T19" i="20"/>
  <c r="T28" i="20" s="1"/>
  <c r="M19" i="20"/>
  <c r="M28" i="20" s="1"/>
  <c r="AN28" i="20" s="1"/>
  <c r="N10" i="20"/>
  <c r="Q10" i="20"/>
  <c r="Q6" i="20"/>
  <c r="AM6" i="20"/>
  <c r="AD6" i="20"/>
  <c r="AD28" i="20" s="1"/>
  <c r="AD35" i="20" s="1"/>
  <c r="O35" i="20"/>
  <c r="H27" i="20"/>
  <c r="H28" i="20" s="1"/>
  <c r="M33" i="20"/>
  <c r="AN33" i="20" s="1"/>
  <c r="AN29" i="20"/>
  <c r="T32" i="20"/>
  <c r="T33" i="20" s="1"/>
  <c r="AC35" i="20"/>
  <c r="AA35" i="20"/>
  <c r="AC19" i="20"/>
  <c r="AC28" i="20" s="1"/>
  <c r="N32" i="20"/>
  <c r="N33" i="20" s="1"/>
  <c r="AE35" i="20"/>
  <c r="G19" i="20"/>
  <c r="S19" i="20"/>
  <c r="S28" i="20" s="1"/>
  <c r="G27" i="20"/>
  <c r="N6" i="20"/>
  <c r="Q11" i="20"/>
  <c r="Q13" i="20"/>
  <c r="N16" i="20"/>
  <c r="Q18" i="20"/>
  <c r="P19" i="20"/>
  <c r="P28" i="20" s="1"/>
  <c r="AB19" i="20"/>
  <c r="AB28" i="20" s="1"/>
  <c r="P32" i="20"/>
  <c r="P33" i="20" s="1"/>
  <c r="AB32" i="20"/>
  <c r="AB33" i="20" s="1"/>
  <c r="Z6" i="20"/>
  <c r="Q9" i="20"/>
  <c r="Z14" i="20"/>
  <c r="Z15" i="20"/>
  <c r="K20" i="20"/>
  <c r="K21" i="20"/>
  <c r="K23" i="20"/>
  <c r="K29" i="20"/>
  <c r="K32" i="20" s="1"/>
  <c r="K33" i="20" s="1"/>
  <c r="W29" i="20"/>
  <c r="W32" i="20" s="1"/>
  <c r="W33" i="20" s="1"/>
  <c r="L33" i="20"/>
  <c r="K6" i="20"/>
  <c r="K19" i="20" s="1"/>
  <c r="W6" i="20"/>
  <c r="W19" i="20" s="1"/>
  <c r="W28" i="20" s="1"/>
  <c r="N20" i="20"/>
  <c r="N27" i="20" s="1"/>
  <c r="AL20" i="19"/>
  <c r="AL6" i="19"/>
  <c r="AJ20" i="19"/>
  <c r="AJ6" i="19"/>
  <c r="AH20" i="19"/>
  <c r="AH6" i="19"/>
  <c r="AE6" i="19"/>
  <c r="T35" i="20" l="1"/>
  <c r="AN6" i="20"/>
  <c r="Q19" i="20"/>
  <c r="Q28" i="20" s="1"/>
  <c r="Q35" i="20" s="1"/>
  <c r="AN35" i="20"/>
  <c r="L35" i="20"/>
  <c r="AM33" i="20"/>
  <c r="AM35" i="20" s="1"/>
  <c r="W35" i="20"/>
  <c r="K27" i="20"/>
  <c r="K28" i="20" s="1"/>
  <c r="K35" i="20" s="1"/>
  <c r="Z19" i="20"/>
  <c r="Z28" i="20" s="1"/>
  <c r="Z35" i="20" s="1"/>
  <c r="G28" i="20"/>
  <c r="N19" i="20"/>
  <c r="N28" i="20" s="1"/>
  <c r="N35" i="20" s="1"/>
  <c r="G25" i="19"/>
  <c r="J26" i="19"/>
  <c r="J27" i="19" s="1"/>
  <c r="G26" i="19"/>
  <c r="J23" i="19"/>
  <c r="G23" i="19"/>
  <c r="J24" i="19"/>
  <c r="G24" i="19"/>
  <c r="J21" i="19"/>
  <c r="M17" i="19"/>
  <c r="Q17" i="19" s="1"/>
  <c r="M16" i="19"/>
  <c r="N16" i="19" s="1"/>
  <c r="M7" i="19"/>
  <c r="M8" i="19"/>
  <c r="AK33" i="19"/>
  <c r="AI33" i="19"/>
  <c r="AH33" i="19"/>
  <c r="AG33" i="19"/>
  <c r="AF33" i="19"/>
  <c r="X33" i="19"/>
  <c r="U33" i="19"/>
  <c r="L33" i="19"/>
  <c r="I33" i="19"/>
  <c r="E33" i="19"/>
  <c r="AA32" i="19"/>
  <c r="AA33" i="19" s="1"/>
  <c r="X32" i="19"/>
  <c r="V32" i="19"/>
  <c r="V33" i="19" s="1"/>
  <c r="U32" i="19"/>
  <c r="R32" i="19"/>
  <c r="R33" i="19" s="1"/>
  <c r="O32" i="19"/>
  <c r="O33" i="19" s="1"/>
  <c r="L32" i="19"/>
  <c r="J32" i="19"/>
  <c r="J33" i="19" s="1"/>
  <c r="I32" i="19"/>
  <c r="F32" i="19"/>
  <c r="F33" i="19" s="1"/>
  <c r="E32" i="19"/>
  <c r="AB31" i="19"/>
  <c r="AC31" i="19" s="1"/>
  <c r="Z31" i="19"/>
  <c r="Y31" i="19"/>
  <c r="V31" i="19"/>
  <c r="W31" i="19" s="1"/>
  <c r="T31" i="19"/>
  <c r="S31" i="19"/>
  <c r="P31" i="19"/>
  <c r="Q31" i="19" s="1"/>
  <c r="N31" i="19"/>
  <c r="M31" i="19"/>
  <c r="J31" i="19"/>
  <c r="K31" i="19" s="1"/>
  <c r="H31" i="19"/>
  <c r="G31" i="19"/>
  <c r="AB30" i="19"/>
  <c r="AC30" i="19" s="1"/>
  <c r="Z30" i="19"/>
  <c r="Y30" i="19"/>
  <c r="V30" i="19"/>
  <c r="W30" i="19" s="1"/>
  <c r="T30" i="19"/>
  <c r="S30" i="19"/>
  <c r="P30" i="19"/>
  <c r="Q30" i="19" s="1"/>
  <c r="N30" i="19"/>
  <c r="M30" i="19"/>
  <c r="J30" i="19"/>
  <c r="K30" i="19" s="1"/>
  <c r="H30" i="19"/>
  <c r="G30" i="19"/>
  <c r="AM29" i="19"/>
  <c r="AL29" i="19"/>
  <c r="AL33" i="19" s="1"/>
  <c r="AJ29" i="19"/>
  <c r="AJ33" i="19" s="1"/>
  <c r="AH29" i="19"/>
  <c r="AE29" i="19"/>
  <c r="AE33" i="19" s="1"/>
  <c r="AE35" i="19" s="1"/>
  <c r="AD29" i="19"/>
  <c r="AD33" i="19" s="1"/>
  <c r="AB29" i="19"/>
  <c r="AB32" i="19" s="1"/>
  <c r="AB33" i="19" s="1"/>
  <c r="Y29" i="19"/>
  <c r="V29" i="19"/>
  <c r="S29" i="19"/>
  <c r="P29" i="19"/>
  <c r="P32" i="19" s="1"/>
  <c r="P33" i="19" s="1"/>
  <c r="M29" i="19"/>
  <c r="J29" i="19"/>
  <c r="G29" i="19"/>
  <c r="AK28" i="19"/>
  <c r="AI28" i="19"/>
  <c r="AG28" i="19"/>
  <c r="AF28" i="19"/>
  <c r="AB27" i="19"/>
  <c r="AA27" i="19"/>
  <c r="Y27" i="19"/>
  <c r="X27" i="19"/>
  <c r="V27" i="19"/>
  <c r="U27" i="19"/>
  <c r="S27" i="19"/>
  <c r="R27" i="19"/>
  <c r="P27" i="19"/>
  <c r="O27" i="19"/>
  <c r="M27" i="19"/>
  <c r="L27" i="19"/>
  <c r="I27" i="19"/>
  <c r="F27" i="19"/>
  <c r="E27" i="19"/>
  <c r="AC26" i="19"/>
  <c r="Z26" i="19"/>
  <c r="W26" i="19"/>
  <c r="T26" i="19"/>
  <c r="Q26" i="19"/>
  <c r="N26" i="19"/>
  <c r="K26" i="19"/>
  <c r="H26" i="19"/>
  <c r="AC25" i="19"/>
  <c r="Z25" i="19"/>
  <c r="W25" i="19"/>
  <c r="T25" i="19"/>
  <c r="Q25" i="19"/>
  <c r="N25" i="19"/>
  <c r="K25" i="19"/>
  <c r="H25" i="19"/>
  <c r="AC24" i="19"/>
  <c r="Z24" i="19"/>
  <c r="W24" i="19"/>
  <c r="T24" i="19"/>
  <c r="Q24" i="19"/>
  <c r="N24" i="19"/>
  <c r="AC23" i="19"/>
  <c r="Z23" i="19"/>
  <c r="W23" i="19"/>
  <c r="T23" i="19"/>
  <c r="Q23" i="19"/>
  <c r="N23" i="19"/>
  <c r="K23" i="19"/>
  <c r="AC22" i="19"/>
  <c r="Z22" i="19"/>
  <c r="W22" i="19"/>
  <c r="T22" i="19"/>
  <c r="Q22" i="19"/>
  <c r="J22" i="19"/>
  <c r="N22" i="19" s="1"/>
  <c r="H22" i="19"/>
  <c r="G22" i="19"/>
  <c r="AC21" i="19"/>
  <c r="Z21" i="19"/>
  <c r="W21" i="19"/>
  <c r="T21" i="19"/>
  <c r="Q21" i="19"/>
  <c r="N21" i="19"/>
  <c r="G21" i="19"/>
  <c r="AM20" i="19"/>
  <c r="AH28" i="19"/>
  <c r="AD20" i="19"/>
  <c r="AC20" i="19"/>
  <c r="Z20" i="19"/>
  <c r="Z27" i="19" s="1"/>
  <c r="W20" i="19"/>
  <c r="W27" i="19" s="1"/>
  <c r="T20" i="19"/>
  <c r="Q20" i="19"/>
  <c r="N20" i="19"/>
  <c r="K20" i="19"/>
  <c r="J20" i="19"/>
  <c r="G20" i="19"/>
  <c r="H20" i="19" s="1"/>
  <c r="AA19" i="19"/>
  <c r="AA28" i="19" s="1"/>
  <c r="X19" i="19"/>
  <c r="X28" i="19" s="1"/>
  <c r="V19" i="19"/>
  <c r="V28" i="19" s="1"/>
  <c r="U19" i="19"/>
  <c r="U28" i="19" s="1"/>
  <c r="R19" i="19"/>
  <c r="O19" i="19"/>
  <c r="O28" i="19" s="1"/>
  <c r="L19" i="19"/>
  <c r="L28" i="19" s="1"/>
  <c r="AM28" i="19" s="1"/>
  <c r="I19" i="19"/>
  <c r="F19" i="19"/>
  <c r="E19" i="19"/>
  <c r="E28" i="19" s="1"/>
  <c r="AC18" i="19"/>
  <c r="W18" i="19"/>
  <c r="T18" i="19"/>
  <c r="P18" i="19"/>
  <c r="Z18" i="19" s="1"/>
  <c r="N18" i="19"/>
  <c r="M18" i="19"/>
  <c r="Q18" i="19" s="1"/>
  <c r="J18" i="19"/>
  <c r="G18" i="19"/>
  <c r="K18" i="19" s="1"/>
  <c r="AC17" i="19"/>
  <c r="Z17" i="19"/>
  <c r="W17" i="19"/>
  <c r="T17" i="19"/>
  <c r="J17" i="19"/>
  <c r="H17" i="19"/>
  <c r="G17" i="19"/>
  <c r="AC16" i="19"/>
  <c r="Z16" i="19"/>
  <c r="W16" i="19"/>
  <c r="T16" i="19"/>
  <c r="Q16" i="19"/>
  <c r="J16" i="19"/>
  <c r="G16" i="19"/>
  <c r="K16" i="19" s="1"/>
  <c r="AC15" i="19"/>
  <c r="W15" i="19"/>
  <c r="T15" i="19"/>
  <c r="P15" i="19"/>
  <c r="Z15" i="19" s="1"/>
  <c r="M15" i="19"/>
  <c r="Q15" i="19" s="1"/>
  <c r="J15" i="19"/>
  <c r="G15" i="19"/>
  <c r="K15" i="19" s="1"/>
  <c r="AC14" i="19"/>
  <c r="W14" i="19"/>
  <c r="T14" i="19"/>
  <c r="P14" i="19"/>
  <c r="Z14" i="19" s="1"/>
  <c r="N14" i="19"/>
  <c r="M14" i="19"/>
  <c r="Q14" i="19" s="1"/>
  <c r="J14" i="19"/>
  <c r="G14" i="19"/>
  <c r="K14" i="19" s="1"/>
  <c r="AC13" i="19"/>
  <c r="V13" i="19"/>
  <c r="W13" i="19" s="1"/>
  <c r="S13" i="19"/>
  <c r="P13" i="19"/>
  <c r="M13" i="19"/>
  <c r="K13" i="19"/>
  <c r="J13" i="19"/>
  <c r="N13" i="19" s="1"/>
  <c r="H13" i="19"/>
  <c r="G13" i="19"/>
  <c r="AC12" i="19"/>
  <c r="Z12" i="19"/>
  <c r="V12" i="19"/>
  <c r="S12" i="19"/>
  <c r="W12" i="19" s="1"/>
  <c r="P12" i="19"/>
  <c r="M12" i="19"/>
  <c r="Q12" i="19" s="1"/>
  <c r="J12" i="19"/>
  <c r="G12" i="19"/>
  <c r="K12" i="19" s="1"/>
  <c r="AC11" i="19"/>
  <c r="W11" i="19"/>
  <c r="V11" i="19"/>
  <c r="S11" i="19"/>
  <c r="P11" i="19"/>
  <c r="M11" i="19"/>
  <c r="J11" i="19"/>
  <c r="N11" i="19" s="1"/>
  <c r="H11" i="19"/>
  <c r="G11" i="19"/>
  <c r="AC10" i="19"/>
  <c r="Z10" i="19"/>
  <c r="V10" i="19"/>
  <c r="S10" i="19"/>
  <c r="W10" i="19" s="1"/>
  <c r="P10" i="19"/>
  <c r="N10" i="19"/>
  <c r="M10" i="19"/>
  <c r="Q10" i="19" s="1"/>
  <c r="J10" i="19"/>
  <c r="G10" i="19"/>
  <c r="K10" i="19" s="1"/>
  <c r="AC9" i="19"/>
  <c r="W9" i="19"/>
  <c r="T9" i="19"/>
  <c r="S9" i="19"/>
  <c r="P9" i="19"/>
  <c r="M9" i="19"/>
  <c r="J9" i="19"/>
  <c r="K9" i="19" s="1"/>
  <c r="H9" i="19"/>
  <c r="G9" i="19"/>
  <c r="AB8" i="19"/>
  <c r="AC8" i="19" s="1"/>
  <c r="Z8" i="19"/>
  <c r="Y8" i="19"/>
  <c r="V8" i="19"/>
  <c r="W8" i="19" s="1"/>
  <c r="T8" i="19"/>
  <c r="S8" i="19"/>
  <c r="P8" i="19"/>
  <c r="J8" i="19"/>
  <c r="K8" i="19" s="1"/>
  <c r="H8" i="19"/>
  <c r="G8" i="19"/>
  <c r="AB7" i="19"/>
  <c r="AC7" i="19" s="1"/>
  <c r="Z7" i="19"/>
  <c r="Y7" i="19"/>
  <c r="V7" i="19"/>
  <c r="W7" i="19" s="1"/>
  <c r="T7" i="19"/>
  <c r="S7" i="19"/>
  <c r="P7" i="19"/>
  <c r="J7" i="19"/>
  <c r="K7" i="19" s="1"/>
  <c r="H7" i="19"/>
  <c r="G7" i="19"/>
  <c r="AL28" i="19"/>
  <c r="AE28" i="19"/>
  <c r="AB6" i="19"/>
  <c r="Y6" i="19"/>
  <c r="AC6" i="19" s="1"/>
  <c r="AC19" i="19" s="1"/>
  <c r="V6" i="19"/>
  <c r="S6" i="19"/>
  <c r="P6" i="19"/>
  <c r="N6" i="19"/>
  <c r="M6" i="19"/>
  <c r="Q6" i="19" s="1"/>
  <c r="J6" i="19"/>
  <c r="G6" i="19"/>
  <c r="AI35" i="19" l="1"/>
  <c r="N27" i="19"/>
  <c r="I28" i="19"/>
  <c r="F28" i="19"/>
  <c r="F35" i="19" s="1"/>
  <c r="N17" i="19"/>
  <c r="Q7" i="19"/>
  <c r="Q8" i="19"/>
  <c r="AM6" i="19"/>
  <c r="AD6" i="19"/>
  <c r="AD28" i="19" s="1"/>
  <c r="AD35" i="19" s="1"/>
  <c r="K6" i="19"/>
  <c r="G19" i="19"/>
  <c r="T11" i="19"/>
  <c r="Z11" i="19"/>
  <c r="AN20" i="19"/>
  <c r="H6" i="19"/>
  <c r="H10" i="19"/>
  <c r="Q11" i="19"/>
  <c r="T12" i="19"/>
  <c r="N15" i="19"/>
  <c r="H18" i="19"/>
  <c r="K21" i="19"/>
  <c r="H21" i="19"/>
  <c r="I35" i="19"/>
  <c r="U35" i="19"/>
  <c r="AK35" i="19"/>
  <c r="W6" i="19"/>
  <c r="W19" i="19" s="1"/>
  <c r="W28" i="19" s="1"/>
  <c r="S19" i="19"/>
  <c r="S28" i="19" s="1"/>
  <c r="Z6" i="19"/>
  <c r="N7" i="19"/>
  <c r="N12" i="19"/>
  <c r="T13" i="19"/>
  <c r="Z13" i="19"/>
  <c r="H15" i="19"/>
  <c r="K17" i="19"/>
  <c r="M19" i="19"/>
  <c r="R28" i="19"/>
  <c r="Y19" i="19"/>
  <c r="Y28" i="19" s="1"/>
  <c r="Q27" i="19"/>
  <c r="AC27" i="19"/>
  <c r="AC28" i="19" s="1"/>
  <c r="H23" i="19"/>
  <c r="R35" i="19"/>
  <c r="L35" i="19"/>
  <c r="X35" i="19"/>
  <c r="AG35" i="19"/>
  <c r="J19" i="19"/>
  <c r="J28" i="19" s="1"/>
  <c r="P19" i="19"/>
  <c r="P28" i="19" s="1"/>
  <c r="H14" i="19"/>
  <c r="K24" i="19"/>
  <c r="H24" i="19"/>
  <c r="H27" i="19" s="1"/>
  <c r="K29" i="19"/>
  <c r="K32" i="19" s="1"/>
  <c r="K33" i="19" s="1"/>
  <c r="H29" i="19"/>
  <c r="H32" i="19" s="1"/>
  <c r="H33" i="19" s="1"/>
  <c r="G32" i="19"/>
  <c r="G33" i="19" s="1"/>
  <c r="W29" i="19"/>
  <c r="W32" i="19" s="1"/>
  <c r="W33" i="19" s="1"/>
  <c r="W35" i="19" s="1"/>
  <c r="T29" i="19"/>
  <c r="T32" i="19" s="1"/>
  <c r="T33" i="19" s="1"/>
  <c r="S32" i="19"/>
  <c r="S33" i="19" s="1"/>
  <c r="O35" i="19"/>
  <c r="N8" i="19"/>
  <c r="N9" i="19"/>
  <c r="K11" i="19"/>
  <c r="T6" i="19"/>
  <c r="T19" i="19" s="1"/>
  <c r="T28" i="19" s="1"/>
  <c r="AB19" i="19"/>
  <c r="AB28" i="19" s="1"/>
  <c r="AJ28" i="19"/>
  <c r="Z9" i="19"/>
  <c r="Q9" i="19"/>
  <c r="T10" i="19"/>
  <c r="H12" i="19"/>
  <c r="Q13" i="19"/>
  <c r="H16" i="19"/>
  <c r="T27" i="19"/>
  <c r="K22" i="19"/>
  <c r="G27" i="19"/>
  <c r="M32" i="19"/>
  <c r="Q29" i="19"/>
  <c r="Q32" i="19" s="1"/>
  <c r="Q33" i="19" s="1"/>
  <c r="N29" i="19"/>
  <c r="N32" i="19" s="1"/>
  <c r="N33" i="19" s="1"/>
  <c r="Y32" i="19"/>
  <c r="Y33" i="19" s="1"/>
  <c r="AC29" i="19"/>
  <c r="AC32" i="19" s="1"/>
  <c r="AC33" i="19" s="1"/>
  <c r="Z29" i="19"/>
  <c r="Z32" i="19" s="1"/>
  <c r="Z33" i="19" s="1"/>
  <c r="AA35" i="19"/>
  <c r="AM33" i="19"/>
  <c r="AM35" i="19" s="1"/>
  <c r="J22" i="18"/>
  <c r="J20" i="18"/>
  <c r="K27" i="19" l="1"/>
  <c r="N19" i="19"/>
  <c r="N28" i="19" s="1"/>
  <c r="N35" i="19" s="1"/>
  <c r="Q19" i="19"/>
  <c r="Q28" i="19" s="1"/>
  <c r="Q35" i="19" s="1"/>
  <c r="AC35" i="19"/>
  <c r="AN29" i="19"/>
  <c r="M33" i="19"/>
  <c r="AN33" i="19" s="1"/>
  <c r="Z19" i="19"/>
  <c r="Z28" i="19" s="1"/>
  <c r="Z35" i="19" s="1"/>
  <c r="K19" i="19"/>
  <c r="T35" i="19"/>
  <c r="AN6" i="19"/>
  <c r="M28" i="19"/>
  <c r="AN28" i="19" s="1"/>
  <c r="H19" i="19"/>
  <c r="H28" i="19" s="1"/>
  <c r="G28" i="19"/>
  <c r="AL20" i="18"/>
  <c r="AL6" i="18"/>
  <c r="AJ20" i="18"/>
  <c r="AJ6" i="18"/>
  <c r="AH20" i="18"/>
  <c r="AH6" i="18"/>
  <c r="AE6" i="18"/>
  <c r="P18" i="18"/>
  <c r="M18" i="18"/>
  <c r="P14" i="18"/>
  <c r="M14" i="18"/>
  <c r="P13" i="18"/>
  <c r="M13" i="18"/>
  <c r="K28" i="19" l="1"/>
  <c r="K35" i="19" s="1"/>
  <c r="AN35" i="19"/>
  <c r="P15" i="18"/>
  <c r="Q15" i="18" s="1"/>
  <c r="M15" i="18"/>
  <c r="P8" i="18"/>
  <c r="M8" i="18"/>
  <c r="P6" i="18"/>
  <c r="M6" i="18"/>
  <c r="N6" i="18" s="1"/>
  <c r="AK33" i="18"/>
  <c r="AI33" i="18"/>
  <c r="AI35" i="18" s="1"/>
  <c r="AG33" i="18"/>
  <c r="AG35" i="18" s="1"/>
  <c r="AF33" i="18"/>
  <c r="X33" i="18"/>
  <c r="L33" i="18"/>
  <c r="AA32" i="18"/>
  <c r="AA33" i="18" s="1"/>
  <c r="X32" i="18"/>
  <c r="V32" i="18"/>
  <c r="V33" i="18" s="1"/>
  <c r="U32" i="18"/>
  <c r="U33" i="18" s="1"/>
  <c r="R32" i="18"/>
  <c r="R33" i="18" s="1"/>
  <c r="O32" i="18"/>
  <c r="O33" i="18" s="1"/>
  <c r="L32" i="18"/>
  <c r="J32" i="18"/>
  <c r="J33" i="18" s="1"/>
  <c r="I32" i="18"/>
  <c r="I33" i="18" s="1"/>
  <c r="F32" i="18"/>
  <c r="F33" i="18" s="1"/>
  <c r="E32" i="18"/>
  <c r="E33" i="18" s="1"/>
  <c r="AB31" i="18"/>
  <c r="AC31" i="18" s="1"/>
  <c r="Y31" i="18"/>
  <c r="Z31" i="18" s="1"/>
  <c r="V31" i="18"/>
  <c r="W31" i="18" s="1"/>
  <c r="S31" i="18"/>
  <c r="T31" i="18" s="1"/>
  <c r="P31" i="18"/>
  <c r="Q31" i="18" s="1"/>
  <c r="M31" i="18"/>
  <c r="N31" i="18" s="1"/>
  <c r="J31" i="18"/>
  <c r="K31" i="18" s="1"/>
  <c r="G31" i="18"/>
  <c r="H31" i="18" s="1"/>
  <c r="AB30" i="18"/>
  <c r="AC30" i="18" s="1"/>
  <c r="Y30" i="18"/>
  <c r="Z30" i="18" s="1"/>
  <c r="V30" i="18"/>
  <c r="W30" i="18" s="1"/>
  <c r="S30" i="18"/>
  <c r="T30" i="18" s="1"/>
  <c r="P30" i="18"/>
  <c r="Q30" i="18" s="1"/>
  <c r="M30" i="18"/>
  <c r="N30" i="18" s="1"/>
  <c r="J30" i="18"/>
  <c r="K30" i="18" s="1"/>
  <c r="G30" i="18"/>
  <c r="H30" i="18" s="1"/>
  <c r="AM29" i="18"/>
  <c r="AL29" i="18"/>
  <c r="AL33" i="18" s="1"/>
  <c r="AJ29" i="18"/>
  <c r="AJ33" i="18" s="1"/>
  <c r="AH29" i="18"/>
  <c r="AH33" i="18" s="1"/>
  <c r="AE29" i="18"/>
  <c r="AE33" i="18" s="1"/>
  <c r="AD29" i="18"/>
  <c r="AD33" i="18" s="1"/>
  <c r="AC29" i="18"/>
  <c r="AB29" i="18"/>
  <c r="AB32" i="18" s="1"/>
  <c r="AB33" i="18" s="1"/>
  <c r="Y29" i="18"/>
  <c r="Z29" i="18" s="1"/>
  <c r="W29" i="18"/>
  <c r="W32" i="18" s="1"/>
  <c r="W33" i="18" s="1"/>
  <c r="V29" i="18"/>
  <c r="S29" i="18"/>
  <c r="S32" i="18" s="1"/>
  <c r="S33" i="18" s="1"/>
  <c r="Q29" i="18"/>
  <c r="Q32" i="18" s="1"/>
  <c r="Q33" i="18" s="1"/>
  <c r="P29" i="18"/>
  <c r="P32" i="18" s="1"/>
  <c r="P33" i="18" s="1"/>
  <c r="M29" i="18"/>
  <c r="N29" i="18" s="1"/>
  <c r="K29" i="18"/>
  <c r="K32" i="18" s="1"/>
  <c r="K33" i="18" s="1"/>
  <c r="J29" i="18"/>
  <c r="G29" i="18"/>
  <c r="G32" i="18" s="1"/>
  <c r="G33" i="18" s="1"/>
  <c r="AK28" i="18"/>
  <c r="AK35" i="18" s="1"/>
  <c r="AI28" i="18"/>
  <c r="AG28" i="18"/>
  <c r="AF28" i="18"/>
  <c r="AB27" i="18"/>
  <c r="AA27" i="18"/>
  <c r="Y27" i="18"/>
  <c r="X27" i="18"/>
  <c r="V27" i="18"/>
  <c r="U27" i="18"/>
  <c r="S27" i="18"/>
  <c r="R27" i="18"/>
  <c r="P27" i="18"/>
  <c r="O27" i="18"/>
  <c r="M27" i="18"/>
  <c r="AN20" i="18" s="1"/>
  <c r="L27" i="18"/>
  <c r="I27" i="18"/>
  <c r="F27" i="18"/>
  <c r="E27" i="18"/>
  <c r="AC26" i="18"/>
  <c r="Z26" i="18"/>
  <c r="W26" i="18"/>
  <c r="T26" i="18"/>
  <c r="Q26" i="18"/>
  <c r="N26" i="18"/>
  <c r="K26" i="18"/>
  <c r="H26" i="18"/>
  <c r="G26" i="18"/>
  <c r="AC25" i="18"/>
  <c r="Z25" i="18"/>
  <c r="W25" i="18"/>
  <c r="T25" i="18"/>
  <c r="Q25" i="18"/>
  <c r="N25" i="18"/>
  <c r="K25" i="18"/>
  <c r="H25" i="18"/>
  <c r="AC24" i="18"/>
  <c r="Z24" i="18"/>
  <c r="W24" i="18"/>
  <c r="T24" i="18"/>
  <c r="Q24" i="18"/>
  <c r="N24" i="18"/>
  <c r="K24" i="18"/>
  <c r="H24" i="18"/>
  <c r="G24" i="18"/>
  <c r="AC23" i="18"/>
  <c r="Z23" i="18"/>
  <c r="W23" i="18"/>
  <c r="T23" i="18"/>
  <c r="Q23" i="18"/>
  <c r="N23" i="18"/>
  <c r="G23" i="18"/>
  <c r="H23" i="18" s="1"/>
  <c r="AC22" i="18"/>
  <c r="AC27" i="18" s="1"/>
  <c r="Z22" i="18"/>
  <c r="W22" i="18"/>
  <c r="T22" i="18"/>
  <c r="Q22" i="18"/>
  <c r="Q27" i="18" s="1"/>
  <c r="K22" i="18"/>
  <c r="H22" i="18"/>
  <c r="G22" i="18"/>
  <c r="AC21" i="18"/>
  <c r="Z21" i="18"/>
  <c r="Z27" i="18" s="1"/>
  <c r="W21" i="18"/>
  <c r="T21" i="18"/>
  <c r="Q21" i="18"/>
  <c r="N21" i="18"/>
  <c r="K21" i="18"/>
  <c r="H21" i="18"/>
  <c r="G21" i="18"/>
  <c r="AM20" i="18"/>
  <c r="AD20" i="18"/>
  <c r="AC20" i="18"/>
  <c r="Z20" i="18"/>
  <c r="W20" i="18"/>
  <c r="W27" i="18" s="1"/>
  <c r="T20" i="18"/>
  <c r="T27" i="18" s="1"/>
  <c r="Q20" i="18"/>
  <c r="N20" i="18"/>
  <c r="G20" i="18"/>
  <c r="G27" i="18" s="1"/>
  <c r="AB19" i="18"/>
  <c r="AB28" i="18" s="1"/>
  <c r="AA19" i="18"/>
  <c r="AA28" i="18" s="1"/>
  <c r="X19" i="18"/>
  <c r="X28" i="18" s="1"/>
  <c r="U19" i="18"/>
  <c r="U28" i="18" s="1"/>
  <c r="O19" i="18"/>
  <c r="O28" i="18" s="1"/>
  <c r="I19" i="18"/>
  <c r="F19" i="18"/>
  <c r="E19" i="18"/>
  <c r="E28" i="18" s="1"/>
  <c r="AC18" i="18"/>
  <c r="Z18" i="18"/>
  <c r="W18" i="18"/>
  <c r="T18" i="18"/>
  <c r="Q18" i="18"/>
  <c r="J18" i="18"/>
  <c r="K18" i="18" s="1"/>
  <c r="H18" i="18"/>
  <c r="G18" i="18"/>
  <c r="AC17" i="18"/>
  <c r="Z17" i="18"/>
  <c r="W17" i="18"/>
  <c r="T17" i="18"/>
  <c r="Q17" i="18"/>
  <c r="N17" i="18"/>
  <c r="K17" i="18"/>
  <c r="J17" i="18"/>
  <c r="G17" i="18"/>
  <c r="H17" i="18" s="1"/>
  <c r="AC16" i="18"/>
  <c r="Z16" i="18"/>
  <c r="W16" i="18"/>
  <c r="T16" i="18"/>
  <c r="Q16" i="18"/>
  <c r="J16" i="18"/>
  <c r="K16" i="18" s="1"/>
  <c r="H16" i="18"/>
  <c r="G16" i="18"/>
  <c r="AC15" i="18"/>
  <c r="W15" i="18"/>
  <c r="J15" i="18"/>
  <c r="K15" i="18" s="1"/>
  <c r="G15" i="18"/>
  <c r="H15" i="18" s="1"/>
  <c r="AC14" i="18"/>
  <c r="W14" i="18"/>
  <c r="T14" i="18"/>
  <c r="N14" i="18"/>
  <c r="J14" i="18"/>
  <c r="K14" i="18" s="1"/>
  <c r="G14" i="18"/>
  <c r="H14" i="18" s="1"/>
  <c r="AC13" i="18"/>
  <c r="Z13" i="18"/>
  <c r="V13" i="18"/>
  <c r="W13" i="18" s="1"/>
  <c r="S13" i="18"/>
  <c r="T13" i="18" s="1"/>
  <c r="Q13" i="18"/>
  <c r="N13" i="18"/>
  <c r="J13" i="18"/>
  <c r="K13" i="18" s="1"/>
  <c r="G13" i="18"/>
  <c r="H13" i="18" s="1"/>
  <c r="AC12" i="18"/>
  <c r="Z12" i="18"/>
  <c r="V12" i="18"/>
  <c r="W12" i="18" s="1"/>
  <c r="S12" i="18"/>
  <c r="T12" i="18" s="1"/>
  <c r="R19" i="18"/>
  <c r="R28" i="18" s="1"/>
  <c r="Q12" i="18"/>
  <c r="P12" i="18"/>
  <c r="M12" i="18"/>
  <c r="N12" i="18" s="1"/>
  <c r="K12" i="18"/>
  <c r="J12" i="18"/>
  <c r="G12" i="18"/>
  <c r="H12" i="18" s="1"/>
  <c r="AC11" i="18"/>
  <c r="V11" i="18"/>
  <c r="W11" i="18" s="1"/>
  <c r="T11" i="18"/>
  <c r="S11" i="18"/>
  <c r="P11" i="18"/>
  <c r="Q11" i="18" s="1"/>
  <c r="N11" i="18"/>
  <c r="M11" i="18"/>
  <c r="J11" i="18"/>
  <c r="K11" i="18" s="1"/>
  <c r="H11" i="18"/>
  <c r="G11" i="18"/>
  <c r="AC10" i="18"/>
  <c r="Z10" i="18"/>
  <c r="W10" i="18"/>
  <c r="V10" i="18"/>
  <c r="S10" i="18"/>
  <c r="T10" i="18" s="1"/>
  <c r="Q10" i="18"/>
  <c r="P10" i="18"/>
  <c r="M10" i="18"/>
  <c r="N10" i="18" s="1"/>
  <c r="L19" i="18"/>
  <c r="J10" i="18"/>
  <c r="K10" i="18" s="1"/>
  <c r="G10" i="18"/>
  <c r="H10" i="18" s="1"/>
  <c r="AC9" i="18"/>
  <c r="W9" i="18"/>
  <c r="T9" i="18"/>
  <c r="S9" i="18"/>
  <c r="P9" i="18"/>
  <c r="Z9" i="18" s="1"/>
  <c r="N9" i="18"/>
  <c r="M9" i="18"/>
  <c r="J9" i="18"/>
  <c r="K9" i="18" s="1"/>
  <c r="H9" i="18"/>
  <c r="G9" i="18"/>
  <c r="AB8" i="18"/>
  <c r="AC8" i="18" s="1"/>
  <c r="Z8" i="18"/>
  <c r="Y8" i="18"/>
  <c r="V8" i="18"/>
  <c r="W8" i="18" s="1"/>
  <c r="T8" i="18"/>
  <c r="S8" i="18"/>
  <c r="Q8" i="18"/>
  <c r="N8" i="18"/>
  <c r="J8" i="18"/>
  <c r="K8" i="18" s="1"/>
  <c r="H8" i="18"/>
  <c r="G8" i="18"/>
  <c r="AB7" i="18"/>
  <c r="AC7" i="18" s="1"/>
  <c r="Z7" i="18"/>
  <c r="Y7" i="18"/>
  <c r="V7" i="18"/>
  <c r="W7" i="18" s="1"/>
  <c r="T7" i="18"/>
  <c r="S7" i="18"/>
  <c r="P7" i="18"/>
  <c r="Q7" i="18" s="1"/>
  <c r="M7" i="18"/>
  <c r="J7" i="18"/>
  <c r="K7" i="18" s="1"/>
  <c r="G7" i="18"/>
  <c r="H7" i="18" s="1"/>
  <c r="AL28" i="18"/>
  <c r="AJ28" i="18"/>
  <c r="AH28" i="18"/>
  <c r="AE28" i="18"/>
  <c r="AB6" i="18"/>
  <c r="AC6" i="18" s="1"/>
  <c r="Z6" i="18"/>
  <c r="Y6" i="18"/>
  <c r="Y19" i="18" s="1"/>
  <c r="Y28" i="18" s="1"/>
  <c r="V6" i="18"/>
  <c r="V19" i="18" s="1"/>
  <c r="V28" i="18" s="1"/>
  <c r="T6" i="18"/>
  <c r="S6" i="18"/>
  <c r="S19" i="18" s="1"/>
  <c r="S28" i="18" s="1"/>
  <c r="Q6" i="18"/>
  <c r="M19" i="18"/>
  <c r="J6" i="18"/>
  <c r="J19" i="18" s="1"/>
  <c r="H6" i="18"/>
  <c r="G6" i="18"/>
  <c r="G19" i="18" s="1"/>
  <c r="G28" i="18" s="1"/>
  <c r="I28" i="18" l="1"/>
  <c r="I35" i="18" s="1"/>
  <c r="F28" i="18"/>
  <c r="F35" i="18" s="1"/>
  <c r="U35" i="18"/>
  <c r="Z32" i="18"/>
  <c r="Z33" i="18" s="1"/>
  <c r="M28" i="18"/>
  <c r="AN28" i="18" s="1"/>
  <c r="AN6" i="18"/>
  <c r="AC19" i="18"/>
  <c r="AC28" i="18" s="1"/>
  <c r="AM6" i="18"/>
  <c r="L28" i="18"/>
  <c r="AM28" i="18" s="1"/>
  <c r="AD6" i="18"/>
  <c r="AD28" i="18" s="1"/>
  <c r="AD35" i="18" s="1"/>
  <c r="N32" i="18"/>
  <c r="N33" i="18" s="1"/>
  <c r="AC32" i="18"/>
  <c r="AC33" i="18" s="1"/>
  <c r="AC35" i="18" s="1"/>
  <c r="O35" i="18"/>
  <c r="W35" i="18"/>
  <c r="R35" i="18"/>
  <c r="AA35" i="18"/>
  <c r="H19" i="18"/>
  <c r="H28" i="18" s="1"/>
  <c r="AE35" i="18"/>
  <c r="X35" i="18"/>
  <c r="N7" i="18"/>
  <c r="N19" i="18" s="1"/>
  <c r="N15" i="18"/>
  <c r="K6" i="18"/>
  <c r="K19" i="18" s="1"/>
  <c r="W6" i="18"/>
  <c r="W19" i="18" s="1"/>
  <c r="W28" i="18" s="1"/>
  <c r="Z11" i="18"/>
  <c r="T15" i="18"/>
  <c r="T19" i="18" s="1"/>
  <c r="T28" i="18" s="1"/>
  <c r="N16" i="18"/>
  <c r="N18" i="18"/>
  <c r="H20" i="18"/>
  <c r="H27" i="18" s="1"/>
  <c r="N22" i="18"/>
  <c r="N27" i="18" s="1"/>
  <c r="K23" i="18"/>
  <c r="AM33" i="18"/>
  <c r="M32" i="18"/>
  <c r="Y32" i="18"/>
  <c r="Y33" i="18" s="1"/>
  <c r="Z14" i="18"/>
  <c r="P19" i="18"/>
  <c r="P28" i="18" s="1"/>
  <c r="Z15" i="18"/>
  <c r="K20" i="18"/>
  <c r="J27" i="18"/>
  <c r="J28" i="18" s="1"/>
  <c r="Q14" i="18"/>
  <c r="Q9" i="18"/>
  <c r="Q19" i="18" s="1"/>
  <c r="Q28" i="18" s="1"/>
  <c r="Q35" i="18" s="1"/>
  <c r="H29" i="18"/>
  <c r="H32" i="18" s="1"/>
  <c r="H33" i="18" s="1"/>
  <c r="T29" i="18"/>
  <c r="T32" i="18" s="1"/>
  <c r="T33" i="18" s="1"/>
  <c r="Z19" i="18" l="1"/>
  <c r="Z28" i="18" s="1"/>
  <c r="Z35" i="18" s="1"/>
  <c r="N28" i="18"/>
  <c r="N35" i="18" s="1"/>
  <c r="AM35" i="18"/>
  <c r="L35" i="18"/>
  <c r="T35" i="18"/>
  <c r="K27" i="18"/>
  <c r="K28" i="18" s="1"/>
  <c r="K35" i="18" s="1"/>
  <c r="M33" i="18"/>
  <c r="AN33" i="18" s="1"/>
  <c r="AN35" i="18" s="1"/>
  <c r="AN29" i="18"/>
  <c r="AB31" i="17" l="1"/>
  <c r="Y31" i="17"/>
  <c r="V13" i="17"/>
  <c r="S13" i="17"/>
  <c r="V12" i="17"/>
  <c r="S12" i="17"/>
  <c r="R12" i="17"/>
  <c r="V10" i="17"/>
  <c r="S10" i="17"/>
  <c r="V11" i="17"/>
  <c r="S11" i="17"/>
  <c r="S9" i="17"/>
  <c r="AB8" i="17"/>
  <c r="Y8" i="17"/>
  <c r="S8" i="17"/>
  <c r="AB7" i="17"/>
  <c r="Y7" i="17"/>
  <c r="S7" i="17"/>
  <c r="AB6" i="17"/>
  <c r="Y6" i="17"/>
  <c r="S6" i="17"/>
  <c r="AB29" i="17"/>
  <c r="Y29" i="17"/>
  <c r="AB30" i="17"/>
  <c r="Y30" i="17"/>
  <c r="G26" i="17" l="1"/>
  <c r="K26" i="17" s="1"/>
  <c r="J20" i="17"/>
  <c r="G21" i="17"/>
  <c r="G22" i="17"/>
  <c r="J22" i="17"/>
  <c r="K22" i="17" s="1"/>
  <c r="G20" i="17"/>
  <c r="AL20" i="17"/>
  <c r="AL6" i="17"/>
  <c r="AJ20" i="17"/>
  <c r="AJ6" i="17"/>
  <c r="AH29" i="17"/>
  <c r="AH20" i="17"/>
  <c r="AH6" i="17"/>
  <c r="AE6" i="17"/>
  <c r="P14" i="17"/>
  <c r="M14" i="17"/>
  <c r="P15" i="17"/>
  <c r="M15" i="17"/>
  <c r="L15" i="17"/>
  <c r="P13" i="17"/>
  <c r="M13" i="17"/>
  <c r="P12" i="17"/>
  <c r="M12" i="17"/>
  <c r="P10" i="17"/>
  <c r="M10" i="17"/>
  <c r="L10" i="17"/>
  <c r="P9" i="17"/>
  <c r="T9" i="17" s="1"/>
  <c r="M9" i="17"/>
  <c r="P8" i="17"/>
  <c r="M8" i="17"/>
  <c r="P7" i="17"/>
  <c r="P19" i="17" s="1"/>
  <c r="P28" i="17" s="1"/>
  <c r="M7" i="17"/>
  <c r="L7" i="17"/>
  <c r="P6" i="17"/>
  <c r="M6" i="17"/>
  <c r="AK33" i="17"/>
  <c r="AK35" i="17" s="1"/>
  <c r="AI33" i="17"/>
  <c r="AI35" i="17" s="1"/>
  <c r="AG33" i="17"/>
  <c r="AG35" i="17" s="1"/>
  <c r="AF33" i="17"/>
  <c r="AE33" i="17"/>
  <c r="AE35" i="17" s="1"/>
  <c r="U33" i="17"/>
  <c r="O33" i="17"/>
  <c r="I33" i="17"/>
  <c r="E33" i="17"/>
  <c r="AA32" i="17"/>
  <c r="AA33" i="17" s="1"/>
  <c r="X32" i="17"/>
  <c r="X33" i="17" s="1"/>
  <c r="U32" i="17"/>
  <c r="R32" i="17"/>
  <c r="R33" i="17" s="1"/>
  <c r="O32" i="17"/>
  <c r="L32" i="17"/>
  <c r="AM29" i="17" s="1"/>
  <c r="I32" i="17"/>
  <c r="F32" i="17"/>
  <c r="F33" i="17" s="1"/>
  <c r="E32" i="17"/>
  <c r="AC31" i="17"/>
  <c r="Z31" i="17"/>
  <c r="W31" i="17"/>
  <c r="V31" i="17"/>
  <c r="T31" i="17"/>
  <c r="S31" i="17"/>
  <c r="Q31" i="17"/>
  <c r="P31" i="17"/>
  <c r="N31" i="17"/>
  <c r="M31" i="17"/>
  <c r="K31" i="17"/>
  <c r="J31" i="17"/>
  <c r="H31" i="17"/>
  <c r="G31" i="17"/>
  <c r="AC30" i="17"/>
  <c r="Z30" i="17"/>
  <c r="W30" i="17"/>
  <c r="V30" i="17"/>
  <c r="T30" i="17"/>
  <c r="S30" i="17"/>
  <c r="Q30" i="17"/>
  <c r="P30" i="17"/>
  <c r="N30" i="17"/>
  <c r="M30" i="17"/>
  <c r="K30" i="17"/>
  <c r="J30" i="17"/>
  <c r="H30" i="17"/>
  <c r="G30" i="17"/>
  <c r="AL29" i="17"/>
  <c r="AL33" i="17" s="1"/>
  <c r="AJ29" i="17"/>
  <c r="AJ33" i="17" s="1"/>
  <c r="AH33" i="17"/>
  <c r="AE29" i="17"/>
  <c r="AC29" i="17"/>
  <c r="Z29" i="17"/>
  <c r="Z32" i="17" s="1"/>
  <c r="Z33" i="17" s="1"/>
  <c r="V29" i="17"/>
  <c r="V32" i="17" s="1"/>
  <c r="V33" i="17" s="1"/>
  <c r="S29" i="17"/>
  <c r="S32" i="17" s="1"/>
  <c r="S33" i="17" s="1"/>
  <c r="P29" i="17"/>
  <c r="Q29" i="17" s="1"/>
  <c r="Q32" i="17" s="1"/>
  <c r="Q33" i="17" s="1"/>
  <c r="M29" i="17"/>
  <c r="N29" i="17" s="1"/>
  <c r="N32" i="17" s="1"/>
  <c r="N33" i="17" s="1"/>
  <c r="J29" i="17"/>
  <c r="J32" i="17" s="1"/>
  <c r="J33" i="17" s="1"/>
  <c r="G29" i="17"/>
  <c r="G32" i="17" s="1"/>
  <c r="G33" i="17" s="1"/>
  <c r="AK28" i="17"/>
  <c r="AI28" i="17"/>
  <c r="AG28" i="17"/>
  <c r="AF28" i="17"/>
  <c r="AE28" i="17"/>
  <c r="AB27" i="17"/>
  <c r="AA27" i="17"/>
  <c r="Y27" i="17"/>
  <c r="X27" i="17"/>
  <c r="V27" i="17"/>
  <c r="U27" i="17"/>
  <c r="S27" i="17"/>
  <c r="R27" i="17"/>
  <c r="P27" i="17"/>
  <c r="O27" i="17"/>
  <c r="M27" i="17"/>
  <c r="L27" i="17"/>
  <c r="AM20" i="17" s="1"/>
  <c r="J27" i="17"/>
  <c r="I27" i="17"/>
  <c r="F27" i="17"/>
  <c r="E27" i="17"/>
  <c r="AC26" i="17"/>
  <c r="Z26" i="17"/>
  <c r="W26" i="17"/>
  <c r="T26" i="17"/>
  <c r="Q26" i="17"/>
  <c r="N26" i="17"/>
  <c r="AC25" i="17"/>
  <c r="Z25" i="17"/>
  <c r="W25" i="17"/>
  <c r="T25" i="17"/>
  <c r="Q25" i="17"/>
  <c r="N25" i="17"/>
  <c r="K25" i="17"/>
  <c r="H25" i="17"/>
  <c r="AC24" i="17"/>
  <c r="Z24" i="17"/>
  <c r="W24" i="17"/>
  <c r="T24" i="17"/>
  <c r="Q24" i="17"/>
  <c r="N24" i="17"/>
  <c r="G24" i="17"/>
  <c r="K24" i="17" s="1"/>
  <c r="AC23" i="17"/>
  <c r="Z23" i="17"/>
  <c r="W23" i="17"/>
  <c r="T23" i="17"/>
  <c r="T27" i="17" s="1"/>
  <c r="Q23" i="17"/>
  <c r="N23" i="17"/>
  <c r="H23" i="17"/>
  <c r="G23" i="17"/>
  <c r="K23" i="17" s="1"/>
  <c r="AC22" i="17"/>
  <c r="Z22" i="17"/>
  <c r="W22" i="17"/>
  <c r="T22" i="17"/>
  <c r="Q22" i="17"/>
  <c r="N22" i="17"/>
  <c r="H22" i="17"/>
  <c r="AC21" i="17"/>
  <c r="Z21" i="17"/>
  <c r="Z27" i="17" s="1"/>
  <c r="W21" i="17"/>
  <c r="T21" i="17"/>
  <c r="Q21" i="17"/>
  <c r="N21" i="17"/>
  <c r="H21" i="17"/>
  <c r="AN20" i="17"/>
  <c r="AC20" i="17"/>
  <c r="AC27" i="17" s="1"/>
  <c r="Z20" i="17"/>
  <c r="W20" i="17"/>
  <c r="W27" i="17" s="1"/>
  <c r="T20" i="17"/>
  <c r="Q20" i="17"/>
  <c r="Q27" i="17" s="1"/>
  <c r="K20" i="17"/>
  <c r="N20" i="17"/>
  <c r="N27" i="17" s="1"/>
  <c r="H20" i="17"/>
  <c r="AA19" i="17"/>
  <c r="AA28" i="17" s="1"/>
  <c r="Y19" i="17"/>
  <c r="Y28" i="17" s="1"/>
  <c r="X19" i="17"/>
  <c r="X28" i="17" s="1"/>
  <c r="U19" i="17"/>
  <c r="U28" i="17" s="1"/>
  <c r="R19" i="17"/>
  <c r="R28" i="17" s="1"/>
  <c r="O19" i="17"/>
  <c r="O28" i="17" s="1"/>
  <c r="I19" i="17"/>
  <c r="F19" i="17"/>
  <c r="E19" i="17"/>
  <c r="E28" i="17" s="1"/>
  <c r="AC18" i="17"/>
  <c r="Z18" i="17"/>
  <c r="W18" i="17"/>
  <c r="T18" i="17"/>
  <c r="Q18" i="17"/>
  <c r="J18" i="17"/>
  <c r="N18" i="17" s="1"/>
  <c r="G18" i="17"/>
  <c r="H18" i="17" s="1"/>
  <c r="AC17" i="17"/>
  <c r="Z17" i="17"/>
  <c r="W17" i="17"/>
  <c r="T17" i="17"/>
  <c r="Q17" i="17"/>
  <c r="N17" i="17"/>
  <c r="J17" i="17"/>
  <c r="K17" i="17" s="1"/>
  <c r="G17" i="17"/>
  <c r="H17" i="17" s="1"/>
  <c r="AC16" i="17"/>
  <c r="Z16" i="17"/>
  <c r="W16" i="17"/>
  <c r="T16" i="17"/>
  <c r="Q16" i="17"/>
  <c r="J16" i="17"/>
  <c r="N16" i="17" s="1"/>
  <c r="G16" i="17"/>
  <c r="H16" i="17" s="1"/>
  <c r="AC15" i="17"/>
  <c r="W15" i="17"/>
  <c r="T15" i="17"/>
  <c r="N15" i="17"/>
  <c r="J15" i="17"/>
  <c r="K15" i="17" s="1"/>
  <c r="G15" i="17"/>
  <c r="H15" i="17" s="1"/>
  <c r="AC14" i="17"/>
  <c r="Z14" i="17"/>
  <c r="W14" i="17"/>
  <c r="T14" i="17"/>
  <c r="Q14" i="17"/>
  <c r="N14" i="17"/>
  <c r="J14" i="17"/>
  <c r="K14" i="17" s="1"/>
  <c r="G14" i="17"/>
  <c r="H14" i="17" s="1"/>
  <c r="AC13" i="17"/>
  <c r="W13" i="17"/>
  <c r="T13" i="17"/>
  <c r="Q13" i="17"/>
  <c r="N13" i="17"/>
  <c r="K13" i="17"/>
  <c r="J13" i="17"/>
  <c r="H13" i="17"/>
  <c r="G13" i="17"/>
  <c r="AC12" i="17"/>
  <c r="W12" i="17"/>
  <c r="T12" i="17"/>
  <c r="Z12" i="17"/>
  <c r="N12" i="17"/>
  <c r="J12" i="17"/>
  <c r="K12" i="17" s="1"/>
  <c r="G12" i="17"/>
  <c r="H12" i="17" s="1"/>
  <c r="AC11" i="17"/>
  <c r="Z11" i="17"/>
  <c r="W11" i="17"/>
  <c r="T11" i="17"/>
  <c r="P11" i="17"/>
  <c r="Q11" i="17" s="1"/>
  <c r="M11" i="17"/>
  <c r="M19" i="17" s="1"/>
  <c r="J11" i="17"/>
  <c r="K11" i="17" s="1"/>
  <c r="G11" i="17"/>
  <c r="H11" i="17" s="1"/>
  <c r="AC10" i="17"/>
  <c r="W10" i="17"/>
  <c r="T10" i="17"/>
  <c r="Z10" i="17"/>
  <c r="N10" i="17"/>
  <c r="J10" i="17"/>
  <c r="K10" i="17" s="1"/>
  <c r="G10" i="17"/>
  <c r="H10" i="17" s="1"/>
  <c r="AC9" i="17"/>
  <c r="Z9" i="17"/>
  <c r="W9" i="17"/>
  <c r="Q9" i="17"/>
  <c r="N9" i="17"/>
  <c r="K9" i="17"/>
  <c r="J9" i="17"/>
  <c r="H9" i="17"/>
  <c r="G9" i="17"/>
  <c r="AC8" i="17"/>
  <c r="Z8" i="17"/>
  <c r="W8" i="17"/>
  <c r="V8" i="17"/>
  <c r="T8" i="17"/>
  <c r="Q8" i="17"/>
  <c r="N8" i="17"/>
  <c r="K8" i="17"/>
  <c r="J8" i="17"/>
  <c r="H8" i="17"/>
  <c r="G8" i="17"/>
  <c r="AC7" i="17"/>
  <c r="W7" i="17"/>
  <c r="V7" i="17"/>
  <c r="Q7" i="17"/>
  <c r="N7" i="17"/>
  <c r="K7" i="17"/>
  <c r="J7" i="17"/>
  <c r="H7" i="17"/>
  <c r="G7" i="17"/>
  <c r="AL28" i="17"/>
  <c r="AJ28" i="17"/>
  <c r="AH28" i="17"/>
  <c r="AB19" i="17"/>
  <c r="AB28" i="17" s="1"/>
  <c r="Z6" i="17"/>
  <c r="V6" i="17"/>
  <c r="V19" i="17" s="1"/>
  <c r="V28" i="17" s="1"/>
  <c r="T6" i="17"/>
  <c r="N6" i="17"/>
  <c r="L19" i="17"/>
  <c r="K6" i="17"/>
  <c r="J6" i="17"/>
  <c r="J19" i="17" s="1"/>
  <c r="H6" i="17"/>
  <c r="G6" i="17"/>
  <c r="AA35" i="17" l="1"/>
  <c r="R35" i="17"/>
  <c r="AC32" i="17"/>
  <c r="AC33" i="17" s="1"/>
  <c r="H26" i="17"/>
  <c r="G27" i="17"/>
  <c r="J28" i="17"/>
  <c r="K21" i="17"/>
  <c r="F28" i="17"/>
  <c r="T7" i="17"/>
  <c r="T19" i="17" s="1"/>
  <c r="T28" i="17" s="1"/>
  <c r="Z7" i="17"/>
  <c r="I28" i="17"/>
  <c r="F35" i="17"/>
  <c r="O35" i="17"/>
  <c r="AM6" i="17"/>
  <c r="AD6" i="17"/>
  <c r="L28" i="17"/>
  <c r="AM28" i="17" s="1"/>
  <c r="K27" i="17"/>
  <c r="X35" i="17"/>
  <c r="H19" i="17"/>
  <c r="AN6" i="17"/>
  <c r="M28" i="17"/>
  <c r="AN28" i="17" s="1"/>
  <c r="U35" i="17"/>
  <c r="I35" i="17"/>
  <c r="Z15" i="17"/>
  <c r="P32" i="17"/>
  <c r="P33" i="17" s="1"/>
  <c r="AB32" i="17"/>
  <c r="AB33" i="17" s="1"/>
  <c r="Q6" i="17"/>
  <c r="W6" i="17"/>
  <c r="W19" i="17" s="1"/>
  <c r="W28" i="17" s="1"/>
  <c r="AC6" i="17"/>
  <c r="AC19" i="17" s="1"/>
  <c r="AC28" i="17" s="1"/>
  <c r="Q10" i="17"/>
  <c r="N11" i="17"/>
  <c r="N19" i="17" s="1"/>
  <c r="N28" i="17" s="1"/>
  <c r="N35" i="17" s="1"/>
  <c r="Q12" i="17"/>
  <c r="Q15" i="17"/>
  <c r="K16" i="17"/>
  <c r="K19" i="17" s="1"/>
  <c r="K18" i="17"/>
  <c r="H24" i="17"/>
  <c r="H27" i="17" s="1"/>
  <c r="K29" i="17"/>
  <c r="K32" i="17" s="1"/>
  <c r="K33" i="17" s="1"/>
  <c r="W29" i="17"/>
  <c r="W32" i="17" s="1"/>
  <c r="W33" i="17" s="1"/>
  <c r="M32" i="17"/>
  <c r="Y32" i="17"/>
  <c r="Y33" i="17" s="1"/>
  <c r="L33" i="17"/>
  <c r="G19" i="17"/>
  <c r="AD29" i="17"/>
  <c r="AD33" i="17" s="1"/>
  <c r="Z13" i="17"/>
  <c r="S19" i="17"/>
  <c r="S28" i="17" s="1"/>
  <c r="AD20" i="17"/>
  <c r="H29" i="17"/>
  <c r="H32" i="17" s="1"/>
  <c r="H33" i="17" s="1"/>
  <c r="T29" i="17"/>
  <c r="T32" i="17" s="1"/>
  <c r="T33" i="17" s="1"/>
  <c r="AL20" i="15"/>
  <c r="AJ20" i="15"/>
  <c r="AH20" i="15"/>
  <c r="AL6" i="15"/>
  <c r="AJ6" i="15"/>
  <c r="AH6" i="15"/>
  <c r="AE6" i="15"/>
  <c r="W35" i="17" l="1"/>
  <c r="AC35" i="17"/>
  <c r="G28" i="17"/>
  <c r="K28" i="17"/>
  <c r="K35" i="17" s="1"/>
  <c r="T35" i="17"/>
  <c r="Z19" i="17"/>
  <c r="Z28" i="17" s="1"/>
  <c r="Z35" i="17" s="1"/>
  <c r="L35" i="17"/>
  <c r="AM33" i="17"/>
  <c r="AM35" i="17" s="1"/>
  <c r="AD28" i="17"/>
  <c r="AD35" i="17" s="1"/>
  <c r="M33" i="17"/>
  <c r="AN33" i="17" s="1"/>
  <c r="AN35" i="17" s="1"/>
  <c r="AN29" i="17"/>
  <c r="Q19" i="17"/>
  <c r="Q28" i="17" s="1"/>
  <c r="Q35" i="17" s="1"/>
  <c r="H28" i="17"/>
  <c r="G24" i="15"/>
  <c r="G23" i="15"/>
  <c r="G22" i="15"/>
  <c r="G21" i="15"/>
  <c r="J20" i="15"/>
  <c r="G20" i="15"/>
  <c r="P13" i="15"/>
  <c r="M13" i="15"/>
  <c r="L13" i="15"/>
  <c r="P12" i="15"/>
  <c r="M12" i="15"/>
  <c r="P10" i="15"/>
  <c r="M10" i="15"/>
  <c r="P15" i="15"/>
  <c r="M15" i="15"/>
  <c r="P11" i="15"/>
  <c r="M11" i="15"/>
  <c r="P9" i="15"/>
  <c r="M9" i="15"/>
  <c r="P8" i="15"/>
  <c r="M8" i="15"/>
  <c r="P7" i="15"/>
  <c r="M7" i="15"/>
  <c r="P6" i="15"/>
  <c r="M6" i="15"/>
  <c r="L6" i="15"/>
  <c r="AC23" i="15" l="1"/>
  <c r="Z23" i="15"/>
  <c r="W23" i="15"/>
  <c r="T23" i="15"/>
  <c r="Q23" i="15"/>
  <c r="N23" i="15"/>
  <c r="K23" i="15"/>
  <c r="H23" i="15"/>
  <c r="AC22" i="15"/>
  <c r="Z22" i="15"/>
  <c r="W22" i="15"/>
  <c r="Q22" i="15"/>
  <c r="K22" i="15"/>
  <c r="H22" i="15"/>
  <c r="AC24" i="15"/>
  <c r="Z24" i="15"/>
  <c r="W24" i="15"/>
  <c r="T24" i="15"/>
  <c r="Q24" i="15"/>
  <c r="N24" i="15"/>
  <c r="K24" i="15"/>
  <c r="H24" i="15"/>
  <c r="N22" i="15" l="1"/>
  <c r="T22" i="15"/>
  <c r="AF28" i="15" l="1"/>
  <c r="AL28" i="15"/>
  <c r="AK28" i="15"/>
  <c r="AJ28" i="15"/>
  <c r="AI28" i="15"/>
  <c r="AH28" i="15"/>
  <c r="AG28" i="15"/>
  <c r="AE28" i="15"/>
  <c r="AA28" i="15"/>
  <c r="AA27" i="15"/>
  <c r="X27" i="15"/>
  <c r="X28" i="15" s="1"/>
  <c r="U27" i="15"/>
  <c r="U28" i="15" s="1"/>
  <c r="R27" i="15"/>
  <c r="R28" i="15" s="1"/>
  <c r="O27" i="15"/>
  <c r="L27" i="15"/>
  <c r="AD20" i="15" s="1"/>
  <c r="I27" i="15"/>
  <c r="I28" i="15" s="1"/>
  <c r="F27" i="15"/>
  <c r="F28" i="15" s="1"/>
  <c r="E27" i="15"/>
  <c r="E28" i="15" s="1"/>
  <c r="AC26" i="15"/>
  <c r="W26" i="15"/>
  <c r="Z26" i="15"/>
  <c r="N26" i="15"/>
  <c r="H26" i="15"/>
  <c r="Z25" i="15"/>
  <c r="N25" i="15"/>
  <c r="H25" i="15"/>
  <c r="AC21" i="15"/>
  <c r="Q21" i="15"/>
  <c r="N21" i="15"/>
  <c r="H21" i="15"/>
  <c r="AC20" i="15"/>
  <c r="Z20" i="15"/>
  <c r="W20" i="15"/>
  <c r="T20" i="15"/>
  <c r="N20" i="15"/>
  <c r="M27" i="15"/>
  <c r="AN20" i="15" s="1"/>
  <c r="H20" i="15"/>
  <c r="AK33" i="15"/>
  <c r="AI33" i="15"/>
  <c r="AG33" i="15"/>
  <c r="AF33" i="15"/>
  <c r="AE33" i="15"/>
  <c r="O33" i="15"/>
  <c r="I33" i="15"/>
  <c r="AA32" i="15"/>
  <c r="AA33" i="15" s="1"/>
  <c r="U32" i="15"/>
  <c r="U33" i="15" s="1"/>
  <c r="R32" i="15"/>
  <c r="R33" i="15" s="1"/>
  <c r="O32" i="15"/>
  <c r="L32" i="15"/>
  <c r="AM29" i="15" s="1"/>
  <c r="I32" i="15"/>
  <c r="F32" i="15"/>
  <c r="F33" i="15" s="1"/>
  <c r="E32" i="15"/>
  <c r="E33" i="15" s="1"/>
  <c r="AC31" i="15"/>
  <c r="AB31" i="15"/>
  <c r="Y31" i="15"/>
  <c r="Z31" i="15" s="1"/>
  <c r="W31" i="15"/>
  <c r="V31" i="15"/>
  <c r="S31" i="15"/>
  <c r="T31" i="15" s="1"/>
  <c r="Q31" i="15"/>
  <c r="P31" i="15"/>
  <c r="M31" i="15"/>
  <c r="N31" i="15" s="1"/>
  <c r="K31" i="15"/>
  <c r="J31" i="15"/>
  <c r="G31" i="15"/>
  <c r="H31" i="15" s="1"/>
  <c r="AC30" i="15"/>
  <c r="AB30" i="15"/>
  <c r="Y30" i="15"/>
  <c r="X32" i="15"/>
  <c r="X33" i="15" s="1"/>
  <c r="V30" i="15"/>
  <c r="W30" i="15" s="1"/>
  <c r="S30" i="15"/>
  <c r="P30" i="15"/>
  <c r="M30" i="15"/>
  <c r="J30" i="15"/>
  <c r="K30" i="15" s="1"/>
  <c r="G30" i="15"/>
  <c r="H30" i="15" s="1"/>
  <c r="AL29" i="15"/>
  <c r="AL33" i="15" s="1"/>
  <c r="AJ29" i="15"/>
  <c r="AJ33" i="15" s="1"/>
  <c r="AH29" i="15"/>
  <c r="AH33" i="15" s="1"/>
  <c r="AE29" i="15"/>
  <c r="AB29" i="15"/>
  <c r="AB32" i="15" s="1"/>
  <c r="AB33" i="15" s="1"/>
  <c r="Z29" i="15"/>
  <c r="Y29" i="15"/>
  <c r="V29" i="15"/>
  <c r="W29" i="15" s="1"/>
  <c r="T29" i="15"/>
  <c r="S29" i="15"/>
  <c r="P29" i="15"/>
  <c r="P32" i="15" s="1"/>
  <c r="P33" i="15" s="1"/>
  <c r="N29" i="15"/>
  <c r="M29" i="15"/>
  <c r="J29" i="15"/>
  <c r="K29" i="15" s="1"/>
  <c r="H29" i="15"/>
  <c r="G29" i="15"/>
  <c r="AA19" i="15"/>
  <c r="X19" i="15"/>
  <c r="U19" i="15"/>
  <c r="R19" i="15"/>
  <c r="O19" i="15"/>
  <c r="I19" i="15"/>
  <c r="F19" i="15"/>
  <c r="E19" i="15"/>
  <c r="AC18" i="15"/>
  <c r="Z18" i="15"/>
  <c r="W18" i="15"/>
  <c r="T18" i="15"/>
  <c r="Q18" i="15"/>
  <c r="J18" i="15"/>
  <c r="N18" i="15" s="1"/>
  <c r="G18" i="15"/>
  <c r="H18" i="15" s="1"/>
  <c r="AC17" i="15"/>
  <c r="Z17" i="15"/>
  <c r="W17" i="15"/>
  <c r="T17" i="15"/>
  <c r="Q17" i="15"/>
  <c r="N17" i="15"/>
  <c r="J17" i="15"/>
  <c r="G17" i="15"/>
  <c r="H17" i="15" s="1"/>
  <c r="AC16" i="15"/>
  <c r="Z16" i="15"/>
  <c r="W16" i="15"/>
  <c r="T16" i="15"/>
  <c r="Q16" i="15"/>
  <c r="J16" i="15"/>
  <c r="N16" i="15" s="1"/>
  <c r="G16" i="15"/>
  <c r="H16" i="15" s="1"/>
  <c r="AC15" i="15"/>
  <c r="Z15" i="15"/>
  <c r="W15" i="15"/>
  <c r="T15" i="15"/>
  <c r="Q15" i="15"/>
  <c r="J15" i="15"/>
  <c r="K15" i="15" s="1"/>
  <c r="G15" i="15"/>
  <c r="H15" i="15" s="1"/>
  <c r="AC14" i="15"/>
  <c r="Z14" i="15"/>
  <c r="W14" i="15"/>
  <c r="T14" i="15"/>
  <c r="Q14" i="15"/>
  <c r="J14" i="15"/>
  <c r="N14" i="15" s="1"/>
  <c r="G14" i="15"/>
  <c r="H14" i="15" s="1"/>
  <c r="AC13" i="15"/>
  <c r="W13" i="15"/>
  <c r="T13" i="15"/>
  <c r="J13" i="15"/>
  <c r="G13" i="15"/>
  <c r="H13" i="15" s="1"/>
  <c r="AC12" i="15"/>
  <c r="S12" i="15"/>
  <c r="W12" i="15" s="1"/>
  <c r="Z12" i="15"/>
  <c r="N12" i="15"/>
  <c r="J12" i="15"/>
  <c r="K12" i="15" s="1"/>
  <c r="G12" i="15"/>
  <c r="H12" i="15" s="1"/>
  <c r="AC11" i="15"/>
  <c r="V11" i="15"/>
  <c r="W11" i="15" s="1"/>
  <c r="S11" i="15"/>
  <c r="T11" i="15" s="1"/>
  <c r="Z11" i="15"/>
  <c r="N11" i="15"/>
  <c r="J11" i="15"/>
  <c r="K11" i="15" s="1"/>
  <c r="G11" i="15"/>
  <c r="H11" i="15" s="1"/>
  <c r="AC10" i="15"/>
  <c r="W10" i="15"/>
  <c r="V10" i="15"/>
  <c r="S10" i="15"/>
  <c r="T10" i="15" s="1"/>
  <c r="Q10" i="15"/>
  <c r="Z10" i="15"/>
  <c r="L19" i="15"/>
  <c r="J10" i="15"/>
  <c r="K10" i="15" s="1"/>
  <c r="G10" i="15"/>
  <c r="H10" i="15" s="1"/>
  <c r="AC9" i="15"/>
  <c r="T9" i="15"/>
  <c r="S9" i="15"/>
  <c r="W9" i="15" s="1"/>
  <c r="Q9" i="15"/>
  <c r="N9" i="15"/>
  <c r="J9" i="15"/>
  <c r="K9" i="15" s="1"/>
  <c r="H9" i="15"/>
  <c r="G9" i="15"/>
  <c r="AB8" i="15"/>
  <c r="AC8" i="15" s="1"/>
  <c r="Z8" i="15"/>
  <c r="Y8" i="15"/>
  <c r="V8" i="15"/>
  <c r="W8" i="15" s="1"/>
  <c r="T8" i="15"/>
  <c r="S8" i="15"/>
  <c r="Q8" i="15"/>
  <c r="N8" i="15"/>
  <c r="J8" i="15"/>
  <c r="K8" i="15" s="1"/>
  <c r="H8" i="15"/>
  <c r="G8" i="15"/>
  <c r="AB7" i="15"/>
  <c r="AC7" i="15" s="1"/>
  <c r="Z7" i="15"/>
  <c r="Y7" i="15"/>
  <c r="V7" i="15"/>
  <c r="W7" i="15" s="1"/>
  <c r="T7" i="15"/>
  <c r="S7" i="15"/>
  <c r="Q7" i="15"/>
  <c r="N7" i="15"/>
  <c r="J7" i="15"/>
  <c r="K7" i="15" s="1"/>
  <c r="H7" i="15"/>
  <c r="G7" i="15"/>
  <c r="AB6" i="15"/>
  <c r="Y6" i="15"/>
  <c r="Z6" i="15" s="1"/>
  <c r="V6" i="15"/>
  <c r="W6" i="15" s="1"/>
  <c r="S6" i="15"/>
  <c r="J6" i="15"/>
  <c r="K6" i="15" s="1"/>
  <c r="G6" i="15"/>
  <c r="AK35" i="15" l="1"/>
  <c r="O28" i="15"/>
  <c r="O35" i="15" s="1"/>
  <c r="H27" i="15"/>
  <c r="AM20" i="15"/>
  <c r="L28" i="15"/>
  <c r="AM28" i="15" s="1"/>
  <c r="AA35" i="15"/>
  <c r="N6" i="15"/>
  <c r="Q11" i="15"/>
  <c r="T12" i="15"/>
  <c r="N15" i="15"/>
  <c r="G19" i="15"/>
  <c r="S19" i="15"/>
  <c r="Q12" i="15"/>
  <c r="N13" i="15"/>
  <c r="K17" i="15"/>
  <c r="G32" i="15"/>
  <c r="G33" i="15" s="1"/>
  <c r="M32" i="15"/>
  <c r="M33" i="15" s="1"/>
  <c r="AN33" i="15" s="1"/>
  <c r="S32" i="15"/>
  <c r="S33" i="15" s="1"/>
  <c r="Y32" i="15"/>
  <c r="Y33" i="15" s="1"/>
  <c r="H32" i="15"/>
  <c r="H33" i="15" s="1"/>
  <c r="T30" i="15"/>
  <c r="T32" i="15" s="1"/>
  <c r="T33" i="15" s="1"/>
  <c r="AI35" i="15"/>
  <c r="K20" i="15"/>
  <c r="K21" i="15"/>
  <c r="W21" i="15"/>
  <c r="K25" i="15"/>
  <c r="W25" i="15"/>
  <c r="N32" i="15"/>
  <c r="N33" i="15" s="1"/>
  <c r="Z21" i="15"/>
  <c r="Z27" i="15" s="1"/>
  <c r="N30" i="15"/>
  <c r="AC25" i="15"/>
  <c r="AC27" i="15" s="1"/>
  <c r="Z9" i="15"/>
  <c r="P19" i="15"/>
  <c r="AB19" i="15"/>
  <c r="K13" i="15"/>
  <c r="Z13" i="15"/>
  <c r="Q29" i="15"/>
  <c r="Q32" i="15" s="1"/>
  <c r="Q33" i="15" s="1"/>
  <c r="AC29" i="15"/>
  <c r="AC32" i="15" s="1"/>
  <c r="AC33" i="15" s="1"/>
  <c r="Q30" i="15"/>
  <c r="F35" i="15"/>
  <c r="AG35" i="15"/>
  <c r="Q20" i="15"/>
  <c r="Y27" i="15"/>
  <c r="Y28" i="15" s="1"/>
  <c r="T21" i="15"/>
  <c r="N27" i="15"/>
  <c r="Q25" i="15"/>
  <c r="K26" i="15"/>
  <c r="T25" i="15"/>
  <c r="T26" i="15"/>
  <c r="J27" i="15"/>
  <c r="J28" i="15" s="1"/>
  <c r="V27" i="15"/>
  <c r="V28" i="15" s="1"/>
  <c r="G27" i="15"/>
  <c r="G28" i="15" s="1"/>
  <c r="S27" i="15"/>
  <c r="S28" i="15" s="1"/>
  <c r="Q26" i="15"/>
  <c r="P27" i="15"/>
  <c r="AB27" i="15"/>
  <c r="AB28" i="15" s="1"/>
  <c r="X35" i="15"/>
  <c r="R35" i="15"/>
  <c r="I35" i="15"/>
  <c r="W19" i="15"/>
  <c r="K32" i="15"/>
  <c r="K33" i="15" s="1"/>
  <c r="W32" i="15"/>
  <c r="W33" i="15" s="1"/>
  <c r="U35" i="15"/>
  <c r="AD6" i="15"/>
  <c r="AD28" i="15" s="1"/>
  <c r="AM6" i="15"/>
  <c r="AN29" i="15"/>
  <c r="AE35" i="15"/>
  <c r="M19" i="15"/>
  <c r="M28" i="15" s="1"/>
  <c r="Y19" i="15"/>
  <c r="H6" i="15"/>
  <c r="H19" i="15" s="1"/>
  <c r="T6" i="15"/>
  <c r="Q13" i="15"/>
  <c r="K14" i="15"/>
  <c r="K16" i="15"/>
  <c r="K18" i="15"/>
  <c r="J19" i="15"/>
  <c r="V19" i="15"/>
  <c r="AD29" i="15"/>
  <c r="AD33" i="15" s="1"/>
  <c r="L33" i="15"/>
  <c r="Z30" i="15"/>
  <c r="Z32" i="15" s="1"/>
  <c r="Z33" i="15" s="1"/>
  <c r="J32" i="15"/>
  <c r="J33" i="15" s="1"/>
  <c r="V32" i="15"/>
  <c r="V33" i="15" s="1"/>
  <c r="N10" i="15"/>
  <c r="Q6" i="15"/>
  <c r="AC6" i="15"/>
  <c r="AC19" i="15" s="1"/>
  <c r="AB23" i="14"/>
  <c r="Y23" i="14"/>
  <c r="V23" i="14"/>
  <c r="S12" i="14"/>
  <c r="V10" i="14"/>
  <c r="V11" i="14"/>
  <c r="S11" i="14"/>
  <c r="S10" i="14"/>
  <c r="AB8" i="14"/>
  <c r="Y8" i="14"/>
  <c r="V8" i="14"/>
  <c r="AB7" i="14"/>
  <c r="Y7" i="14"/>
  <c r="V7" i="14"/>
  <c r="V6" i="14"/>
  <c r="AB21" i="14"/>
  <c r="Y21" i="14"/>
  <c r="V21" i="14"/>
  <c r="AB22" i="14"/>
  <c r="Y22" i="14"/>
  <c r="X22" i="14"/>
  <c r="V22" i="14"/>
  <c r="P28" i="15" l="1"/>
  <c r="N19" i="15"/>
  <c r="N28" i="15" s="1"/>
  <c r="N35" i="15" s="1"/>
  <c r="K27" i="15"/>
  <c r="H28" i="15"/>
  <c r="Z19" i="15"/>
  <c r="Z28" i="15" s="1"/>
  <c r="Z35" i="15" s="1"/>
  <c r="AC28" i="15"/>
  <c r="AC35" i="15" s="1"/>
  <c r="W27" i="15"/>
  <c r="W28" i="15"/>
  <c r="W35" i="15" s="1"/>
  <c r="Q27" i="15"/>
  <c r="T19" i="15"/>
  <c r="AD35" i="15"/>
  <c r="Q19" i="15"/>
  <c r="T27" i="15"/>
  <c r="K19" i="15"/>
  <c r="AN6" i="15"/>
  <c r="AN28" i="15"/>
  <c r="AN35" i="15" s="1"/>
  <c r="L35" i="15"/>
  <c r="AM33" i="15"/>
  <c r="AM35" i="15" s="1"/>
  <c r="J18" i="14"/>
  <c r="G18" i="14"/>
  <c r="K28" i="15" l="1"/>
  <c r="K35" i="15" s="1"/>
  <c r="T28" i="15"/>
  <c r="T35" i="15" s="1"/>
  <c r="Q28" i="15"/>
  <c r="Q35" i="15" s="1"/>
  <c r="AC17" i="14"/>
  <c r="Z17" i="14"/>
  <c r="W17" i="14"/>
  <c r="T17" i="14"/>
  <c r="Q17" i="14"/>
  <c r="J17" i="14"/>
  <c r="N17" i="14" s="1"/>
  <c r="G17" i="14"/>
  <c r="H17" i="14" s="1"/>
  <c r="J16" i="14"/>
  <c r="G16" i="14"/>
  <c r="J15" i="14"/>
  <c r="G15" i="14"/>
  <c r="J14" i="14"/>
  <c r="G14" i="14"/>
  <c r="K17" i="14" l="1"/>
  <c r="AC13" i="14" l="1"/>
  <c r="W13" i="14"/>
  <c r="T13" i="14"/>
  <c r="P13" i="14"/>
  <c r="Q13" i="14" s="1"/>
  <c r="M13" i="14"/>
  <c r="N13" i="14" s="1"/>
  <c r="J13" i="14"/>
  <c r="K13" i="14" s="1"/>
  <c r="G13" i="14"/>
  <c r="H13" i="14" s="1"/>
  <c r="AC12" i="14"/>
  <c r="W12" i="14"/>
  <c r="T12" i="14"/>
  <c r="P12" i="14"/>
  <c r="Q12" i="14" s="1"/>
  <c r="M12" i="14"/>
  <c r="N12" i="14" s="1"/>
  <c r="J12" i="14"/>
  <c r="K12" i="14" s="1"/>
  <c r="G12" i="14"/>
  <c r="H12" i="14" s="1"/>
  <c r="AC11" i="14"/>
  <c r="W11" i="14"/>
  <c r="T11" i="14"/>
  <c r="P11" i="14"/>
  <c r="Q11" i="14" s="1"/>
  <c r="M11" i="14"/>
  <c r="N11" i="14" s="1"/>
  <c r="J11" i="14"/>
  <c r="K11" i="14" s="1"/>
  <c r="G11" i="14"/>
  <c r="H11" i="14" s="1"/>
  <c r="AC10" i="14"/>
  <c r="W10" i="14"/>
  <c r="T10" i="14"/>
  <c r="P10" i="14"/>
  <c r="Q10" i="14" s="1"/>
  <c r="M10" i="14"/>
  <c r="N10" i="14" s="1"/>
  <c r="L10" i="14"/>
  <c r="J10" i="14"/>
  <c r="K10" i="14" s="1"/>
  <c r="H10" i="14"/>
  <c r="G10" i="14"/>
  <c r="Z10" i="14" l="1"/>
  <c r="Z11" i="14"/>
  <c r="Z12" i="14"/>
  <c r="Z13" i="14"/>
  <c r="AH6" i="14" l="1"/>
  <c r="AL6" i="14"/>
  <c r="AJ6" i="14"/>
  <c r="AE6" i="14"/>
  <c r="J22" i="14"/>
  <c r="G22" i="14"/>
  <c r="T14" i="14"/>
  <c r="P8" i="14"/>
  <c r="M8" i="14"/>
  <c r="P6" i="14"/>
  <c r="M6" i="14"/>
  <c r="AK25" i="14"/>
  <c r="AJ25" i="14"/>
  <c r="AI25" i="14"/>
  <c r="AG25" i="14"/>
  <c r="AF25" i="14"/>
  <c r="O25" i="14"/>
  <c r="AA24" i="14"/>
  <c r="AA25" i="14" s="1"/>
  <c r="R24" i="14"/>
  <c r="R25" i="14" s="1"/>
  <c r="O24" i="14"/>
  <c r="I24" i="14"/>
  <c r="I25" i="14" s="1"/>
  <c r="F24" i="14"/>
  <c r="F25" i="14" s="1"/>
  <c r="E24" i="14"/>
  <c r="E25" i="14" s="1"/>
  <c r="Z23" i="14"/>
  <c r="S23" i="14"/>
  <c r="T23" i="14" s="1"/>
  <c r="P23" i="14"/>
  <c r="M23" i="14"/>
  <c r="N23" i="14" s="1"/>
  <c r="J23" i="14"/>
  <c r="G23" i="14"/>
  <c r="H23" i="14" s="1"/>
  <c r="Z22" i="14"/>
  <c r="W22" i="14"/>
  <c r="U24" i="14"/>
  <c r="U25" i="14" s="1"/>
  <c r="S22" i="14"/>
  <c r="P22" i="14"/>
  <c r="Q22" i="14" s="1"/>
  <c r="M22" i="14"/>
  <c r="K22" i="14"/>
  <c r="N22" i="14"/>
  <c r="H22" i="14"/>
  <c r="AL21" i="14"/>
  <c r="AL25" i="14" s="1"/>
  <c r="AJ21" i="14"/>
  <c r="AH21" i="14"/>
  <c r="AH25" i="14" s="1"/>
  <c r="AE21" i="14"/>
  <c r="AE25" i="14" s="1"/>
  <c r="AC21" i="14"/>
  <c r="Z21" i="14"/>
  <c r="X24" i="14"/>
  <c r="X25" i="14" s="1"/>
  <c r="S21" i="14"/>
  <c r="S24" i="14" s="1"/>
  <c r="S25" i="14" s="1"/>
  <c r="P21" i="14"/>
  <c r="P24" i="14" s="1"/>
  <c r="P25" i="14" s="1"/>
  <c r="M21" i="14"/>
  <c r="N21" i="14" s="1"/>
  <c r="N24" i="14" s="1"/>
  <c r="N25" i="14" s="1"/>
  <c r="L24" i="14"/>
  <c r="J21" i="14"/>
  <c r="K21" i="14" s="1"/>
  <c r="H21" i="14"/>
  <c r="G21" i="14"/>
  <c r="G24" i="14" s="1"/>
  <c r="G25" i="14" s="1"/>
  <c r="AL20" i="14"/>
  <c r="AK20" i="14"/>
  <c r="AK27" i="14" s="1"/>
  <c r="AI20" i="14"/>
  <c r="AH20" i="14"/>
  <c r="AG20" i="14"/>
  <c r="AF20" i="14"/>
  <c r="AB19" i="14"/>
  <c r="AB20" i="14" s="1"/>
  <c r="AA19" i="14"/>
  <c r="AA20" i="14" s="1"/>
  <c r="X19" i="14"/>
  <c r="X20" i="14" s="1"/>
  <c r="U19" i="14"/>
  <c r="U20" i="14" s="1"/>
  <c r="S19" i="14"/>
  <c r="S20" i="14" s="1"/>
  <c r="R19" i="14"/>
  <c r="R20" i="14" s="1"/>
  <c r="O19" i="14"/>
  <c r="O20" i="14" s="1"/>
  <c r="I19" i="14"/>
  <c r="I20" i="14" s="1"/>
  <c r="F19" i="14"/>
  <c r="F20" i="14" s="1"/>
  <c r="E19" i="14"/>
  <c r="E20" i="14" s="1"/>
  <c r="AC18" i="14"/>
  <c r="Z18" i="14"/>
  <c r="W18" i="14"/>
  <c r="T18" i="14"/>
  <c r="Q18" i="14"/>
  <c r="N18" i="14"/>
  <c r="K18" i="14"/>
  <c r="AC16" i="14"/>
  <c r="Z16" i="14"/>
  <c r="W16" i="14"/>
  <c r="T16" i="14"/>
  <c r="Q16" i="14"/>
  <c r="N16" i="14"/>
  <c r="H16" i="14"/>
  <c r="AC15" i="14"/>
  <c r="W15" i="14"/>
  <c r="T15" i="14"/>
  <c r="K15" i="14"/>
  <c r="H15" i="14"/>
  <c r="AC14" i="14"/>
  <c r="W14" i="14"/>
  <c r="N14" i="14"/>
  <c r="K14" i="14"/>
  <c r="H14" i="14"/>
  <c r="AC9" i="14"/>
  <c r="Z9" i="14"/>
  <c r="S9" i="14"/>
  <c r="T9" i="14" s="1"/>
  <c r="Q9" i="14"/>
  <c r="P9" i="14"/>
  <c r="M9" i="14"/>
  <c r="N9" i="14" s="1"/>
  <c r="K9" i="14"/>
  <c r="J9" i="14"/>
  <c r="G9" i="14"/>
  <c r="H9" i="14" s="1"/>
  <c r="AC8" i="14"/>
  <c r="Z8" i="14"/>
  <c r="W8" i="14"/>
  <c r="S8" i="14"/>
  <c r="T8" i="14" s="1"/>
  <c r="Q8" i="14"/>
  <c r="N8" i="14"/>
  <c r="K8" i="14"/>
  <c r="J8" i="14"/>
  <c r="G8" i="14"/>
  <c r="H8" i="14" s="1"/>
  <c r="AC7" i="14"/>
  <c r="Z7" i="14"/>
  <c r="W7" i="14"/>
  <c r="S7" i="14"/>
  <c r="T7" i="14" s="1"/>
  <c r="Q7" i="14"/>
  <c r="P7" i="14"/>
  <c r="M7" i="14"/>
  <c r="N7" i="14" s="1"/>
  <c r="J7" i="14"/>
  <c r="K7" i="14" s="1"/>
  <c r="G7" i="14"/>
  <c r="H7" i="14" s="1"/>
  <c r="AJ20" i="14"/>
  <c r="AE20" i="14"/>
  <c r="AC6" i="14"/>
  <c r="AB6" i="14"/>
  <c r="Y6" i="14"/>
  <c r="Y19" i="14" s="1"/>
  <c r="Y20" i="14" s="1"/>
  <c r="W6" i="14"/>
  <c r="V19" i="14"/>
  <c r="V20" i="14" s="1"/>
  <c r="S6" i="14"/>
  <c r="T6" i="14" s="1"/>
  <c r="Q6" i="14"/>
  <c r="M19" i="14"/>
  <c r="L19" i="14"/>
  <c r="J6" i="14"/>
  <c r="J19" i="14" s="1"/>
  <c r="J20" i="14" s="1"/>
  <c r="G6" i="14"/>
  <c r="H6" i="14" s="1"/>
  <c r="Z24" i="14" l="1"/>
  <c r="Z25" i="14" s="1"/>
  <c r="AC19" i="14"/>
  <c r="AC20" i="14" s="1"/>
  <c r="AI27" i="14"/>
  <c r="F27" i="14"/>
  <c r="AA27" i="14"/>
  <c r="AG27" i="14"/>
  <c r="H24" i="14"/>
  <c r="H25" i="14" s="1"/>
  <c r="R27" i="14"/>
  <c r="U27" i="14"/>
  <c r="L20" i="14"/>
  <c r="AM20" i="14" s="1"/>
  <c r="AM6" i="14"/>
  <c r="AD6" i="14"/>
  <c r="AD20" i="14" s="1"/>
  <c r="T19" i="14"/>
  <c r="T20" i="14" s="1"/>
  <c r="AD21" i="14"/>
  <c r="AD25" i="14" s="1"/>
  <c r="L25" i="14"/>
  <c r="AM21" i="14"/>
  <c r="I27" i="14"/>
  <c r="O27" i="14"/>
  <c r="M20" i="14"/>
  <c r="AN20" i="14" s="1"/>
  <c r="AN6" i="14"/>
  <c r="X27" i="14"/>
  <c r="AE27" i="14"/>
  <c r="Z15" i="14"/>
  <c r="H18" i="14"/>
  <c r="H19" i="14" s="1"/>
  <c r="H20" i="14" s="1"/>
  <c r="K6" i="14"/>
  <c r="W9" i="14"/>
  <c r="W19" i="14" s="1"/>
  <c r="W20" i="14" s="1"/>
  <c r="N15" i="14"/>
  <c r="Q21" i="14"/>
  <c r="T22" i="14"/>
  <c r="AC22" i="14"/>
  <c r="K23" i="14"/>
  <c r="K24" i="14" s="1"/>
  <c r="K25" i="14" s="1"/>
  <c r="Q23" i="14"/>
  <c r="W23" i="14"/>
  <c r="AC23" i="14"/>
  <c r="AC24" i="14" s="1"/>
  <c r="AC25" i="14" s="1"/>
  <c r="AB24" i="14"/>
  <c r="AB25" i="14" s="1"/>
  <c r="W21" i="14"/>
  <c r="W24" i="14" s="1"/>
  <c r="W25" i="14" s="1"/>
  <c r="M24" i="14"/>
  <c r="Y24" i="14"/>
  <c r="Y25" i="14" s="1"/>
  <c r="Z14" i="14"/>
  <c r="G19" i="14"/>
  <c r="G20" i="14" s="1"/>
  <c r="Q14" i="14"/>
  <c r="Q15" i="14"/>
  <c r="P19" i="14"/>
  <c r="P20" i="14" s="1"/>
  <c r="T21" i="14"/>
  <c r="T24" i="14" s="1"/>
  <c r="T25" i="14" s="1"/>
  <c r="J24" i="14"/>
  <c r="J25" i="14" s="1"/>
  <c r="V24" i="14"/>
  <c r="V25" i="14" s="1"/>
  <c r="K16" i="14"/>
  <c r="N6" i="14"/>
  <c r="Z6" i="14"/>
  <c r="AL16" i="13"/>
  <c r="AL6" i="13"/>
  <c r="AJ16" i="13"/>
  <c r="AJ6" i="13"/>
  <c r="AH16" i="13"/>
  <c r="AH6" i="13"/>
  <c r="AE16" i="13"/>
  <c r="AE6" i="13"/>
  <c r="AB18" i="13"/>
  <c r="Y18" i="13"/>
  <c r="V18" i="13"/>
  <c r="S18" i="13"/>
  <c r="S9" i="13"/>
  <c r="V8" i="13"/>
  <c r="S8" i="13"/>
  <c r="V7" i="13"/>
  <c r="S7" i="13"/>
  <c r="V6" i="13"/>
  <c r="S6" i="13"/>
  <c r="X17" i="13"/>
  <c r="AC27" i="14" l="1"/>
  <c r="W27" i="14"/>
  <c r="Q19" i="14"/>
  <c r="Q20" i="14" s="1"/>
  <c r="N19" i="14"/>
  <c r="N20" i="14" s="1"/>
  <c r="N27" i="14" s="1"/>
  <c r="T27" i="14"/>
  <c r="Z19" i="14"/>
  <c r="Z20" i="14" s="1"/>
  <c r="Z27" i="14" s="1"/>
  <c r="M25" i="14"/>
  <c r="AN25" i="14" s="1"/>
  <c r="AN27" i="14" s="1"/>
  <c r="AN21" i="14"/>
  <c r="K19" i="14"/>
  <c r="K20" i="14" s="1"/>
  <c r="K27" i="14" s="1"/>
  <c r="AD27" i="14"/>
  <c r="Q24" i="14"/>
  <c r="Q25" i="14" s="1"/>
  <c r="L27" i="14"/>
  <c r="AM25" i="14"/>
  <c r="AM27" i="14" s="1"/>
  <c r="AB16" i="13"/>
  <c r="Y16" i="13"/>
  <c r="X16" i="13"/>
  <c r="V16" i="13"/>
  <c r="U16" i="13"/>
  <c r="S16" i="13"/>
  <c r="AB17" i="13"/>
  <c r="Y17" i="13"/>
  <c r="V17" i="13"/>
  <c r="U17" i="13"/>
  <c r="S17" i="13"/>
  <c r="Q27" i="14" l="1"/>
  <c r="P10" i="13"/>
  <c r="M10" i="13"/>
  <c r="P11" i="13"/>
  <c r="M11" i="13"/>
  <c r="P7" i="13"/>
  <c r="M7" i="13"/>
  <c r="L7" i="13"/>
  <c r="P6" i="13"/>
  <c r="M6" i="13"/>
  <c r="L6" i="13"/>
  <c r="P18" i="13"/>
  <c r="Z18" i="13" s="1"/>
  <c r="M18" i="13"/>
  <c r="P17" i="13"/>
  <c r="M17" i="13"/>
  <c r="L17" i="13"/>
  <c r="P16" i="13"/>
  <c r="M16" i="13"/>
  <c r="L16" i="13"/>
  <c r="AK20" i="13"/>
  <c r="AK22" i="13" s="1"/>
  <c r="AI20" i="13"/>
  <c r="AI22" i="13" s="1"/>
  <c r="AG20" i="13"/>
  <c r="AF20" i="13"/>
  <c r="O20" i="13"/>
  <c r="I20" i="13"/>
  <c r="I22" i="13" s="1"/>
  <c r="E20" i="13"/>
  <c r="AB19" i="13"/>
  <c r="AB20" i="13" s="1"/>
  <c r="AA19" i="13"/>
  <c r="AA20" i="13" s="1"/>
  <c r="X19" i="13"/>
  <c r="X20" i="13" s="1"/>
  <c r="U19" i="13"/>
  <c r="U20" i="13" s="1"/>
  <c r="R19" i="13"/>
  <c r="R20" i="13" s="1"/>
  <c r="P19" i="13"/>
  <c r="P20" i="13" s="1"/>
  <c r="O19" i="13"/>
  <c r="I19" i="13"/>
  <c r="F19" i="13"/>
  <c r="F20" i="13" s="1"/>
  <c r="F22" i="13" s="1"/>
  <c r="E19" i="13"/>
  <c r="AC18" i="13"/>
  <c r="W18" i="13"/>
  <c r="T18" i="13"/>
  <c r="Q18" i="13"/>
  <c r="L19" i="13"/>
  <c r="J18" i="13"/>
  <c r="K18" i="13" s="1"/>
  <c r="G18" i="13"/>
  <c r="H18" i="13" s="1"/>
  <c r="AC17" i="13"/>
  <c r="Z17" i="13"/>
  <c r="W17" i="13"/>
  <c r="T17" i="13"/>
  <c r="Q17" i="13"/>
  <c r="J17" i="13"/>
  <c r="K17" i="13" s="1"/>
  <c r="G17" i="13"/>
  <c r="H17" i="13" s="1"/>
  <c r="AL20" i="13"/>
  <c r="AJ20" i="13"/>
  <c r="AH20" i="13"/>
  <c r="AE20" i="13"/>
  <c r="AC16" i="13"/>
  <c r="Z16" i="13"/>
  <c r="Y19" i="13"/>
  <c r="Y20" i="13" s="1"/>
  <c r="W16" i="13"/>
  <c r="T16" i="13"/>
  <c r="S19" i="13"/>
  <c r="S20" i="13" s="1"/>
  <c r="Q16" i="13"/>
  <c r="Q19" i="13" s="1"/>
  <c r="Q20" i="13" s="1"/>
  <c r="M19" i="13"/>
  <c r="J16" i="13"/>
  <c r="J19" i="13" s="1"/>
  <c r="J20" i="13" s="1"/>
  <c r="G16" i="13"/>
  <c r="G19" i="13" s="1"/>
  <c r="G20" i="13" s="1"/>
  <c r="AK15" i="13"/>
  <c r="AI15" i="13"/>
  <c r="AG15" i="13"/>
  <c r="AF15" i="13"/>
  <c r="I15" i="13"/>
  <c r="E15" i="13"/>
  <c r="AB14" i="13"/>
  <c r="AB15" i="13" s="1"/>
  <c r="AA14" i="13"/>
  <c r="AA15" i="13" s="1"/>
  <c r="X14" i="13"/>
  <c r="X15" i="13" s="1"/>
  <c r="U14" i="13"/>
  <c r="U15" i="13" s="1"/>
  <c r="R14" i="13"/>
  <c r="R15" i="13" s="1"/>
  <c r="P14" i="13"/>
  <c r="P15" i="13" s="1"/>
  <c r="O14" i="13"/>
  <c r="O15" i="13" s="1"/>
  <c r="I14" i="13"/>
  <c r="F14" i="13"/>
  <c r="F15" i="13" s="1"/>
  <c r="E14" i="13"/>
  <c r="AC13" i="13"/>
  <c r="Z13" i="13"/>
  <c r="W13" i="13"/>
  <c r="T13" i="13"/>
  <c r="Q13" i="13"/>
  <c r="N13" i="13"/>
  <c r="K13" i="13"/>
  <c r="J13" i="13"/>
  <c r="H13" i="13"/>
  <c r="G13" i="13"/>
  <c r="AC12" i="13"/>
  <c r="Z12" i="13"/>
  <c r="W12" i="13"/>
  <c r="T12" i="13"/>
  <c r="Q12" i="13"/>
  <c r="K12" i="13"/>
  <c r="J12" i="13"/>
  <c r="N12" i="13" s="1"/>
  <c r="H12" i="13"/>
  <c r="G12" i="13"/>
  <c r="AC11" i="13"/>
  <c r="Z11" i="13"/>
  <c r="W11" i="13"/>
  <c r="T11" i="13"/>
  <c r="Q11" i="13"/>
  <c r="N11" i="13"/>
  <c r="K11" i="13"/>
  <c r="J11" i="13"/>
  <c r="H11" i="13"/>
  <c r="G11" i="13"/>
  <c r="AC10" i="13"/>
  <c r="Z10" i="13"/>
  <c r="W10" i="13"/>
  <c r="T10" i="13"/>
  <c r="Q10" i="13"/>
  <c r="K10" i="13"/>
  <c r="J10" i="13"/>
  <c r="N10" i="13" s="1"/>
  <c r="H10" i="13"/>
  <c r="G10" i="13"/>
  <c r="AC9" i="13"/>
  <c r="W9" i="13"/>
  <c r="Q9" i="13"/>
  <c r="P9" i="13"/>
  <c r="Z9" i="13" s="1"/>
  <c r="M9" i="13"/>
  <c r="L14" i="13"/>
  <c r="J9" i="13"/>
  <c r="K9" i="13" s="1"/>
  <c r="G9" i="13"/>
  <c r="H9" i="13" s="1"/>
  <c r="AB8" i="13"/>
  <c r="AC8" i="13" s="1"/>
  <c r="Y8" i="13"/>
  <c r="Z8" i="13" s="1"/>
  <c r="W8" i="13"/>
  <c r="T8" i="13"/>
  <c r="P8" i="13"/>
  <c r="Q8" i="13" s="1"/>
  <c r="M8" i="13"/>
  <c r="N8" i="13" s="1"/>
  <c r="K8" i="13"/>
  <c r="J8" i="13"/>
  <c r="H8" i="13"/>
  <c r="G8" i="13"/>
  <c r="AC7" i="13"/>
  <c r="AB7" i="13"/>
  <c r="Z7" i="13"/>
  <c r="Y7" i="13"/>
  <c r="W7" i="13"/>
  <c r="T7" i="13"/>
  <c r="Q7" i="13"/>
  <c r="J7" i="13"/>
  <c r="J14" i="13" s="1"/>
  <c r="J15" i="13" s="1"/>
  <c r="G7" i="13"/>
  <c r="H7" i="13" s="1"/>
  <c r="AL15" i="13"/>
  <c r="AJ15" i="13"/>
  <c r="AH15" i="13"/>
  <c r="AE15" i="13"/>
  <c r="AC6" i="13"/>
  <c r="AC14" i="13" s="1"/>
  <c r="AC15" i="13" s="1"/>
  <c r="AB6" i="13"/>
  <c r="Z6" i="13"/>
  <c r="Y6" i="13"/>
  <c r="Y14" i="13" s="1"/>
  <c r="Y15" i="13" s="1"/>
  <c r="W6" i="13"/>
  <c r="T6" i="13"/>
  <c r="S14" i="13"/>
  <c r="S15" i="13" s="1"/>
  <c r="Q6" i="13"/>
  <c r="N6" i="13"/>
  <c r="M14" i="13"/>
  <c r="K6" i="13"/>
  <c r="J6" i="13"/>
  <c r="H6" i="13"/>
  <c r="G6" i="13"/>
  <c r="G14" i="13" s="1"/>
  <c r="G15" i="13" s="1"/>
  <c r="AL16" i="12"/>
  <c r="AL6" i="12"/>
  <c r="AJ16" i="12"/>
  <c r="AJ6" i="12"/>
  <c r="AH16" i="12"/>
  <c r="AH6" i="12"/>
  <c r="AE16" i="12"/>
  <c r="AE6" i="12"/>
  <c r="P9" i="12"/>
  <c r="M9" i="12"/>
  <c r="L9" i="12"/>
  <c r="P8" i="12"/>
  <c r="M8" i="12"/>
  <c r="L8" i="12"/>
  <c r="P7" i="12"/>
  <c r="M7" i="12"/>
  <c r="L7" i="12"/>
  <c r="P18" i="12"/>
  <c r="M18" i="12"/>
  <c r="L18" i="12"/>
  <c r="P17" i="12"/>
  <c r="M17" i="12"/>
  <c r="L17" i="12"/>
  <c r="P16" i="12"/>
  <c r="M16" i="12"/>
  <c r="L16" i="12"/>
  <c r="AG22" i="13" l="1"/>
  <c r="U22" i="13"/>
  <c r="W19" i="13"/>
  <c r="W20" i="13" s="1"/>
  <c r="AA22" i="13"/>
  <c r="R22" i="13"/>
  <c r="Q14" i="13"/>
  <c r="Q15" i="13" s="1"/>
  <c r="Z19" i="13"/>
  <c r="Z20" i="13" s="1"/>
  <c r="Z22" i="13" s="1"/>
  <c r="O22" i="13"/>
  <c r="W14" i="13"/>
  <c r="W15" i="13" s="1"/>
  <c r="M15" i="13"/>
  <c r="AN15" i="13" s="1"/>
  <c r="AN6" i="13"/>
  <c r="AE22" i="13"/>
  <c r="X22" i="13"/>
  <c r="H14" i="13"/>
  <c r="H15" i="13" s="1"/>
  <c r="Z14" i="13"/>
  <c r="Z15" i="13" s="1"/>
  <c r="M20" i="13"/>
  <c r="AN20" i="13" s="1"/>
  <c r="AN16" i="13"/>
  <c r="T19" i="13"/>
  <c r="T20" i="13" s="1"/>
  <c r="AD16" i="13"/>
  <c r="AD20" i="13" s="1"/>
  <c r="L20" i="13"/>
  <c r="AM16" i="13"/>
  <c r="K14" i="13"/>
  <c r="K15" i="13" s="1"/>
  <c r="AD6" i="13"/>
  <c r="AD15" i="13" s="1"/>
  <c r="AM6" i="13"/>
  <c r="L15" i="13"/>
  <c r="AM15" i="13" s="1"/>
  <c r="Q22" i="13"/>
  <c r="AC19" i="13"/>
  <c r="AC20" i="13" s="1"/>
  <c r="AC22" i="13" s="1"/>
  <c r="N7" i="13"/>
  <c r="N14" i="13" s="1"/>
  <c r="N15" i="13" s="1"/>
  <c r="N16" i="13"/>
  <c r="N17" i="13"/>
  <c r="K7" i="13"/>
  <c r="T9" i="13"/>
  <c r="T14" i="13" s="1"/>
  <c r="T15" i="13" s="1"/>
  <c r="K16" i="13"/>
  <c r="K19" i="13" s="1"/>
  <c r="K20" i="13" s="1"/>
  <c r="K22" i="13" s="1"/>
  <c r="N18" i="13"/>
  <c r="V19" i="13"/>
  <c r="V20" i="13" s="1"/>
  <c r="N9" i="13"/>
  <c r="V14" i="13"/>
  <c r="V15" i="13" s="1"/>
  <c r="H16" i="13"/>
  <c r="H19" i="13" s="1"/>
  <c r="H20" i="13" s="1"/>
  <c r="AN22" i="13" l="1"/>
  <c r="W22" i="13"/>
  <c r="AD22" i="13"/>
  <c r="T22" i="13"/>
  <c r="L22" i="13"/>
  <c r="AM20" i="13"/>
  <c r="AM22" i="13" s="1"/>
  <c r="N19" i="13"/>
  <c r="N20" i="13" s="1"/>
  <c r="N22" i="13" s="1"/>
  <c r="AB18" i="12" l="1"/>
  <c r="Y18" i="12"/>
  <c r="V18" i="12"/>
  <c r="S18" i="12"/>
  <c r="AB8" i="12"/>
  <c r="Y8" i="12"/>
  <c r="S8" i="12"/>
  <c r="AB7" i="12"/>
  <c r="Y7" i="12"/>
  <c r="S7" i="12"/>
  <c r="AB6" i="12"/>
  <c r="Y6" i="12"/>
  <c r="AB16" i="12"/>
  <c r="Y16" i="12"/>
  <c r="S16" i="12"/>
  <c r="AB17" i="12"/>
  <c r="Y17" i="12"/>
  <c r="S17" i="12"/>
  <c r="R17" i="12"/>
  <c r="AK20" i="12" l="1"/>
  <c r="AK22" i="12" s="1"/>
  <c r="AI20" i="12"/>
  <c r="AI22" i="12" s="1"/>
  <c r="AG20" i="12"/>
  <c r="AG22" i="12" s="1"/>
  <c r="AF20" i="12"/>
  <c r="U20" i="12"/>
  <c r="I20" i="12"/>
  <c r="E20" i="12"/>
  <c r="AB19" i="12"/>
  <c r="AB20" i="12" s="1"/>
  <c r="AA19" i="12"/>
  <c r="AA20" i="12" s="1"/>
  <c r="X19" i="12"/>
  <c r="X20" i="12" s="1"/>
  <c r="U19" i="12"/>
  <c r="O19" i="12"/>
  <c r="O20" i="12" s="1"/>
  <c r="I19" i="12"/>
  <c r="F19" i="12"/>
  <c r="F20" i="12" s="1"/>
  <c r="F22" i="12" s="1"/>
  <c r="E19" i="12"/>
  <c r="AC18" i="12"/>
  <c r="Z18" i="12"/>
  <c r="W18" i="12"/>
  <c r="T18" i="12"/>
  <c r="Q18" i="12"/>
  <c r="L19" i="12"/>
  <c r="J18" i="12"/>
  <c r="K18" i="12" s="1"/>
  <c r="G18" i="12"/>
  <c r="H18" i="12" s="1"/>
  <c r="AC17" i="12"/>
  <c r="Z17" i="12"/>
  <c r="V17" i="12"/>
  <c r="W17" i="12" s="1"/>
  <c r="T17" i="12"/>
  <c r="Q17" i="12"/>
  <c r="J17" i="12"/>
  <c r="J19" i="12" s="1"/>
  <c r="J20" i="12" s="1"/>
  <c r="G17" i="12"/>
  <c r="H17" i="12" s="1"/>
  <c r="H19" i="12" s="1"/>
  <c r="H20" i="12" s="1"/>
  <c r="AL20" i="12"/>
  <c r="AJ20" i="12"/>
  <c r="AH20" i="12"/>
  <c r="AE20" i="12"/>
  <c r="AC16" i="12"/>
  <c r="Y19" i="12"/>
  <c r="Y20" i="12" s="1"/>
  <c r="W16" i="12"/>
  <c r="V16" i="12"/>
  <c r="S19" i="12"/>
  <c r="S20" i="12" s="1"/>
  <c r="R19" i="12"/>
  <c r="R20" i="12" s="1"/>
  <c r="T16" i="12"/>
  <c r="T19" i="12" s="1"/>
  <c r="T20" i="12" s="1"/>
  <c r="N16" i="12"/>
  <c r="K16" i="12"/>
  <c r="J16" i="12"/>
  <c r="H16" i="12"/>
  <c r="G16" i="12"/>
  <c r="G19" i="12" s="1"/>
  <c r="G20" i="12" s="1"/>
  <c r="AK15" i="12"/>
  <c r="AJ15" i="12"/>
  <c r="AI15" i="12"/>
  <c r="AG15" i="12"/>
  <c r="AF15" i="12"/>
  <c r="F15" i="12"/>
  <c r="AA14" i="12"/>
  <c r="AA15" i="12" s="1"/>
  <c r="X14" i="12"/>
  <c r="X15" i="12" s="1"/>
  <c r="U14" i="12"/>
  <c r="U15" i="12" s="1"/>
  <c r="O14" i="12"/>
  <c r="O15" i="12" s="1"/>
  <c r="I14" i="12"/>
  <c r="I15" i="12" s="1"/>
  <c r="F14" i="12"/>
  <c r="E14" i="12"/>
  <c r="E15" i="12" s="1"/>
  <c r="AC13" i="12"/>
  <c r="Z13" i="12"/>
  <c r="W13" i="12"/>
  <c r="T13" i="12"/>
  <c r="Q13" i="12"/>
  <c r="J13" i="12"/>
  <c r="N13" i="12" s="1"/>
  <c r="G13" i="12"/>
  <c r="H13" i="12" s="1"/>
  <c r="AC12" i="12"/>
  <c r="Z12" i="12"/>
  <c r="W12" i="12"/>
  <c r="T12" i="12"/>
  <c r="Q12" i="12"/>
  <c r="N12" i="12"/>
  <c r="J12" i="12"/>
  <c r="K12" i="12" s="1"/>
  <c r="G12" i="12"/>
  <c r="H12" i="12" s="1"/>
  <c r="AC11" i="12"/>
  <c r="Z11" i="12"/>
  <c r="W11" i="12"/>
  <c r="T11" i="12"/>
  <c r="Q11" i="12"/>
  <c r="J11" i="12"/>
  <c r="N11" i="12" s="1"/>
  <c r="G11" i="12"/>
  <c r="H11" i="12" s="1"/>
  <c r="AC10" i="12"/>
  <c r="Z10" i="12"/>
  <c r="W10" i="12"/>
  <c r="T10" i="12"/>
  <c r="Q10" i="12"/>
  <c r="N10" i="12"/>
  <c r="J10" i="12"/>
  <c r="K10" i="12" s="1"/>
  <c r="G10" i="12"/>
  <c r="H10" i="12" s="1"/>
  <c r="AC9" i="12"/>
  <c r="W9" i="12"/>
  <c r="T9" i="12"/>
  <c r="Q9" i="12"/>
  <c r="N9" i="12"/>
  <c r="J9" i="12"/>
  <c r="K9" i="12" s="1"/>
  <c r="G9" i="12"/>
  <c r="H9" i="12" s="1"/>
  <c r="AC8" i="12"/>
  <c r="Y14" i="12"/>
  <c r="Y15" i="12" s="1"/>
  <c r="V8" i="12"/>
  <c r="W8" i="12" s="1"/>
  <c r="T8" i="12"/>
  <c r="Q8" i="12"/>
  <c r="M14" i="12"/>
  <c r="K8" i="12"/>
  <c r="J8" i="12"/>
  <c r="H8" i="12"/>
  <c r="G8" i="12"/>
  <c r="AC7" i="12"/>
  <c r="Z7" i="12"/>
  <c r="W7" i="12"/>
  <c r="V7" i="12"/>
  <c r="T7" i="12"/>
  <c r="Q7" i="12"/>
  <c r="J7" i="12"/>
  <c r="N7" i="12" s="1"/>
  <c r="G7" i="12"/>
  <c r="H7" i="12" s="1"/>
  <c r="AL15" i="12"/>
  <c r="AH15" i="12"/>
  <c r="AE15" i="12"/>
  <c r="AC6" i="12"/>
  <c r="AB14" i="12"/>
  <c r="AB15" i="12" s="1"/>
  <c r="W6" i="12"/>
  <c r="V6" i="12"/>
  <c r="V14" i="12" s="1"/>
  <c r="V15" i="12" s="1"/>
  <c r="S6" i="12"/>
  <c r="S14" i="12" s="1"/>
  <c r="S15" i="12" s="1"/>
  <c r="R14" i="12"/>
  <c r="R15" i="12" s="1"/>
  <c r="P6" i="12"/>
  <c r="P14" i="12" s="1"/>
  <c r="P15" i="12" s="1"/>
  <c r="M6" i="12"/>
  <c r="N6" i="12" s="1"/>
  <c r="L14" i="12"/>
  <c r="K6" i="12"/>
  <c r="J6" i="12"/>
  <c r="J14" i="12" s="1"/>
  <c r="J15" i="12" s="1"/>
  <c r="H6" i="12"/>
  <c r="H14" i="12" s="1"/>
  <c r="H15" i="12" s="1"/>
  <c r="G6" i="12"/>
  <c r="G14" i="12" s="1"/>
  <c r="G15" i="12" s="1"/>
  <c r="AE22" i="12" l="1"/>
  <c r="W19" i="12"/>
  <c r="W20" i="12" s="1"/>
  <c r="AC14" i="12"/>
  <c r="AC15" i="12" s="1"/>
  <c r="AA22" i="12"/>
  <c r="X22" i="12"/>
  <c r="R22" i="12"/>
  <c r="AD6" i="12"/>
  <c r="AD15" i="12" s="1"/>
  <c r="AM6" i="12"/>
  <c r="L15" i="12"/>
  <c r="AM15" i="12" s="1"/>
  <c r="W14" i="12"/>
  <c r="W15" i="12" s="1"/>
  <c r="I22" i="12"/>
  <c r="AC19" i="12"/>
  <c r="AC20" i="12" s="1"/>
  <c r="O22" i="12"/>
  <c r="W22" i="12"/>
  <c r="U22" i="12"/>
  <c r="M15" i="12"/>
  <c r="AN15" i="12" s="1"/>
  <c r="AN6" i="12"/>
  <c r="AD16" i="12"/>
  <c r="AD20" i="12" s="1"/>
  <c r="AM16" i="12"/>
  <c r="L20" i="12"/>
  <c r="Z6" i="12"/>
  <c r="N17" i="12"/>
  <c r="P19" i="12"/>
  <c r="P20" i="12" s="1"/>
  <c r="Q6" i="12"/>
  <c r="Q14" i="12" s="1"/>
  <c r="Q15" i="12" s="1"/>
  <c r="K7" i="12"/>
  <c r="K14" i="12" s="1"/>
  <c r="K15" i="12" s="1"/>
  <c r="N8" i="12"/>
  <c r="N14" i="12" s="1"/>
  <c r="N15" i="12" s="1"/>
  <c r="Z8" i="12"/>
  <c r="K11" i="12"/>
  <c r="K13" i="12"/>
  <c r="Q16" i="12"/>
  <c r="Q19" i="12" s="1"/>
  <c r="Q20" i="12" s="1"/>
  <c r="K17" i="12"/>
  <c r="K19" i="12" s="1"/>
  <c r="K20" i="12" s="1"/>
  <c r="K22" i="12" s="1"/>
  <c r="M19" i="12"/>
  <c r="Z16" i="12"/>
  <c r="Z19" i="12" s="1"/>
  <c r="Z20" i="12" s="1"/>
  <c r="Z9" i="12"/>
  <c r="N18" i="12"/>
  <c r="V19" i="12"/>
  <c r="V20" i="12" s="1"/>
  <c r="T6" i="12"/>
  <c r="T14" i="12" s="1"/>
  <c r="T15" i="12" s="1"/>
  <c r="T22" i="12" s="1"/>
  <c r="AL16" i="11"/>
  <c r="AL6" i="11"/>
  <c r="AJ16" i="11"/>
  <c r="AJ6" i="11"/>
  <c r="AH16" i="11"/>
  <c r="AH6" i="11"/>
  <c r="AG15" i="11"/>
  <c r="AE16" i="11"/>
  <c r="AE6" i="11"/>
  <c r="AB18" i="11"/>
  <c r="Y18" i="11"/>
  <c r="V18" i="11"/>
  <c r="S18" i="11"/>
  <c r="AB8" i="11"/>
  <c r="Y8" i="11"/>
  <c r="S8" i="11"/>
  <c r="AB7" i="11"/>
  <c r="Y7" i="11"/>
  <c r="S7" i="11"/>
  <c r="P6" i="11"/>
  <c r="M6" i="11"/>
  <c r="S6" i="11"/>
  <c r="R6" i="11"/>
  <c r="AB16" i="11"/>
  <c r="Y16" i="11"/>
  <c r="S16" i="11"/>
  <c r="R16" i="11"/>
  <c r="AB17" i="11"/>
  <c r="Y17" i="11"/>
  <c r="S17" i="11"/>
  <c r="R17" i="11"/>
  <c r="Q22" i="12" l="1"/>
  <c r="N19" i="12"/>
  <c r="N20" i="12" s="1"/>
  <c r="AC22" i="12"/>
  <c r="AD22" i="12"/>
  <c r="N22" i="12"/>
  <c r="Z14" i="12"/>
  <c r="Z15" i="12" s="1"/>
  <c r="Z22" i="12" s="1"/>
  <c r="M20" i="12"/>
  <c r="AN20" i="12" s="1"/>
  <c r="AN22" i="12" s="1"/>
  <c r="AN16" i="12"/>
  <c r="L22" i="12"/>
  <c r="AM20" i="12"/>
  <c r="AM22" i="12" s="1"/>
  <c r="P8" i="11"/>
  <c r="M8" i="11"/>
  <c r="L8" i="11"/>
  <c r="P7" i="11"/>
  <c r="M7" i="11"/>
  <c r="L7" i="11"/>
  <c r="L6" i="11"/>
  <c r="P18" i="11"/>
  <c r="M18" i="11"/>
  <c r="L18" i="11"/>
  <c r="P17" i="11"/>
  <c r="M17" i="11"/>
  <c r="L17" i="11"/>
  <c r="P16" i="11"/>
  <c r="M16" i="11"/>
  <c r="L16" i="11"/>
  <c r="AK20" i="11" l="1"/>
  <c r="AK22" i="11" s="1"/>
  <c r="AJ20" i="11"/>
  <c r="AI20" i="11"/>
  <c r="AI22" i="11" s="1"/>
  <c r="AG20" i="11"/>
  <c r="AG22" i="11" s="1"/>
  <c r="AF20" i="11"/>
  <c r="AA19" i="11"/>
  <c r="AA20" i="11" s="1"/>
  <c r="X19" i="11"/>
  <c r="X20" i="11" s="1"/>
  <c r="U19" i="11"/>
  <c r="U20" i="11" s="1"/>
  <c r="R19" i="11"/>
  <c r="R20" i="11" s="1"/>
  <c r="O19" i="11"/>
  <c r="O20" i="11" s="1"/>
  <c r="I19" i="11"/>
  <c r="I20" i="11" s="1"/>
  <c r="F19" i="11"/>
  <c r="F20" i="11" s="1"/>
  <c r="F22" i="11" s="1"/>
  <c r="E19" i="11"/>
  <c r="E20" i="11" s="1"/>
  <c r="Z18" i="11"/>
  <c r="Y19" i="11"/>
  <c r="Y20" i="11" s="1"/>
  <c r="T18" i="11"/>
  <c r="W18" i="11"/>
  <c r="M19" i="11"/>
  <c r="J18" i="11"/>
  <c r="K18" i="11" s="1"/>
  <c r="H18" i="11"/>
  <c r="G18" i="11"/>
  <c r="AC17" i="11"/>
  <c r="V17" i="11"/>
  <c r="W17" i="11" s="1"/>
  <c r="Q17" i="11"/>
  <c r="L19" i="11"/>
  <c r="K17" i="11"/>
  <c r="J17" i="11"/>
  <c r="N17" i="11" s="1"/>
  <c r="H17" i="11"/>
  <c r="G17" i="11"/>
  <c r="AL20" i="11"/>
  <c r="AH20" i="11"/>
  <c r="AE20" i="11"/>
  <c r="AC16" i="11"/>
  <c r="V16" i="11"/>
  <c r="W16" i="11" s="1"/>
  <c r="S19" i="11"/>
  <c r="S20" i="11" s="1"/>
  <c r="Q16" i="11"/>
  <c r="J16" i="11"/>
  <c r="K16" i="11" s="1"/>
  <c r="K19" i="11" s="1"/>
  <c r="K20" i="11" s="1"/>
  <c r="H16" i="11"/>
  <c r="H19" i="11" s="1"/>
  <c r="H20" i="11" s="1"/>
  <c r="G16" i="11"/>
  <c r="G19" i="11" s="1"/>
  <c r="G20" i="11" s="1"/>
  <c r="AK15" i="11"/>
  <c r="AI15" i="11"/>
  <c r="AF15" i="11"/>
  <c r="AE15" i="11"/>
  <c r="F15" i="11"/>
  <c r="AB14" i="11"/>
  <c r="AB15" i="11" s="1"/>
  <c r="AA14" i="11"/>
  <c r="AA15" i="11" s="1"/>
  <c r="X14" i="11"/>
  <c r="X15" i="11" s="1"/>
  <c r="U14" i="11"/>
  <c r="U15" i="11" s="1"/>
  <c r="R14" i="11"/>
  <c r="R15" i="11" s="1"/>
  <c r="O14" i="11"/>
  <c r="O15" i="11" s="1"/>
  <c r="I14" i="11"/>
  <c r="I15" i="11" s="1"/>
  <c r="F14" i="11"/>
  <c r="E14" i="11"/>
  <c r="E15" i="11" s="1"/>
  <c r="AC13" i="11"/>
  <c r="Z13" i="11"/>
  <c r="W13" i="11"/>
  <c r="T13" i="11"/>
  <c r="Q13" i="11"/>
  <c r="N13" i="11"/>
  <c r="J13" i="11"/>
  <c r="H13" i="11"/>
  <c r="G13" i="11"/>
  <c r="K13" i="11" s="1"/>
  <c r="AC12" i="11"/>
  <c r="Z12" i="11"/>
  <c r="W12" i="11"/>
  <c r="T12" i="11"/>
  <c r="Q12" i="11"/>
  <c r="K12" i="11"/>
  <c r="J12" i="11"/>
  <c r="N12" i="11" s="1"/>
  <c r="H12" i="11"/>
  <c r="G12" i="11"/>
  <c r="AC11" i="11"/>
  <c r="Z11" i="11"/>
  <c r="W11" i="11"/>
  <c r="T11" i="11"/>
  <c r="Q11" i="11"/>
  <c r="N11" i="11"/>
  <c r="J11" i="11"/>
  <c r="G11" i="11"/>
  <c r="K11" i="11" s="1"/>
  <c r="AC10" i="11"/>
  <c r="Z10" i="11"/>
  <c r="W10" i="11"/>
  <c r="T10" i="11"/>
  <c r="Q10" i="11"/>
  <c r="J10" i="11"/>
  <c r="N10" i="11" s="1"/>
  <c r="H10" i="11"/>
  <c r="G10" i="11"/>
  <c r="AC9" i="11"/>
  <c r="W9" i="11"/>
  <c r="P9" i="11"/>
  <c r="T9" i="11" s="1"/>
  <c r="M9" i="11"/>
  <c r="J9" i="11"/>
  <c r="K9" i="11" s="1"/>
  <c r="H9" i="11"/>
  <c r="G9" i="11"/>
  <c r="AC8" i="11"/>
  <c r="Z8" i="11"/>
  <c r="V8" i="11"/>
  <c r="T8" i="11"/>
  <c r="N8" i="11"/>
  <c r="J8" i="11"/>
  <c r="K8" i="11" s="1"/>
  <c r="H8" i="11"/>
  <c r="G8" i="11"/>
  <c r="AC7" i="11"/>
  <c r="Z7" i="11"/>
  <c r="W7" i="11"/>
  <c r="V7" i="11"/>
  <c r="T7" i="11"/>
  <c r="Q7" i="11"/>
  <c r="N7" i="11"/>
  <c r="J7" i="11"/>
  <c r="G7" i="11"/>
  <c r="K7" i="11" s="1"/>
  <c r="AL15" i="11"/>
  <c r="AJ15" i="11"/>
  <c r="AH15" i="11"/>
  <c r="AC6" i="11"/>
  <c r="AB6" i="11"/>
  <c r="Y6" i="11"/>
  <c r="Y14" i="11" s="1"/>
  <c r="Y15" i="11" s="1"/>
  <c r="W6" i="11"/>
  <c r="V6" i="11"/>
  <c r="V14" i="11" s="1"/>
  <c r="V15" i="11" s="1"/>
  <c r="T6" i="11"/>
  <c r="Q6" i="11"/>
  <c r="M14" i="11"/>
  <c r="L14" i="11"/>
  <c r="J6" i="11"/>
  <c r="J14" i="11" s="1"/>
  <c r="J15" i="11" s="1"/>
  <c r="G6" i="11"/>
  <c r="H6" i="11" s="1"/>
  <c r="AE22" i="11" l="1"/>
  <c r="AC14" i="11"/>
  <c r="AC15" i="11" s="1"/>
  <c r="R22" i="11"/>
  <c r="AA22" i="11"/>
  <c r="O22" i="11"/>
  <c r="X22" i="11"/>
  <c r="U22" i="11"/>
  <c r="L15" i="11"/>
  <c r="AM15" i="11" s="1"/>
  <c r="AM6" i="11"/>
  <c r="AD6" i="11"/>
  <c r="AD15" i="11" s="1"/>
  <c r="T14" i="11"/>
  <c r="T15" i="11" s="1"/>
  <c r="W19" i="11"/>
  <c r="W20" i="11" s="1"/>
  <c r="I22" i="11"/>
  <c r="M15" i="11"/>
  <c r="AN15" i="11" s="1"/>
  <c r="AN6" i="11"/>
  <c r="M20" i="11"/>
  <c r="AN20" i="11" s="1"/>
  <c r="AN16" i="11"/>
  <c r="L20" i="11"/>
  <c r="AM16" i="11"/>
  <c r="AD16" i="11"/>
  <c r="AD20" i="11" s="1"/>
  <c r="H7" i="11"/>
  <c r="H14" i="11" s="1"/>
  <c r="H15" i="11" s="1"/>
  <c r="H11" i="11"/>
  <c r="P14" i="11"/>
  <c r="P15" i="11" s="1"/>
  <c r="K6" i="11"/>
  <c r="Q8" i="11"/>
  <c r="Q14" i="11" s="1"/>
  <c r="Q15" i="11" s="1"/>
  <c r="W8" i="11"/>
  <c r="W14" i="11" s="1"/>
  <c r="W15" i="11" s="1"/>
  <c r="N9" i="11"/>
  <c r="Q18" i="11"/>
  <c r="Q19" i="11" s="1"/>
  <c r="Q20" i="11" s="1"/>
  <c r="AC18" i="11"/>
  <c r="AC19" i="11" s="1"/>
  <c r="AC20" i="11" s="1"/>
  <c r="P19" i="11"/>
  <c r="P20" i="11" s="1"/>
  <c r="AB19" i="11"/>
  <c r="AB20" i="11" s="1"/>
  <c r="Z9" i="11"/>
  <c r="G14" i="11"/>
  <c r="G15" i="11" s="1"/>
  <c r="S14" i="11"/>
  <c r="S15" i="11" s="1"/>
  <c r="N16" i="11"/>
  <c r="T16" i="11"/>
  <c r="Z16" i="11"/>
  <c r="T17" i="11"/>
  <c r="Z17" i="11"/>
  <c r="K10" i="11"/>
  <c r="N18" i="11"/>
  <c r="J19" i="11"/>
  <c r="J20" i="11" s="1"/>
  <c r="V19" i="11"/>
  <c r="V20" i="11" s="1"/>
  <c r="Q9" i="11"/>
  <c r="N6" i="11"/>
  <c r="N14" i="11" s="1"/>
  <c r="N15" i="11" s="1"/>
  <c r="Z6" i="11"/>
  <c r="Z14" i="11" s="1"/>
  <c r="Z15" i="11" s="1"/>
  <c r="AL6" i="10"/>
  <c r="AJ16" i="10"/>
  <c r="AJ6" i="10"/>
  <c r="AH16" i="10"/>
  <c r="AH6" i="10"/>
  <c r="AE16" i="10"/>
  <c r="AE6" i="10"/>
  <c r="M8" i="10"/>
  <c r="L8" i="10"/>
  <c r="M7" i="10"/>
  <c r="L7" i="10"/>
  <c r="M6" i="10"/>
  <c r="L6" i="10"/>
  <c r="M18" i="10"/>
  <c r="L18" i="10"/>
  <c r="M17" i="10"/>
  <c r="L17" i="10"/>
  <c r="M16" i="10"/>
  <c r="AC22" i="11" l="1"/>
  <c r="AD22" i="11"/>
  <c r="Q22" i="11"/>
  <c r="AN22" i="11"/>
  <c r="Z19" i="11"/>
  <c r="Z20" i="11" s="1"/>
  <c r="Z22" i="11" s="1"/>
  <c r="T19" i="11"/>
  <c r="T20" i="11" s="1"/>
  <c r="T22" i="11" s="1"/>
  <c r="K14" i="11"/>
  <c r="K15" i="11" s="1"/>
  <c r="K22" i="11" s="1"/>
  <c r="N19" i="11"/>
  <c r="N20" i="11" s="1"/>
  <c r="N22" i="11" s="1"/>
  <c r="L22" i="11"/>
  <c r="AM20" i="11"/>
  <c r="AM22" i="11" s="1"/>
  <c r="W22" i="11"/>
  <c r="AB18" i="10"/>
  <c r="Y18" i="10"/>
  <c r="V18" i="10"/>
  <c r="S18" i="10"/>
  <c r="P18" i="10"/>
  <c r="V8" i="10"/>
  <c r="S8" i="10"/>
  <c r="P8" i="10"/>
  <c r="V7" i="10"/>
  <c r="S7" i="10"/>
  <c r="P7" i="10"/>
  <c r="AB6" i="10"/>
  <c r="Y6" i="10"/>
  <c r="V6" i="10"/>
  <c r="S6" i="10"/>
  <c r="P6" i="10"/>
  <c r="AB16" i="10"/>
  <c r="Y16" i="10"/>
  <c r="V16" i="10"/>
  <c r="S16" i="10"/>
  <c r="P16" i="10"/>
  <c r="AB17" i="10"/>
  <c r="Y17" i="10"/>
  <c r="V17" i="10"/>
  <c r="S17" i="10"/>
  <c r="P17" i="10"/>
  <c r="AK20" i="10" l="1"/>
  <c r="AK22" i="10" s="1"/>
  <c r="AI20" i="10"/>
  <c r="AI22" i="10" s="1"/>
  <c r="AH20" i="10"/>
  <c r="AG20" i="10"/>
  <c r="AG22" i="10" s="1"/>
  <c r="AF20" i="10"/>
  <c r="U20" i="10"/>
  <c r="I20" i="10"/>
  <c r="E20" i="10"/>
  <c r="AB19" i="10"/>
  <c r="AB20" i="10" s="1"/>
  <c r="AA19" i="10"/>
  <c r="AA20" i="10" s="1"/>
  <c r="Y19" i="10"/>
  <c r="Y20" i="10" s="1"/>
  <c r="X19" i="10"/>
  <c r="X20" i="10" s="1"/>
  <c r="U19" i="10"/>
  <c r="R19" i="10"/>
  <c r="R20" i="10" s="1"/>
  <c r="O19" i="10"/>
  <c r="O20" i="10" s="1"/>
  <c r="I19" i="10"/>
  <c r="F19" i="10"/>
  <c r="F20" i="10" s="1"/>
  <c r="F22" i="10" s="1"/>
  <c r="E19" i="10"/>
  <c r="AC18" i="10"/>
  <c r="W18" i="10"/>
  <c r="Z18" i="10"/>
  <c r="J18" i="10"/>
  <c r="K18" i="10" s="1"/>
  <c r="H18" i="10"/>
  <c r="G18" i="10"/>
  <c r="AC17" i="10"/>
  <c r="Z17" i="10"/>
  <c r="S19" i="10"/>
  <c r="S20" i="10" s="1"/>
  <c r="N17" i="10"/>
  <c r="J17" i="10"/>
  <c r="J19" i="10" s="1"/>
  <c r="J20" i="10" s="1"/>
  <c r="H17" i="10"/>
  <c r="G17" i="10"/>
  <c r="AL16" i="10"/>
  <c r="AL20" i="10" s="1"/>
  <c r="AJ20" i="10"/>
  <c r="AE20" i="10"/>
  <c r="AC16" i="10"/>
  <c r="W16" i="10"/>
  <c r="Q16" i="10"/>
  <c r="M19" i="10"/>
  <c r="L19" i="10"/>
  <c r="K16" i="10"/>
  <c r="J16" i="10"/>
  <c r="N16" i="10" s="1"/>
  <c r="G16" i="10"/>
  <c r="G19" i="10" s="1"/>
  <c r="G20" i="10" s="1"/>
  <c r="AK15" i="10"/>
  <c r="AJ15" i="10"/>
  <c r="AI15" i="10"/>
  <c r="AG15" i="10"/>
  <c r="AF15" i="10"/>
  <c r="AB15" i="10"/>
  <c r="AC14" i="10"/>
  <c r="AC15" i="10" s="1"/>
  <c r="AB14" i="10"/>
  <c r="AA14" i="10"/>
  <c r="AA15" i="10" s="1"/>
  <c r="Y14" i="10"/>
  <c r="Y15" i="10" s="1"/>
  <c r="X14" i="10"/>
  <c r="X15" i="10" s="1"/>
  <c r="V14" i="10"/>
  <c r="V15" i="10" s="1"/>
  <c r="U14" i="10"/>
  <c r="U15" i="10" s="1"/>
  <c r="S14" i="10"/>
  <c r="S15" i="10" s="1"/>
  <c r="R14" i="10"/>
  <c r="R15" i="10" s="1"/>
  <c r="O14" i="10"/>
  <c r="O15" i="10" s="1"/>
  <c r="I14" i="10"/>
  <c r="I15" i="10" s="1"/>
  <c r="F14" i="10"/>
  <c r="F15" i="10" s="1"/>
  <c r="E14" i="10"/>
  <c r="E15" i="10" s="1"/>
  <c r="AC13" i="10"/>
  <c r="Z13" i="10"/>
  <c r="W13" i="10"/>
  <c r="T13" i="10"/>
  <c r="Q13" i="10"/>
  <c r="J13" i="10"/>
  <c r="K13" i="10" s="1"/>
  <c r="H13" i="10"/>
  <c r="G13" i="10"/>
  <c r="AC12" i="10"/>
  <c r="Z12" i="10"/>
  <c r="W12" i="10"/>
  <c r="T12" i="10"/>
  <c r="Q12" i="10"/>
  <c r="N12" i="10"/>
  <c r="J12" i="10"/>
  <c r="G12" i="10"/>
  <c r="K12" i="10" s="1"/>
  <c r="AC11" i="10"/>
  <c r="Z11" i="10"/>
  <c r="W11" i="10"/>
  <c r="T11" i="10"/>
  <c r="Q11" i="10"/>
  <c r="J11" i="10"/>
  <c r="N11" i="10" s="1"/>
  <c r="H11" i="10"/>
  <c r="G11" i="10"/>
  <c r="AC10" i="10"/>
  <c r="Z10" i="10"/>
  <c r="W10" i="10"/>
  <c r="T10" i="10"/>
  <c r="Q10" i="10"/>
  <c r="N10" i="10"/>
  <c r="J10" i="10"/>
  <c r="G10" i="10"/>
  <c r="K10" i="10" s="1"/>
  <c r="AC9" i="10"/>
  <c r="W9" i="10"/>
  <c r="T9" i="10"/>
  <c r="P9" i="10"/>
  <c r="Z9" i="10" s="1"/>
  <c r="M9" i="10"/>
  <c r="N9" i="10" s="1"/>
  <c r="J9" i="10"/>
  <c r="G9" i="10"/>
  <c r="K9" i="10" s="1"/>
  <c r="AC8" i="10"/>
  <c r="W8" i="10"/>
  <c r="T8" i="10"/>
  <c r="Z8" i="10"/>
  <c r="N8" i="10"/>
  <c r="J8" i="10"/>
  <c r="K8" i="10" s="1"/>
  <c r="H8" i="10"/>
  <c r="G8" i="10"/>
  <c r="AC7" i="10"/>
  <c r="W7" i="10"/>
  <c r="T7" i="10"/>
  <c r="J7" i="10"/>
  <c r="K7" i="10" s="1"/>
  <c r="H7" i="10"/>
  <c r="G7" i="10"/>
  <c r="AL15" i="10"/>
  <c r="AH15" i="10"/>
  <c r="AE15" i="10"/>
  <c r="AC6" i="10"/>
  <c r="W6" i="10"/>
  <c r="W14" i="10" s="1"/>
  <c r="W15" i="10" s="1"/>
  <c r="P14" i="10"/>
  <c r="P15" i="10" s="1"/>
  <c r="L14" i="10"/>
  <c r="J6" i="10"/>
  <c r="N6" i="10" s="1"/>
  <c r="H6" i="10"/>
  <c r="G6" i="10"/>
  <c r="G14" i="10" s="1"/>
  <c r="G15" i="10" s="1"/>
  <c r="X22" i="10" l="1"/>
  <c r="AC19" i="10"/>
  <c r="AC20" i="10" s="1"/>
  <c r="AC22" i="10" s="1"/>
  <c r="M20" i="10"/>
  <c r="AN20" i="10" s="1"/>
  <c r="AN16" i="10"/>
  <c r="O22" i="10"/>
  <c r="I22" i="10"/>
  <c r="L15" i="10"/>
  <c r="AM15" i="10" s="1"/>
  <c r="AD6" i="10"/>
  <c r="AD15" i="10" s="1"/>
  <c r="AM6" i="10"/>
  <c r="AM16" i="10"/>
  <c r="AD16" i="10"/>
  <c r="AD20" i="10" s="1"/>
  <c r="L20" i="10"/>
  <c r="R22" i="10"/>
  <c r="AA22" i="10"/>
  <c r="U22" i="10"/>
  <c r="AE22" i="10"/>
  <c r="Z7" i="10"/>
  <c r="H9" i="10"/>
  <c r="H14" i="10" s="1"/>
  <c r="H15" i="10" s="1"/>
  <c r="H10" i="10"/>
  <c r="K11" i="10"/>
  <c r="H12" i="10"/>
  <c r="J14" i="10"/>
  <c r="J15" i="10" s="1"/>
  <c r="Q6" i="10"/>
  <c r="Q7" i="10"/>
  <c r="N13" i="10"/>
  <c r="H16" i="10"/>
  <c r="H19" i="10" s="1"/>
  <c r="H20" i="10" s="1"/>
  <c r="Z16" i="10"/>
  <c r="Z19" i="10" s="1"/>
  <c r="Z20" i="10" s="1"/>
  <c r="K17" i="10"/>
  <c r="K19" i="10" s="1"/>
  <c r="K20" i="10" s="1"/>
  <c r="Q18" i="10"/>
  <c r="P19" i="10"/>
  <c r="P20" i="10" s="1"/>
  <c r="K6" i="10"/>
  <c r="Z6" i="10"/>
  <c r="T6" i="10"/>
  <c r="T14" i="10" s="1"/>
  <c r="T15" i="10" s="1"/>
  <c r="Q8" i="10"/>
  <c r="Q9" i="10"/>
  <c r="T16" i="10"/>
  <c r="Q17" i="10"/>
  <c r="Q19" i="10" s="1"/>
  <c r="Q20" i="10" s="1"/>
  <c r="W17" i="10"/>
  <c r="W19" i="10" s="1"/>
  <c r="W20" i="10" s="1"/>
  <c r="W22" i="10" s="1"/>
  <c r="T18" i="10"/>
  <c r="N7" i="10"/>
  <c r="N14" i="10" s="1"/>
  <c r="N15" i="10" s="1"/>
  <c r="M14" i="10"/>
  <c r="N18" i="10"/>
  <c r="N19" i="10" s="1"/>
  <c r="N20" i="10" s="1"/>
  <c r="V19" i="10"/>
  <c r="V20" i="10" s="1"/>
  <c r="T17" i="10"/>
  <c r="AE16" i="9"/>
  <c r="AE6" i="9"/>
  <c r="P9" i="9"/>
  <c r="M9" i="9"/>
  <c r="P8" i="9"/>
  <c r="M8" i="9"/>
  <c r="L8" i="9"/>
  <c r="P7" i="9"/>
  <c r="M7" i="9"/>
  <c r="L7" i="9"/>
  <c r="P6" i="9"/>
  <c r="M6" i="9"/>
  <c r="L6" i="9"/>
  <c r="P18" i="9"/>
  <c r="M18" i="9"/>
  <c r="L18" i="9"/>
  <c r="P17" i="9"/>
  <c r="M17" i="9"/>
  <c r="L17" i="9"/>
  <c r="P16" i="9"/>
  <c r="M16" i="9"/>
  <c r="L16" i="9"/>
  <c r="N22" i="10" l="1"/>
  <c r="K22" i="10"/>
  <c r="M15" i="10"/>
  <c r="AN15" i="10" s="1"/>
  <c r="AN6" i="10"/>
  <c r="L22" i="10"/>
  <c r="AM20" i="10"/>
  <c r="AM22" i="10" s="1"/>
  <c r="T19" i="10"/>
  <c r="T20" i="10" s="1"/>
  <c r="T22" i="10" s="1"/>
  <c r="K14" i="10"/>
  <c r="K15" i="10" s="1"/>
  <c r="Q14" i="10"/>
  <c r="Q15" i="10" s="1"/>
  <c r="Q22" i="10" s="1"/>
  <c r="Z14" i="10"/>
  <c r="Z15" i="10" s="1"/>
  <c r="Z22" i="10" s="1"/>
  <c r="AD22" i="10"/>
  <c r="AN22" i="10"/>
  <c r="AK22" i="9"/>
  <c r="AK20" i="9"/>
  <c r="AI20" i="9"/>
  <c r="AI22" i="9" s="1"/>
  <c r="AG20" i="9"/>
  <c r="AG22" i="9" s="1"/>
  <c r="AF20" i="9"/>
  <c r="AB20" i="9"/>
  <c r="AA20" i="9"/>
  <c r="AA22" i="9" s="1"/>
  <c r="X20" i="9"/>
  <c r="AB19" i="9"/>
  <c r="AA19" i="9"/>
  <c r="Y19" i="9"/>
  <c r="Y20" i="9" s="1"/>
  <c r="X19" i="9"/>
  <c r="U19" i="9"/>
  <c r="U20" i="9" s="1"/>
  <c r="R19" i="9"/>
  <c r="R20" i="9" s="1"/>
  <c r="R22" i="9" s="1"/>
  <c r="O19" i="9"/>
  <c r="O20" i="9" s="1"/>
  <c r="I19" i="9"/>
  <c r="I20" i="9" s="1"/>
  <c r="F19" i="9"/>
  <c r="F20" i="9" s="1"/>
  <c r="F22" i="9" s="1"/>
  <c r="E19" i="9"/>
  <c r="E20" i="9" s="1"/>
  <c r="AC18" i="9"/>
  <c r="W18" i="9"/>
  <c r="T18" i="9"/>
  <c r="Z18" i="9"/>
  <c r="N18" i="9"/>
  <c r="J18" i="9"/>
  <c r="K18" i="9" s="1"/>
  <c r="H18" i="9"/>
  <c r="G18" i="9"/>
  <c r="AC17" i="9"/>
  <c r="Z17" i="9"/>
  <c r="W17" i="9"/>
  <c r="V17" i="9"/>
  <c r="S17" i="9"/>
  <c r="T17" i="9" s="1"/>
  <c r="Q17" i="9"/>
  <c r="N17" i="9"/>
  <c r="J17" i="9"/>
  <c r="G17" i="9"/>
  <c r="H17" i="9" s="1"/>
  <c r="AL16" i="9"/>
  <c r="AL20" i="9" s="1"/>
  <c r="AJ16" i="9"/>
  <c r="AJ20" i="9" s="1"/>
  <c r="AH16" i="9"/>
  <c r="AH20" i="9" s="1"/>
  <c r="AE20" i="9"/>
  <c r="AE22" i="9" s="1"/>
  <c r="AC16" i="9"/>
  <c r="AC19" i="9" s="1"/>
  <c r="AC20" i="9" s="1"/>
  <c r="AC22" i="9" s="1"/>
  <c r="V16" i="9"/>
  <c r="W16" i="9" s="1"/>
  <c r="W19" i="9" s="1"/>
  <c r="W20" i="9" s="1"/>
  <c r="T16" i="9"/>
  <c r="S16" i="9"/>
  <c r="S19" i="9" s="1"/>
  <c r="S20" i="9" s="1"/>
  <c r="Q16" i="9"/>
  <c r="N16" i="9"/>
  <c r="L19" i="9"/>
  <c r="J16" i="9"/>
  <c r="J19" i="9" s="1"/>
  <c r="J20" i="9" s="1"/>
  <c r="H16" i="9"/>
  <c r="G16" i="9"/>
  <c r="G19" i="9" s="1"/>
  <c r="G20" i="9" s="1"/>
  <c r="AK15" i="9"/>
  <c r="AI15" i="9"/>
  <c r="AG15" i="9"/>
  <c r="AF15" i="9"/>
  <c r="AE15" i="9"/>
  <c r="AA15" i="9"/>
  <c r="V15" i="9"/>
  <c r="S15" i="9"/>
  <c r="R15" i="9"/>
  <c r="O15" i="9"/>
  <c r="F15" i="9"/>
  <c r="AB14" i="9"/>
  <c r="AB15" i="9" s="1"/>
  <c r="AA14" i="9"/>
  <c r="Y14" i="9"/>
  <c r="Y15" i="9" s="1"/>
  <c r="X14" i="9"/>
  <c r="X15" i="9" s="1"/>
  <c r="V14" i="9"/>
  <c r="U14" i="9"/>
  <c r="U15" i="9" s="1"/>
  <c r="S14" i="9"/>
  <c r="R14" i="9"/>
  <c r="P14" i="9"/>
  <c r="P15" i="9" s="1"/>
  <c r="O14" i="9"/>
  <c r="L14" i="9"/>
  <c r="L15" i="9" s="1"/>
  <c r="AM15" i="9" s="1"/>
  <c r="I14" i="9"/>
  <c r="I15" i="9" s="1"/>
  <c r="F14" i="9"/>
  <c r="E14" i="9"/>
  <c r="E15" i="9" s="1"/>
  <c r="AC13" i="9"/>
  <c r="Z13" i="9"/>
  <c r="W13" i="9"/>
  <c r="T13" i="9"/>
  <c r="Q13" i="9"/>
  <c r="J13" i="9"/>
  <c r="K13" i="9" s="1"/>
  <c r="H13" i="9"/>
  <c r="G13" i="9"/>
  <c r="AC12" i="9"/>
  <c r="Z12" i="9"/>
  <c r="W12" i="9"/>
  <c r="T12" i="9"/>
  <c r="Q12" i="9"/>
  <c r="N12" i="9"/>
  <c r="K12" i="9"/>
  <c r="J12" i="9"/>
  <c r="G12" i="9"/>
  <c r="H12" i="9" s="1"/>
  <c r="AC11" i="9"/>
  <c r="Z11" i="9"/>
  <c r="W11" i="9"/>
  <c r="T11" i="9"/>
  <c r="Q11" i="9"/>
  <c r="J11" i="9"/>
  <c r="K11" i="9" s="1"/>
  <c r="H11" i="9"/>
  <c r="G11" i="9"/>
  <c r="AC10" i="9"/>
  <c r="Z10" i="9"/>
  <c r="W10" i="9"/>
  <c r="T10" i="9"/>
  <c r="Q10" i="9"/>
  <c r="N10" i="9"/>
  <c r="K10" i="9"/>
  <c r="J10" i="9"/>
  <c r="G10" i="9"/>
  <c r="H10" i="9" s="1"/>
  <c r="AC9" i="9"/>
  <c r="AC14" i="9" s="1"/>
  <c r="AC15" i="9" s="1"/>
  <c r="Z9" i="9"/>
  <c r="W9" i="9"/>
  <c r="T9" i="9"/>
  <c r="Q9" i="9"/>
  <c r="J9" i="9"/>
  <c r="K9" i="9" s="1"/>
  <c r="H9" i="9"/>
  <c r="G9" i="9"/>
  <c r="AC8" i="9"/>
  <c r="W8" i="9"/>
  <c r="Q8" i="9"/>
  <c r="N8" i="9"/>
  <c r="J8" i="9"/>
  <c r="K8" i="9" s="1"/>
  <c r="H8" i="9"/>
  <c r="G8" i="9"/>
  <c r="AC7" i="9"/>
  <c r="W7" i="9"/>
  <c r="Q7" i="9"/>
  <c r="N7" i="9"/>
  <c r="J7" i="9"/>
  <c r="K7" i="9" s="1"/>
  <c r="H7" i="9"/>
  <c r="G7" i="9"/>
  <c r="AL6" i="9"/>
  <c r="AL15" i="9" s="1"/>
  <c r="AJ6" i="9"/>
  <c r="AJ15" i="9" s="1"/>
  <c r="AH6" i="9"/>
  <c r="AH15" i="9" s="1"/>
  <c r="AC6" i="9"/>
  <c r="W6" i="9"/>
  <c r="W14" i="9" s="1"/>
  <c r="W15" i="9" s="1"/>
  <c r="T6" i="9"/>
  <c r="Z6" i="9"/>
  <c r="M14" i="9"/>
  <c r="J6" i="9"/>
  <c r="J14" i="9" s="1"/>
  <c r="J15" i="9" s="1"/>
  <c r="G6" i="9"/>
  <c r="G14" i="9" s="1"/>
  <c r="G15" i="9" s="1"/>
  <c r="O22" i="9" l="1"/>
  <c r="AD6" i="9"/>
  <c r="AD15" i="9" s="1"/>
  <c r="M15" i="9"/>
  <c r="AN15" i="9" s="1"/>
  <c r="AN6" i="9"/>
  <c r="H19" i="9"/>
  <c r="H20" i="9" s="1"/>
  <c r="N19" i="9"/>
  <c r="N20" i="9" s="1"/>
  <c r="W22" i="9"/>
  <c r="I22" i="9"/>
  <c r="X22" i="9"/>
  <c r="AM16" i="9"/>
  <c r="AD16" i="9"/>
  <c r="AD20" i="9" s="1"/>
  <c r="L20" i="9"/>
  <c r="T19" i="9"/>
  <c r="T20" i="9" s="1"/>
  <c r="U22" i="9"/>
  <c r="H6" i="9"/>
  <c r="H14" i="9" s="1"/>
  <c r="H15" i="9" s="1"/>
  <c r="K6" i="9"/>
  <c r="K14" i="9" s="1"/>
  <c r="K15" i="9" s="1"/>
  <c r="Q6" i="9"/>
  <c r="Q14" i="9" s="1"/>
  <c r="Q15" i="9" s="1"/>
  <c r="T7" i="9"/>
  <c r="T8" i="9"/>
  <c r="N9" i="9"/>
  <c r="N11" i="9"/>
  <c r="N13" i="9"/>
  <c r="Z16" i="9"/>
  <c r="Z19" i="9" s="1"/>
  <c r="Z20" i="9" s="1"/>
  <c r="K17" i="9"/>
  <c r="Q18" i="9"/>
  <c r="Q19" i="9" s="1"/>
  <c r="Q20" i="9" s="1"/>
  <c r="P19" i="9"/>
  <c r="P20" i="9" s="1"/>
  <c r="M19" i="9"/>
  <c r="N6" i="9"/>
  <c r="AM6" i="9"/>
  <c r="Z7" i="9"/>
  <c r="Z14" i="9" s="1"/>
  <c r="Z15" i="9" s="1"/>
  <c r="Z8" i="9"/>
  <c r="K16" i="9"/>
  <c r="K19" i="9" s="1"/>
  <c r="K20" i="9" s="1"/>
  <c r="K22" i="9" s="1"/>
  <c r="V19" i="9"/>
  <c r="V20" i="9" s="1"/>
  <c r="AL6" i="8"/>
  <c r="AJ6" i="8"/>
  <c r="AH16" i="8"/>
  <c r="AH6" i="8"/>
  <c r="AE16" i="8"/>
  <c r="AE6" i="8"/>
  <c r="T14" i="9" l="1"/>
  <c r="T15" i="9" s="1"/>
  <c r="Q22" i="9"/>
  <c r="AD22" i="9"/>
  <c r="M20" i="9"/>
  <c r="AN20" i="9" s="1"/>
  <c r="AN22" i="9" s="1"/>
  <c r="AN16" i="9"/>
  <c r="Z22" i="9"/>
  <c r="L22" i="9"/>
  <c r="AM20" i="9"/>
  <c r="AM22" i="9" s="1"/>
  <c r="T22" i="9"/>
  <c r="N14" i="9"/>
  <c r="N15" i="9" s="1"/>
  <c r="N22" i="9" s="1"/>
  <c r="P18" i="8"/>
  <c r="M18" i="8"/>
  <c r="L18" i="8"/>
  <c r="P8" i="8"/>
  <c r="M8" i="8"/>
  <c r="P7" i="8"/>
  <c r="M7" i="8"/>
  <c r="P6" i="8"/>
  <c r="M6" i="8"/>
  <c r="P17" i="8"/>
  <c r="M17" i="8"/>
  <c r="Q17" i="8" s="1"/>
  <c r="L17" i="8"/>
  <c r="P16" i="8"/>
  <c r="M16" i="8"/>
  <c r="L16" i="8"/>
  <c r="L19" i="8" s="1"/>
  <c r="AK20" i="8"/>
  <c r="AK22" i="8" s="1"/>
  <c r="AI20" i="8"/>
  <c r="AI22" i="8" s="1"/>
  <c r="AG20" i="8"/>
  <c r="AF20" i="8"/>
  <c r="AE20" i="8"/>
  <c r="AE22" i="8" s="1"/>
  <c r="AA20" i="8"/>
  <c r="AA22" i="8" s="1"/>
  <c r="Y20" i="8"/>
  <c r="U20" i="8"/>
  <c r="U22" i="8" s="1"/>
  <c r="I20" i="8"/>
  <c r="I22" i="8" s="1"/>
  <c r="E20" i="8"/>
  <c r="AB19" i="8"/>
  <c r="AB20" i="8" s="1"/>
  <c r="AA19" i="8"/>
  <c r="Y19" i="8"/>
  <c r="X19" i="8"/>
  <c r="X20" i="8" s="1"/>
  <c r="U19" i="8"/>
  <c r="R19" i="8"/>
  <c r="R20" i="8" s="1"/>
  <c r="O19" i="8"/>
  <c r="O20" i="8" s="1"/>
  <c r="I19" i="8"/>
  <c r="F19" i="8"/>
  <c r="F20" i="8" s="1"/>
  <c r="F22" i="8" s="1"/>
  <c r="E19" i="8"/>
  <c r="AC18" i="8"/>
  <c r="W18" i="8"/>
  <c r="Q18" i="8"/>
  <c r="Z18" i="8"/>
  <c r="N18" i="8"/>
  <c r="K18" i="8"/>
  <c r="J18" i="8"/>
  <c r="H18" i="8"/>
  <c r="G18" i="8"/>
  <c r="AC17" i="8"/>
  <c r="Z17" i="8"/>
  <c r="W17" i="8"/>
  <c r="V17" i="8"/>
  <c r="T17" i="8"/>
  <c r="S17" i="8"/>
  <c r="N17" i="8"/>
  <c r="K17" i="8"/>
  <c r="J17" i="8"/>
  <c r="H17" i="8"/>
  <c r="G17" i="8"/>
  <c r="AL16" i="8"/>
  <c r="AL20" i="8" s="1"/>
  <c r="AJ16" i="8"/>
  <c r="AJ20" i="8" s="1"/>
  <c r="AH20" i="8"/>
  <c r="AC16" i="8"/>
  <c r="AC19" i="8" s="1"/>
  <c r="AC20" i="8" s="1"/>
  <c r="V16" i="8"/>
  <c r="V19" i="8" s="1"/>
  <c r="V20" i="8" s="1"/>
  <c r="S16" i="8"/>
  <c r="S19" i="8" s="1"/>
  <c r="S20" i="8" s="1"/>
  <c r="Z16" i="8"/>
  <c r="N16" i="8"/>
  <c r="J16" i="8"/>
  <c r="J19" i="8" s="1"/>
  <c r="J20" i="8" s="1"/>
  <c r="G16" i="8"/>
  <c r="G19" i="8" s="1"/>
  <c r="G20" i="8" s="1"/>
  <c r="AK15" i="8"/>
  <c r="AI15" i="8"/>
  <c r="AG15" i="8"/>
  <c r="AF15" i="8"/>
  <c r="AE15" i="8"/>
  <c r="AA15" i="8"/>
  <c r="Y15" i="8"/>
  <c r="U15" i="8"/>
  <c r="S15" i="8"/>
  <c r="I15" i="8"/>
  <c r="E15" i="8"/>
  <c r="AB14" i="8"/>
  <c r="AB15" i="8" s="1"/>
  <c r="AA14" i="8"/>
  <c r="Y14" i="8"/>
  <c r="X14" i="8"/>
  <c r="X15" i="8" s="1"/>
  <c r="V14" i="8"/>
  <c r="V15" i="8" s="1"/>
  <c r="U14" i="8"/>
  <c r="S14" i="8"/>
  <c r="R14" i="8"/>
  <c r="R15" i="8" s="1"/>
  <c r="P14" i="8"/>
  <c r="P15" i="8" s="1"/>
  <c r="O14" i="8"/>
  <c r="O15" i="8" s="1"/>
  <c r="L14" i="8"/>
  <c r="L15" i="8" s="1"/>
  <c r="I14" i="8"/>
  <c r="F14" i="8"/>
  <c r="F15" i="8" s="1"/>
  <c r="E14" i="8"/>
  <c r="AC13" i="8"/>
  <c r="Z13" i="8"/>
  <c r="W13" i="8"/>
  <c r="T13" i="8"/>
  <c r="Q13" i="8"/>
  <c r="N13" i="8"/>
  <c r="K13" i="8"/>
  <c r="J13" i="8"/>
  <c r="H13" i="8"/>
  <c r="G13" i="8"/>
  <c r="AC12" i="8"/>
  <c r="Z12" i="8"/>
  <c r="W12" i="8"/>
  <c r="T12" i="8"/>
  <c r="Q12" i="8"/>
  <c r="K12" i="8"/>
  <c r="J12" i="8"/>
  <c r="N12" i="8" s="1"/>
  <c r="H12" i="8"/>
  <c r="G12" i="8"/>
  <c r="AC11" i="8"/>
  <c r="Z11" i="8"/>
  <c r="W11" i="8"/>
  <c r="T11" i="8"/>
  <c r="Q11" i="8"/>
  <c r="N11" i="8"/>
  <c r="K11" i="8"/>
  <c r="J11" i="8"/>
  <c r="H11" i="8"/>
  <c r="G11" i="8"/>
  <c r="AC10" i="8"/>
  <c r="Z10" i="8"/>
  <c r="W10" i="8"/>
  <c r="T10" i="8"/>
  <c r="Q10" i="8"/>
  <c r="K10" i="8"/>
  <c r="J10" i="8"/>
  <c r="N10" i="8" s="1"/>
  <c r="H10" i="8"/>
  <c r="G10" i="8"/>
  <c r="AC9" i="8"/>
  <c r="Z9" i="8"/>
  <c r="W9" i="8"/>
  <c r="T9" i="8"/>
  <c r="Q9" i="8"/>
  <c r="N9" i="8"/>
  <c r="K9" i="8"/>
  <c r="J9" i="8"/>
  <c r="H9" i="8"/>
  <c r="G9" i="8"/>
  <c r="AC8" i="8"/>
  <c r="W8" i="8"/>
  <c r="T8" i="8"/>
  <c r="Q8" i="8"/>
  <c r="Z8" i="8"/>
  <c r="N8" i="8"/>
  <c r="K8" i="8"/>
  <c r="J8" i="8"/>
  <c r="H8" i="8"/>
  <c r="G8" i="8"/>
  <c r="AC7" i="8"/>
  <c r="W7" i="8"/>
  <c r="T7" i="8"/>
  <c r="Q7" i="8"/>
  <c r="Z7" i="8"/>
  <c r="N7" i="8"/>
  <c r="K7" i="8"/>
  <c r="J7" i="8"/>
  <c r="H7" i="8"/>
  <c r="G7" i="8"/>
  <c r="AL15" i="8"/>
  <c r="AJ15" i="8"/>
  <c r="AH15" i="8"/>
  <c r="AC6" i="8"/>
  <c r="AC14" i="8" s="1"/>
  <c r="AC15" i="8" s="1"/>
  <c r="W6" i="8"/>
  <c r="W14" i="8" s="1"/>
  <c r="W15" i="8" s="1"/>
  <c r="T6" i="8"/>
  <c r="T14" i="8" s="1"/>
  <c r="T15" i="8" s="1"/>
  <c r="Q6" i="8"/>
  <c r="Q14" i="8" s="1"/>
  <c r="Q15" i="8" s="1"/>
  <c r="M14" i="8"/>
  <c r="J6" i="8"/>
  <c r="K6" i="8" s="1"/>
  <c r="K14" i="8" s="1"/>
  <c r="K15" i="8" s="1"/>
  <c r="G6" i="8"/>
  <c r="G14" i="8" s="1"/>
  <c r="G15" i="8" s="1"/>
  <c r="AM15" i="8" l="1"/>
  <c r="AG22" i="8"/>
  <c r="O22" i="8"/>
  <c r="AD6" i="8"/>
  <c r="AD15" i="8" s="1"/>
  <c r="N19" i="8"/>
  <c r="N20" i="8" s="1"/>
  <c r="L20" i="8"/>
  <c r="L22" i="8" s="1"/>
  <c r="AD16" i="8"/>
  <c r="AD20" i="8" s="1"/>
  <c r="R22" i="8"/>
  <c r="AN6" i="8"/>
  <c r="M15" i="8"/>
  <c r="AN15" i="8" s="1"/>
  <c r="AC22" i="8"/>
  <c r="Z19" i="8"/>
  <c r="Z20" i="8" s="1"/>
  <c r="AM20" i="8"/>
  <c r="AM22" i="8" s="1"/>
  <c r="X22" i="8"/>
  <c r="P19" i="8"/>
  <c r="P20" i="8" s="1"/>
  <c r="H6" i="8"/>
  <c r="H14" i="8" s="1"/>
  <c r="H15" i="8" s="1"/>
  <c r="N6" i="8"/>
  <c r="N14" i="8" s="1"/>
  <c r="N15" i="8" s="1"/>
  <c r="N22" i="8" s="1"/>
  <c r="AM6" i="8"/>
  <c r="K16" i="8"/>
  <c r="K19" i="8" s="1"/>
  <c r="K20" i="8" s="1"/>
  <c r="K22" i="8" s="1"/>
  <c r="Q16" i="8"/>
  <c r="Q19" i="8" s="1"/>
  <c r="Q20" i="8" s="1"/>
  <c r="Q22" i="8" s="1"/>
  <c r="W16" i="8"/>
  <c r="W19" i="8" s="1"/>
  <c r="W20" i="8" s="1"/>
  <c r="W22" i="8" s="1"/>
  <c r="AM16" i="8"/>
  <c r="T18" i="8"/>
  <c r="M19" i="8"/>
  <c r="J14" i="8"/>
  <c r="J15" i="8" s="1"/>
  <c r="Z6" i="8"/>
  <c r="Z14" i="8" s="1"/>
  <c r="Z15" i="8" s="1"/>
  <c r="H16" i="8"/>
  <c r="H19" i="8" s="1"/>
  <c r="H20" i="8" s="1"/>
  <c r="T16" i="8"/>
  <c r="T19" i="8" s="1"/>
  <c r="T20" i="8" s="1"/>
  <c r="T22" i="8" s="1"/>
  <c r="AD22" i="8" l="1"/>
  <c r="M20" i="8"/>
  <c r="AN20" i="8" s="1"/>
  <c r="AN22" i="8" s="1"/>
  <c r="AN16" i="8"/>
  <c r="Z22" i="8"/>
  <c r="AL6" i="7" l="1"/>
  <c r="AJ6" i="7"/>
  <c r="AH6" i="7"/>
  <c r="AE6" i="7"/>
  <c r="P8" i="7"/>
  <c r="P7" i="7"/>
  <c r="M8" i="7"/>
  <c r="M7" i="7"/>
  <c r="AK20" i="7" l="1"/>
  <c r="AK22" i="7" s="1"/>
  <c r="AI20" i="7"/>
  <c r="AG20" i="7"/>
  <c r="AF20" i="7"/>
  <c r="AE20" i="7"/>
  <c r="AA20" i="7"/>
  <c r="Y20" i="7"/>
  <c r="U20" i="7"/>
  <c r="U22" i="7" s="1"/>
  <c r="I20" i="7"/>
  <c r="I22" i="7" s="1"/>
  <c r="E20" i="7"/>
  <c r="AB19" i="7"/>
  <c r="AB20" i="7" s="1"/>
  <c r="AA19" i="7"/>
  <c r="Y19" i="7"/>
  <c r="X19" i="7"/>
  <c r="X20" i="7" s="1"/>
  <c r="X22" i="7" s="1"/>
  <c r="U19" i="7"/>
  <c r="R19" i="7"/>
  <c r="R20" i="7" s="1"/>
  <c r="R22" i="7" s="1"/>
  <c r="O19" i="7"/>
  <c r="O20" i="7" s="1"/>
  <c r="L19" i="7"/>
  <c r="AM16" i="7" s="1"/>
  <c r="I19" i="7"/>
  <c r="F19" i="7"/>
  <c r="F20" i="7" s="1"/>
  <c r="F22" i="7" s="1"/>
  <c r="E19" i="7"/>
  <c r="AC18" i="7"/>
  <c r="W18" i="7"/>
  <c r="Q18" i="7"/>
  <c r="P18" i="7"/>
  <c r="Z18" i="7" s="1"/>
  <c r="M18" i="7"/>
  <c r="J18" i="7"/>
  <c r="K18" i="7" s="1"/>
  <c r="G18" i="7"/>
  <c r="H18" i="7" s="1"/>
  <c r="AC17" i="7"/>
  <c r="V17" i="7"/>
  <c r="W17" i="7" s="1"/>
  <c r="S17" i="7"/>
  <c r="T17" i="7" s="1"/>
  <c r="P17" i="7"/>
  <c r="Z17" i="7" s="1"/>
  <c r="M17" i="7"/>
  <c r="N17" i="7" s="1"/>
  <c r="K17" i="7"/>
  <c r="J17" i="7"/>
  <c r="H17" i="7"/>
  <c r="G17" i="7"/>
  <c r="AL16" i="7"/>
  <c r="AL20" i="7" s="1"/>
  <c r="AJ16" i="7"/>
  <c r="AJ20" i="7" s="1"/>
  <c r="AH16" i="7"/>
  <c r="AH20" i="7" s="1"/>
  <c r="AE16" i="7"/>
  <c r="AC16" i="7"/>
  <c r="AC19" i="7" s="1"/>
  <c r="AC20" i="7" s="1"/>
  <c r="Z16" i="7"/>
  <c r="Z19" i="7" s="1"/>
  <c r="Z20" i="7" s="1"/>
  <c r="V16" i="7"/>
  <c r="W16" i="7" s="1"/>
  <c r="S16" i="7"/>
  <c r="S19" i="7" s="1"/>
  <c r="S20" i="7" s="1"/>
  <c r="P16" i="7"/>
  <c r="Q16" i="7" s="1"/>
  <c r="M16" i="7"/>
  <c r="M19" i="7" s="1"/>
  <c r="K16" i="7"/>
  <c r="J16" i="7"/>
  <c r="H16" i="7"/>
  <c r="H19" i="7" s="1"/>
  <c r="H20" i="7" s="1"/>
  <c r="G16" i="7"/>
  <c r="G19" i="7" s="1"/>
  <c r="G20" i="7" s="1"/>
  <c r="AL15" i="7"/>
  <c r="AK15" i="7"/>
  <c r="AI15" i="7"/>
  <c r="AH15" i="7"/>
  <c r="AG15" i="7"/>
  <c r="AF15" i="7"/>
  <c r="AB15" i="7"/>
  <c r="X15" i="7"/>
  <c r="V15" i="7"/>
  <c r="R15" i="7"/>
  <c r="F15" i="7"/>
  <c r="AB14" i="7"/>
  <c r="AA14" i="7"/>
  <c r="AA15" i="7" s="1"/>
  <c r="Y14" i="7"/>
  <c r="Y15" i="7" s="1"/>
  <c r="X14" i="7"/>
  <c r="W14" i="7"/>
  <c r="W15" i="7" s="1"/>
  <c r="V14" i="7"/>
  <c r="U14" i="7"/>
  <c r="U15" i="7" s="1"/>
  <c r="S14" i="7"/>
  <c r="S15" i="7" s="1"/>
  <c r="R14" i="7"/>
  <c r="O14" i="7"/>
  <c r="O15" i="7" s="1"/>
  <c r="L14" i="7"/>
  <c r="L15" i="7" s="1"/>
  <c r="I14" i="7"/>
  <c r="I15" i="7" s="1"/>
  <c r="F14" i="7"/>
  <c r="E14" i="7"/>
  <c r="E15" i="7" s="1"/>
  <c r="AC13" i="7"/>
  <c r="Z13" i="7"/>
  <c r="W13" i="7"/>
  <c r="T13" i="7"/>
  <c r="Q13" i="7"/>
  <c r="N13" i="7"/>
  <c r="J13" i="7"/>
  <c r="K13" i="7" s="1"/>
  <c r="G13" i="7"/>
  <c r="H13" i="7" s="1"/>
  <c r="AC12" i="7"/>
  <c r="Z12" i="7"/>
  <c r="W12" i="7"/>
  <c r="T12" i="7"/>
  <c r="Q12" i="7"/>
  <c r="J12" i="7"/>
  <c r="N12" i="7" s="1"/>
  <c r="G12" i="7"/>
  <c r="H12" i="7" s="1"/>
  <c r="AC11" i="7"/>
  <c r="Z11" i="7"/>
  <c r="W11" i="7"/>
  <c r="T11" i="7"/>
  <c r="Q11" i="7"/>
  <c r="N11" i="7"/>
  <c r="J11" i="7"/>
  <c r="K11" i="7" s="1"/>
  <c r="G11" i="7"/>
  <c r="H11" i="7" s="1"/>
  <c r="AC10" i="7"/>
  <c r="Z10" i="7"/>
  <c r="W10" i="7"/>
  <c r="T10" i="7"/>
  <c r="Q10" i="7"/>
  <c r="J10" i="7"/>
  <c r="N10" i="7" s="1"/>
  <c r="G10" i="7"/>
  <c r="H10" i="7" s="1"/>
  <c r="AC9" i="7"/>
  <c r="Z9" i="7"/>
  <c r="W9" i="7"/>
  <c r="T9" i="7"/>
  <c r="Q9" i="7"/>
  <c r="N9" i="7"/>
  <c r="J9" i="7"/>
  <c r="K9" i="7" s="1"/>
  <c r="G9" i="7"/>
  <c r="H9" i="7" s="1"/>
  <c r="AC8" i="7"/>
  <c r="W8" i="7"/>
  <c r="T8" i="7"/>
  <c r="Q8" i="7"/>
  <c r="N8" i="7"/>
  <c r="J8" i="7"/>
  <c r="K8" i="7" s="1"/>
  <c r="G8" i="7"/>
  <c r="H8" i="7" s="1"/>
  <c r="AC7" i="7"/>
  <c r="W7" i="7"/>
  <c r="T7" i="7"/>
  <c r="Q7" i="7"/>
  <c r="M14" i="7"/>
  <c r="J7" i="7"/>
  <c r="K7" i="7" s="1"/>
  <c r="G7" i="7"/>
  <c r="G14" i="7" s="1"/>
  <c r="G15" i="7" s="1"/>
  <c r="AJ15" i="7"/>
  <c r="AE15" i="7"/>
  <c r="AC6" i="7"/>
  <c r="AC14" i="7" s="1"/>
  <c r="AC15" i="7" s="1"/>
  <c r="W6" i="7"/>
  <c r="T6" i="7"/>
  <c r="Q6" i="7"/>
  <c r="P6" i="7"/>
  <c r="Z6" i="7" s="1"/>
  <c r="N6" i="7"/>
  <c r="M6" i="7"/>
  <c r="K6" i="7"/>
  <c r="J6" i="7"/>
  <c r="J14" i="7" s="1"/>
  <c r="J15" i="7" s="1"/>
  <c r="H6" i="7"/>
  <c r="G6" i="7"/>
  <c r="AI22" i="7" l="1"/>
  <c r="AM15" i="7"/>
  <c r="AG22" i="7"/>
  <c r="AE22" i="7"/>
  <c r="T14" i="7"/>
  <c r="T15" i="7" s="1"/>
  <c r="AM6" i="7"/>
  <c r="Q14" i="7"/>
  <c r="Q15" i="7" s="1"/>
  <c r="AD6" i="7"/>
  <c r="AD15" i="7" s="1"/>
  <c r="M20" i="7"/>
  <c r="AN20" i="7" s="1"/>
  <c r="AN16" i="7"/>
  <c r="AC22" i="7"/>
  <c r="K14" i="7"/>
  <c r="K15" i="7" s="1"/>
  <c r="M15" i="7"/>
  <c r="AN15" i="7" s="1"/>
  <c r="AN6" i="7"/>
  <c r="K19" i="7"/>
  <c r="K20" i="7" s="1"/>
  <c r="W19" i="7"/>
  <c r="W20" i="7" s="1"/>
  <c r="W22" i="7" s="1"/>
  <c r="AA22" i="7"/>
  <c r="Q19" i="7"/>
  <c r="Q20" i="7" s="1"/>
  <c r="O22" i="7"/>
  <c r="P19" i="7"/>
  <c r="P20" i="7" s="1"/>
  <c r="H7" i="7"/>
  <c r="H14" i="7" s="1"/>
  <c r="H15" i="7" s="1"/>
  <c r="N7" i="7"/>
  <c r="N14" i="7" s="1"/>
  <c r="N15" i="7" s="1"/>
  <c r="K10" i="7"/>
  <c r="K12" i="7"/>
  <c r="P14" i="7"/>
  <c r="P15" i="7" s="1"/>
  <c r="N16" i="7"/>
  <c r="N19" i="7" s="1"/>
  <c r="N20" i="7" s="1"/>
  <c r="T16" i="7"/>
  <c r="Q17" i="7"/>
  <c r="T18" i="7"/>
  <c r="L20" i="7"/>
  <c r="Z7" i="7"/>
  <c r="AD16" i="7"/>
  <c r="AD20" i="7" s="1"/>
  <c r="AD22" i="7" s="1"/>
  <c r="N18" i="7"/>
  <c r="J19" i="7"/>
  <c r="J20" i="7" s="1"/>
  <c r="V19" i="7"/>
  <c r="V20" i="7" s="1"/>
  <c r="Z8" i="7"/>
  <c r="Z14" i="7" s="1"/>
  <c r="Z15" i="7" s="1"/>
  <c r="Z22" i="7" s="1"/>
  <c r="AL16" i="6"/>
  <c r="AL6" i="6"/>
  <c r="AJ16" i="6"/>
  <c r="AJ6" i="6"/>
  <c r="AH16" i="6"/>
  <c r="AH6" i="6"/>
  <c r="AE16" i="6"/>
  <c r="AE6" i="6"/>
  <c r="P8" i="6"/>
  <c r="M8" i="6"/>
  <c r="P7" i="6"/>
  <c r="M7" i="6"/>
  <c r="P18" i="6"/>
  <c r="P17" i="6"/>
  <c r="P16" i="6"/>
  <c r="M18" i="6"/>
  <c r="L18" i="6"/>
  <c r="M16" i="6"/>
  <c r="L16" i="6"/>
  <c r="M17" i="6"/>
  <c r="L17" i="6"/>
  <c r="AK20" i="6"/>
  <c r="AK22" i="6" s="1"/>
  <c r="AI20" i="6"/>
  <c r="AI22" i="6" s="1"/>
  <c r="AG20" i="6"/>
  <c r="AF20" i="6"/>
  <c r="AB20" i="6"/>
  <c r="X20" i="6"/>
  <c r="AB19" i="6"/>
  <c r="AA19" i="6"/>
  <c r="AA20" i="6" s="1"/>
  <c r="Y19" i="6"/>
  <c r="Y20" i="6" s="1"/>
  <c r="X19" i="6"/>
  <c r="U19" i="6"/>
  <c r="U20" i="6" s="1"/>
  <c r="U22" i="6" s="1"/>
  <c r="R19" i="6"/>
  <c r="R20" i="6" s="1"/>
  <c r="R22" i="6" s="1"/>
  <c r="O19" i="6"/>
  <c r="O20" i="6" s="1"/>
  <c r="I19" i="6"/>
  <c r="I20" i="6" s="1"/>
  <c r="F19" i="6"/>
  <c r="F20" i="6" s="1"/>
  <c r="F22" i="6" s="1"/>
  <c r="E19" i="6"/>
  <c r="E20" i="6" s="1"/>
  <c r="AC18" i="6"/>
  <c r="W18" i="6"/>
  <c r="T18" i="6"/>
  <c r="Z18" i="6"/>
  <c r="N18" i="6"/>
  <c r="J18" i="6"/>
  <c r="K18" i="6" s="1"/>
  <c r="G18" i="6"/>
  <c r="H18" i="6" s="1"/>
  <c r="AC17" i="6"/>
  <c r="V17" i="6"/>
  <c r="V19" i="6" s="1"/>
  <c r="V20" i="6" s="1"/>
  <c r="S17" i="6"/>
  <c r="T17" i="6" s="1"/>
  <c r="Z17" i="6"/>
  <c r="N17" i="6"/>
  <c r="K17" i="6"/>
  <c r="J17" i="6"/>
  <c r="G17" i="6"/>
  <c r="G19" i="6" s="1"/>
  <c r="G20" i="6" s="1"/>
  <c r="AL20" i="6"/>
  <c r="AJ20" i="6"/>
  <c r="AH20" i="6"/>
  <c r="AE20" i="6"/>
  <c r="AC16" i="6"/>
  <c r="AC19" i="6" s="1"/>
  <c r="AC20" i="6" s="1"/>
  <c r="AC22" i="6" s="1"/>
  <c r="Z16" i="6"/>
  <c r="V16" i="6"/>
  <c r="W16" i="6" s="1"/>
  <c r="S16" i="6"/>
  <c r="S19" i="6" s="1"/>
  <c r="S20" i="6" s="1"/>
  <c r="P19" i="6"/>
  <c r="P20" i="6" s="1"/>
  <c r="N16" i="6"/>
  <c r="N19" i="6" s="1"/>
  <c r="N20" i="6" s="1"/>
  <c r="L19" i="6"/>
  <c r="J16" i="6"/>
  <c r="K16" i="6" s="1"/>
  <c r="H16" i="6"/>
  <c r="G16" i="6"/>
  <c r="AL15" i="6"/>
  <c r="AK15" i="6"/>
  <c r="AI15" i="6"/>
  <c r="AG15" i="6"/>
  <c r="AF15" i="6"/>
  <c r="V15" i="6"/>
  <c r="R15" i="6"/>
  <c r="F15" i="6"/>
  <c r="AB14" i="6"/>
  <c r="AB15" i="6" s="1"/>
  <c r="AA14" i="6"/>
  <c r="AA15" i="6" s="1"/>
  <c r="Y14" i="6"/>
  <c r="Y15" i="6" s="1"/>
  <c r="X14" i="6"/>
  <c r="X15" i="6" s="1"/>
  <c r="V14" i="6"/>
  <c r="U14" i="6"/>
  <c r="U15" i="6" s="1"/>
  <c r="S14" i="6"/>
  <c r="S15" i="6" s="1"/>
  <c r="R14" i="6"/>
  <c r="O14" i="6"/>
  <c r="O15" i="6" s="1"/>
  <c r="L14" i="6"/>
  <c r="AD6" i="6" s="1"/>
  <c r="AD15" i="6" s="1"/>
  <c r="I14" i="6"/>
  <c r="I15" i="6" s="1"/>
  <c r="F14" i="6"/>
  <c r="E14" i="6"/>
  <c r="E15" i="6" s="1"/>
  <c r="AC13" i="6"/>
  <c r="Z13" i="6"/>
  <c r="W13" i="6"/>
  <c r="T13" i="6"/>
  <c r="Q13" i="6"/>
  <c r="N13" i="6"/>
  <c r="J13" i="6"/>
  <c r="K13" i="6" s="1"/>
  <c r="G13" i="6"/>
  <c r="H13" i="6" s="1"/>
  <c r="AC12" i="6"/>
  <c r="Z12" i="6"/>
  <c r="W12" i="6"/>
  <c r="T12" i="6"/>
  <c r="Q12" i="6"/>
  <c r="J12" i="6"/>
  <c r="K12" i="6" s="1"/>
  <c r="G12" i="6"/>
  <c r="H12" i="6" s="1"/>
  <c r="AC11" i="6"/>
  <c r="Z11" i="6"/>
  <c r="W11" i="6"/>
  <c r="T11" i="6"/>
  <c r="Q11" i="6"/>
  <c r="N11" i="6"/>
  <c r="J11" i="6"/>
  <c r="K11" i="6" s="1"/>
  <c r="G11" i="6"/>
  <c r="H11" i="6" s="1"/>
  <c r="AC10" i="6"/>
  <c r="Z10" i="6"/>
  <c r="W10" i="6"/>
  <c r="T10" i="6"/>
  <c r="Q10" i="6"/>
  <c r="J10" i="6"/>
  <c r="N10" i="6" s="1"/>
  <c r="G10" i="6"/>
  <c r="H10" i="6" s="1"/>
  <c r="AC9" i="6"/>
  <c r="Z9" i="6"/>
  <c r="W9" i="6"/>
  <c r="T9" i="6"/>
  <c r="Q9" i="6"/>
  <c r="N9" i="6"/>
  <c r="J9" i="6"/>
  <c r="K9" i="6" s="1"/>
  <c r="G9" i="6"/>
  <c r="H9" i="6" s="1"/>
  <c r="AC8" i="6"/>
  <c r="Z8" i="6"/>
  <c r="W8" i="6"/>
  <c r="T8" i="6"/>
  <c r="Q8" i="6"/>
  <c r="J8" i="6"/>
  <c r="N8" i="6" s="1"/>
  <c r="G8" i="6"/>
  <c r="H8" i="6" s="1"/>
  <c r="AC7" i="6"/>
  <c r="W7" i="6"/>
  <c r="Z7" i="6"/>
  <c r="N7" i="6"/>
  <c r="J7" i="6"/>
  <c r="K7" i="6" s="1"/>
  <c r="G7" i="6"/>
  <c r="H7" i="6" s="1"/>
  <c r="AJ15" i="6"/>
  <c r="AH15" i="6"/>
  <c r="AE15" i="6"/>
  <c r="AC6" i="6"/>
  <c r="AC14" i="6" s="1"/>
  <c r="AC15" i="6" s="1"/>
  <c r="W6" i="6"/>
  <c r="W14" i="6" s="1"/>
  <c r="W15" i="6" s="1"/>
  <c r="P6" i="6"/>
  <c r="Q6" i="6" s="1"/>
  <c r="N6" i="6"/>
  <c r="M6" i="6"/>
  <c r="J6" i="6"/>
  <c r="K6" i="6" s="1"/>
  <c r="H6" i="6"/>
  <c r="G6" i="6"/>
  <c r="AN22" i="7" l="1"/>
  <c r="Q22" i="7"/>
  <c r="L22" i="7"/>
  <c r="AM20" i="7"/>
  <c r="AM22" i="7" s="1"/>
  <c r="T19" i="7"/>
  <c r="T20" i="7" s="1"/>
  <c r="T22" i="7" s="1"/>
  <c r="N22" i="7"/>
  <c r="K22" i="7"/>
  <c r="AG22" i="6"/>
  <c r="AM6" i="6"/>
  <c r="I22" i="6"/>
  <c r="W19" i="6"/>
  <c r="W20" i="6" s="1"/>
  <c r="W22" i="6" s="1"/>
  <c r="X22" i="6"/>
  <c r="H19" i="6"/>
  <c r="H20" i="6" s="1"/>
  <c r="O22" i="6"/>
  <c r="K19" i="6"/>
  <c r="K20" i="6" s="1"/>
  <c r="AE22" i="6"/>
  <c r="AA22" i="6"/>
  <c r="N14" i="6"/>
  <c r="N15" i="6" s="1"/>
  <c r="N22" i="6" s="1"/>
  <c r="AD16" i="6"/>
  <c r="AD20" i="6" s="1"/>
  <c r="AD22" i="6" s="1"/>
  <c r="L20" i="6"/>
  <c r="AM16" i="6"/>
  <c r="H14" i="6"/>
  <c r="H15" i="6" s="1"/>
  <c r="Z19" i="6"/>
  <c r="Z20" i="6" s="1"/>
  <c r="Q7" i="6"/>
  <c r="Q14" i="6" s="1"/>
  <c r="Q15" i="6" s="1"/>
  <c r="K10" i="6"/>
  <c r="P14" i="6"/>
  <c r="P15" i="6" s="1"/>
  <c r="T7" i="6"/>
  <c r="N12" i="6"/>
  <c r="M14" i="6"/>
  <c r="L15" i="6"/>
  <c r="AM15" i="6" s="1"/>
  <c r="T6" i="6"/>
  <c r="T14" i="6" s="1"/>
  <c r="T15" i="6" s="1"/>
  <c r="J14" i="6"/>
  <c r="J15" i="6" s="1"/>
  <c r="Q16" i="6"/>
  <c r="Q18" i="6"/>
  <c r="G14" i="6"/>
  <c r="G15" i="6" s="1"/>
  <c r="M19" i="6"/>
  <c r="T16" i="6"/>
  <c r="T19" i="6" s="1"/>
  <c r="T20" i="6" s="1"/>
  <c r="T22" i="6" s="1"/>
  <c r="Q17" i="6"/>
  <c r="W17" i="6"/>
  <c r="J19" i="6"/>
  <c r="J20" i="6" s="1"/>
  <c r="Z6" i="6"/>
  <c r="Z14" i="6" s="1"/>
  <c r="Z15" i="6" s="1"/>
  <c r="K8" i="6"/>
  <c r="K14" i="6" s="1"/>
  <c r="K15" i="6" s="1"/>
  <c r="H17" i="6"/>
  <c r="Z22" i="6" l="1"/>
  <c r="M15" i="6"/>
  <c r="AN15" i="6" s="1"/>
  <c r="AN6" i="6"/>
  <c r="M20" i="6"/>
  <c r="AN20" i="6" s="1"/>
  <c r="AN16" i="6"/>
  <c r="L22" i="6"/>
  <c r="AM20" i="6"/>
  <c r="AM22" i="6" s="1"/>
  <c r="K22" i="6"/>
  <c r="Q19" i="6"/>
  <c r="Q20" i="6" s="1"/>
  <c r="Q22" i="6" s="1"/>
  <c r="AN22" i="6" l="1"/>
  <c r="AL16" i="5" l="1"/>
  <c r="AL6" i="5"/>
  <c r="AJ16" i="5"/>
  <c r="AJ6" i="5"/>
  <c r="AH16" i="5"/>
  <c r="AH6" i="5"/>
  <c r="AE16" i="5"/>
  <c r="AE6" i="5"/>
  <c r="J13" i="5" l="1"/>
  <c r="J12" i="5"/>
  <c r="P18" i="5"/>
  <c r="P17" i="5"/>
  <c r="P16" i="5"/>
  <c r="Q16" i="5" s="1"/>
  <c r="P7" i="5"/>
  <c r="M18" i="5"/>
  <c r="N18" i="5" s="1"/>
  <c r="M7" i="5"/>
  <c r="M14" i="5" s="1"/>
  <c r="M15" i="5" s="1"/>
  <c r="AN15" i="5" s="1"/>
  <c r="M17" i="5"/>
  <c r="L17" i="5"/>
  <c r="M16" i="5"/>
  <c r="M19" i="5" s="1"/>
  <c r="M20" i="5" s="1"/>
  <c r="AN20" i="5" s="1"/>
  <c r="L16" i="5"/>
  <c r="AG22" i="5"/>
  <c r="AL20" i="5"/>
  <c r="AK20" i="5"/>
  <c r="AI20" i="5"/>
  <c r="AG20" i="5"/>
  <c r="AF20" i="5"/>
  <c r="AB20" i="5"/>
  <c r="X20" i="5"/>
  <c r="X22" i="5" s="1"/>
  <c r="R20" i="5"/>
  <c r="R22" i="5" s="1"/>
  <c r="F20" i="5"/>
  <c r="AC19" i="5"/>
  <c r="AC20" i="5" s="1"/>
  <c r="AB19" i="5"/>
  <c r="AA19" i="5"/>
  <c r="AA20" i="5" s="1"/>
  <c r="Y19" i="5"/>
  <c r="Y20" i="5" s="1"/>
  <c r="X19" i="5"/>
  <c r="U19" i="5"/>
  <c r="U20" i="5" s="1"/>
  <c r="U22" i="5" s="1"/>
  <c r="R19" i="5"/>
  <c r="O19" i="5"/>
  <c r="O20" i="5" s="1"/>
  <c r="L19" i="5"/>
  <c r="AM16" i="5" s="1"/>
  <c r="I19" i="5"/>
  <c r="I20" i="5" s="1"/>
  <c r="F19" i="5"/>
  <c r="E19" i="5"/>
  <c r="E20" i="5" s="1"/>
  <c r="AC18" i="5"/>
  <c r="Z18" i="5"/>
  <c r="W18" i="5"/>
  <c r="T18" i="5"/>
  <c r="Q18" i="5"/>
  <c r="J18" i="5"/>
  <c r="K18" i="5" s="1"/>
  <c r="G18" i="5"/>
  <c r="H18" i="5" s="1"/>
  <c r="AC17" i="5"/>
  <c r="V17" i="5"/>
  <c r="W17" i="5" s="1"/>
  <c r="S17" i="5"/>
  <c r="T17" i="5" s="1"/>
  <c r="Z17" i="5"/>
  <c r="N17" i="5"/>
  <c r="K17" i="5"/>
  <c r="K19" i="5" s="1"/>
  <c r="K20" i="5" s="1"/>
  <c r="J17" i="5"/>
  <c r="H17" i="5"/>
  <c r="G17" i="5"/>
  <c r="AJ20" i="5"/>
  <c r="AH20" i="5"/>
  <c r="AE20" i="5"/>
  <c r="AC16" i="5"/>
  <c r="Z16" i="5"/>
  <c r="V16" i="5"/>
  <c r="V19" i="5" s="1"/>
  <c r="V20" i="5" s="1"/>
  <c r="S16" i="5"/>
  <c r="K16" i="5"/>
  <c r="J16" i="5"/>
  <c r="J19" i="5" s="1"/>
  <c r="J20" i="5" s="1"/>
  <c r="H16" i="5"/>
  <c r="H19" i="5" s="1"/>
  <c r="H20" i="5" s="1"/>
  <c r="G16" i="5"/>
  <c r="AL15" i="5"/>
  <c r="AK15" i="5"/>
  <c r="AK22" i="5" s="1"/>
  <c r="AI15" i="5"/>
  <c r="AH15" i="5"/>
  <c r="AG15" i="5"/>
  <c r="AF15" i="5"/>
  <c r="AB15" i="5"/>
  <c r="X15" i="5"/>
  <c r="V15" i="5"/>
  <c r="R15" i="5"/>
  <c r="F15" i="5"/>
  <c r="AB14" i="5"/>
  <c r="AA14" i="5"/>
  <c r="AA15" i="5" s="1"/>
  <c r="Y14" i="5"/>
  <c r="Y15" i="5" s="1"/>
  <c r="X14" i="5"/>
  <c r="V14" i="5"/>
  <c r="U14" i="5"/>
  <c r="U15" i="5" s="1"/>
  <c r="S14" i="5"/>
  <c r="S15" i="5" s="1"/>
  <c r="R14" i="5"/>
  <c r="O14" i="5"/>
  <c r="O15" i="5" s="1"/>
  <c r="L14" i="5"/>
  <c r="L15" i="5" s="1"/>
  <c r="AM15" i="5" s="1"/>
  <c r="I14" i="5"/>
  <c r="I15" i="5" s="1"/>
  <c r="F14" i="5"/>
  <c r="E14" i="5"/>
  <c r="E15" i="5" s="1"/>
  <c r="AC13" i="5"/>
  <c r="Z13" i="5"/>
  <c r="W13" i="5"/>
  <c r="T13" i="5"/>
  <c r="Q13" i="5"/>
  <c r="N13" i="5"/>
  <c r="K13" i="5"/>
  <c r="H13" i="5"/>
  <c r="G13" i="5"/>
  <c r="AC12" i="5"/>
  <c r="Z12" i="5"/>
  <c r="W12" i="5"/>
  <c r="T12" i="5"/>
  <c r="Q12" i="5"/>
  <c r="N12" i="5"/>
  <c r="G12" i="5"/>
  <c r="K12" i="5" s="1"/>
  <c r="AC11" i="5"/>
  <c r="Z11" i="5"/>
  <c r="W11" i="5"/>
  <c r="T11" i="5"/>
  <c r="Q11" i="5"/>
  <c r="J11" i="5"/>
  <c r="N11" i="5" s="1"/>
  <c r="G11" i="5"/>
  <c r="H11" i="5" s="1"/>
  <c r="AC10" i="5"/>
  <c r="Z10" i="5"/>
  <c r="W10" i="5"/>
  <c r="T10" i="5"/>
  <c r="Q10" i="5"/>
  <c r="N10" i="5"/>
  <c r="J10" i="5"/>
  <c r="K10" i="5" s="1"/>
  <c r="G10" i="5"/>
  <c r="H10" i="5" s="1"/>
  <c r="AC9" i="5"/>
  <c r="Z9" i="5"/>
  <c r="W9" i="5"/>
  <c r="T9" i="5"/>
  <c r="Q9" i="5"/>
  <c r="J9" i="5"/>
  <c r="N9" i="5" s="1"/>
  <c r="G9" i="5"/>
  <c r="H9" i="5" s="1"/>
  <c r="AC8" i="5"/>
  <c r="Z8" i="5"/>
  <c r="W8" i="5"/>
  <c r="T8" i="5"/>
  <c r="Q8" i="5"/>
  <c r="N8" i="5"/>
  <c r="J8" i="5"/>
  <c r="K8" i="5" s="1"/>
  <c r="G8" i="5"/>
  <c r="G14" i="5" s="1"/>
  <c r="G15" i="5" s="1"/>
  <c r="AC7" i="5"/>
  <c r="Z7" i="5"/>
  <c r="W7" i="5"/>
  <c r="T7" i="5"/>
  <c r="Q7" i="5"/>
  <c r="J7" i="5"/>
  <c r="G7" i="5"/>
  <c r="H7" i="5" s="1"/>
  <c r="AJ15" i="5"/>
  <c r="AE15" i="5"/>
  <c r="AC6" i="5"/>
  <c r="AC14" i="5" s="1"/>
  <c r="AC15" i="5" s="1"/>
  <c r="W6" i="5"/>
  <c r="W14" i="5" s="1"/>
  <c r="W15" i="5" s="1"/>
  <c r="T6" i="5"/>
  <c r="Q6" i="5"/>
  <c r="P6" i="5"/>
  <c r="P14" i="5" s="1"/>
  <c r="P15" i="5" s="1"/>
  <c r="N6" i="5"/>
  <c r="M6" i="5"/>
  <c r="K6" i="5"/>
  <c r="J6" i="5"/>
  <c r="J14" i="5" s="1"/>
  <c r="J15" i="5" s="1"/>
  <c r="H6" i="5"/>
  <c r="G6" i="5"/>
  <c r="AI22" i="5" l="1"/>
  <c r="AE22" i="5"/>
  <c r="T16" i="5"/>
  <c r="T19" i="5" s="1"/>
  <c r="T20" i="5" s="1"/>
  <c r="T22" i="5" s="1"/>
  <c r="T14" i="5"/>
  <c r="T15" i="5" s="1"/>
  <c r="N14" i="5"/>
  <c r="N15" i="5" s="1"/>
  <c r="Q14" i="5"/>
  <c r="Q15" i="5" s="1"/>
  <c r="N7" i="5"/>
  <c r="AM6" i="5"/>
  <c r="L20" i="5"/>
  <c r="N16" i="5"/>
  <c r="N19" i="5" s="1"/>
  <c r="N20" i="5" s="1"/>
  <c r="N22" i="5" s="1"/>
  <c r="AD16" i="5"/>
  <c r="AD20" i="5" s="1"/>
  <c r="AD6" i="5"/>
  <c r="AD15" i="5" s="1"/>
  <c r="L22" i="5"/>
  <c r="F22" i="5"/>
  <c r="AC22" i="5"/>
  <c r="Z19" i="5"/>
  <c r="Z20" i="5" s="1"/>
  <c r="O22" i="5"/>
  <c r="I22" i="5"/>
  <c r="AA22" i="5"/>
  <c r="AN22" i="5"/>
  <c r="AN16" i="5"/>
  <c r="G19" i="5"/>
  <c r="G20" i="5" s="1"/>
  <c r="S19" i="5"/>
  <c r="S20" i="5" s="1"/>
  <c r="Z6" i="5"/>
  <c r="Z14" i="5" s="1"/>
  <c r="Z15" i="5" s="1"/>
  <c r="AN6" i="5"/>
  <c r="K7" i="5"/>
  <c r="H8" i="5"/>
  <c r="H14" i="5" s="1"/>
  <c r="H15" i="5" s="1"/>
  <c r="K9" i="5"/>
  <c r="K11" i="5"/>
  <c r="H12" i="5"/>
  <c r="Q17" i="5"/>
  <c r="Q19" i="5" s="1"/>
  <c r="Q20" i="5" s="1"/>
  <c r="P19" i="5"/>
  <c r="P20" i="5" s="1"/>
  <c r="AM20" i="5"/>
  <c r="AM22" i="5" s="1"/>
  <c r="W16" i="5"/>
  <c r="W19" i="5" s="1"/>
  <c r="W20" i="5" s="1"/>
  <c r="W22" i="5" s="1"/>
  <c r="G13" i="4"/>
  <c r="AC12" i="4"/>
  <c r="Z12" i="4"/>
  <c r="W12" i="4"/>
  <c r="T12" i="4"/>
  <c r="Q12" i="4"/>
  <c r="N12" i="4"/>
  <c r="H12" i="4"/>
  <c r="G12" i="4"/>
  <c r="K12" i="4" s="1"/>
  <c r="AC11" i="4"/>
  <c r="Z11" i="4"/>
  <c r="W11" i="4"/>
  <c r="T11" i="4"/>
  <c r="Q11" i="4"/>
  <c r="N11" i="4"/>
  <c r="J11" i="4"/>
  <c r="G11" i="4"/>
  <c r="H11" i="4" s="1"/>
  <c r="AC10" i="4"/>
  <c r="Z10" i="4"/>
  <c r="W10" i="4"/>
  <c r="T10" i="4"/>
  <c r="Q10" i="4"/>
  <c r="N10" i="4"/>
  <c r="J10" i="4"/>
  <c r="G10" i="4"/>
  <c r="H10" i="4" s="1"/>
  <c r="AC9" i="4"/>
  <c r="Z9" i="4"/>
  <c r="W9" i="4"/>
  <c r="T9" i="4"/>
  <c r="Q9" i="4"/>
  <c r="J9" i="4"/>
  <c r="N9" i="4" s="1"/>
  <c r="G9" i="4"/>
  <c r="H9" i="4" s="1"/>
  <c r="AL16" i="4"/>
  <c r="AJ16" i="4"/>
  <c r="AJ6" i="4"/>
  <c r="AH16" i="4"/>
  <c r="AH6" i="4"/>
  <c r="AE16" i="4"/>
  <c r="AE6" i="4"/>
  <c r="M6" i="4"/>
  <c r="M17" i="4"/>
  <c r="M16" i="4"/>
  <c r="P6" i="4"/>
  <c r="P17" i="4"/>
  <c r="O17" i="4"/>
  <c r="P16" i="4"/>
  <c r="O16" i="4"/>
  <c r="Q22" i="5" l="1"/>
  <c r="AD22" i="5"/>
  <c r="K14" i="5"/>
  <c r="K15" i="5" s="1"/>
  <c r="K22" i="5" s="1"/>
  <c r="Z22" i="5"/>
  <c r="K11" i="4"/>
  <c r="K10" i="4"/>
  <c r="K9" i="4"/>
  <c r="AK20" i="4" l="1"/>
  <c r="AI20" i="4"/>
  <c r="AG20" i="4"/>
  <c r="AF20" i="4"/>
  <c r="AE20" i="4"/>
  <c r="AA20" i="4"/>
  <c r="Y20" i="4"/>
  <c r="U20" i="4"/>
  <c r="R20" i="4"/>
  <c r="I20" i="4"/>
  <c r="F20" i="4"/>
  <c r="AB19" i="4"/>
  <c r="AB20" i="4" s="1"/>
  <c r="AA19" i="4"/>
  <c r="Y19" i="4"/>
  <c r="X19" i="4"/>
  <c r="X20" i="4" s="1"/>
  <c r="U19" i="4"/>
  <c r="R19" i="4"/>
  <c r="P19" i="4"/>
  <c r="P20" i="4" s="1"/>
  <c r="L19" i="4"/>
  <c r="AM16" i="4" s="1"/>
  <c r="I19" i="4"/>
  <c r="F19" i="4"/>
  <c r="E19" i="4"/>
  <c r="E20" i="4" s="1"/>
  <c r="AC18" i="4"/>
  <c r="Z18" i="4"/>
  <c r="W18" i="4"/>
  <c r="T18" i="4"/>
  <c r="Q18" i="4"/>
  <c r="N18" i="4"/>
  <c r="J18" i="4"/>
  <c r="H18" i="4"/>
  <c r="G18" i="4"/>
  <c r="K18" i="4" s="1"/>
  <c r="AC17" i="4"/>
  <c r="W17" i="4"/>
  <c r="V17" i="4"/>
  <c r="S17" i="4"/>
  <c r="T17" i="4"/>
  <c r="Q17" i="4"/>
  <c r="J17" i="4"/>
  <c r="G17" i="4"/>
  <c r="K17" i="4" s="1"/>
  <c r="AL20" i="4"/>
  <c r="AJ20" i="4"/>
  <c r="AH20" i="4"/>
  <c r="AC16" i="4"/>
  <c r="AC19" i="4" s="1"/>
  <c r="AC20" i="4" s="1"/>
  <c r="Z16" i="4"/>
  <c r="V16" i="4"/>
  <c r="V19" i="4" s="1"/>
  <c r="V20" i="4" s="1"/>
  <c r="T16" i="4"/>
  <c r="S16" i="4"/>
  <c r="S19" i="4" s="1"/>
  <c r="S20" i="4" s="1"/>
  <c r="O19" i="4"/>
  <c r="O20" i="4" s="1"/>
  <c r="Q16" i="4"/>
  <c r="J16" i="4"/>
  <c r="N16" i="4" s="1"/>
  <c r="H16" i="4"/>
  <c r="G16" i="4"/>
  <c r="G19" i="4" s="1"/>
  <c r="G20" i="4" s="1"/>
  <c r="AK15" i="4"/>
  <c r="AI15" i="4"/>
  <c r="AG15" i="4"/>
  <c r="AF15" i="4"/>
  <c r="AE15" i="4"/>
  <c r="AB14" i="4"/>
  <c r="AB15" i="4" s="1"/>
  <c r="AA14" i="4"/>
  <c r="AA15" i="4" s="1"/>
  <c r="Y14" i="4"/>
  <c r="Y15" i="4" s="1"/>
  <c r="X14" i="4"/>
  <c r="X15" i="4" s="1"/>
  <c r="V14" i="4"/>
  <c r="V15" i="4" s="1"/>
  <c r="U14" i="4"/>
  <c r="U15" i="4" s="1"/>
  <c r="S14" i="4"/>
  <c r="S15" i="4" s="1"/>
  <c r="R14" i="4"/>
  <c r="R15" i="4" s="1"/>
  <c r="P14" i="4"/>
  <c r="P15" i="4" s="1"/>
  <c r="O14" i="4"/>
  <c r="O15" i="4" s="1"/>
  <c r="L14" i="4"/>
  <c r="L15" i="4" s="1"/>
  <c r="I14" i="4"/>
  <c r="I15" i="4" s="1"/>
  <c r="F14" i="4"/>
  <c r="F15" i="4" s="1"/>
  <c r="E14" i="4"/>
  <c r="E15" i="4" s="1"/>
  <c r="AC13" i="4"/>
  <c r="Z13" i="4"/>
  <c r="W13" i="4"/>
  <c r="T13" i="4"/>
  <c r="Q13" i="4"/>
  <c r="N13" i="4"/>
  <c r="H13" i="4"/>
  <c r="K13" i="4"/>
  <c r="AC8" i="4"/>
  <c r="Z8" i="4"/>
  <c r="W8" i="4"/>
  <c r="T8" i="4"/>
  <c r="Q8" i="4"/>
  <c r="K8" i="4"/>
  <c r="J8" i="4"/>
  <c r="N8" i="4" s="1"/>
  <c r="H8" i="4"/>
  <c r="G8" i="4"/>
  <c r="AC7" i="4"/>
  <c r="Z7" i="4"/>
  <c r="W7" i="4"/>
  <c r="T7" i="4"/>
  <c r="Q7" i="4"/>
  <c r="N7" i="4"/>
  <c r="J7" i="4"/>
  <c r="H7" i="4"/>
  <c r="G7" i="4"/>
  <c r="K7" i="4" s="1"/>
  <c r="AL6" i="4"/>
  <c r="AL15" i="4" s="1"/>
  <c r="AJ15" i="4"/>
  <c r="AH15" i="4"/>
  <c r="AC6" i="4"/>
  <c r="W6" i="4"/>
  <c r="T6" i="4"/>
  <c r="Z6" i="4"/>
  <c r="Q6" i="4"/>
  <c r="J6" i="4"/>
  <c r="J14" i="4" s="1"/>
  <c r="J15" i="4" s="1"/>
  <c r="H6" i="4"/>
  <c r="G6" i="4"/>
  <c r="G14" i="4" s="1"/>
  <c r="G15" i="4" s="1"/>
  <c r="W14" i="4" l="1"/>
  <c r="W15" i="4" s="1"/>
  <c r="R22" i="4"/>
  <c r="AE22" i="4"/>
  <c r="AK22" i="4"/>
  <c r="Q14" i="4"/>
  <c r="Q15" i="4" s="1"/>
  <c r="AC14" i="4"/>
  <c r="AC15" i="4" s="1"/>
  <c r="AC22" i="4" s="1"/>
  <c r="O22" i="4"/>
  <c r="F22" i="4"/>
  <c r="Z14" i="4"/>
  <c r="Z15" i="4" s="1"/>
  <c r="H14" i="4"/>
  <c r="H15" i="4" s="1"/>
  <c r="T14" i="4"/>
  <c r="T15" i="4" s="1"/>
  <c r="AA22" i="4"/>
  <c r="AI22" i="4"/>
  <c r="AG22" i="4"/>
  <c r="AM15" i="4"/>
  <c r="T19" i="4"/>
  <c r="T20" i="4" s="1"/>
  <c r="AD6" i="4"/>
  <c r="AD15" i="4" s="1"/>
  <c r="I22" i="4"/>
  <c r="Q19" i="4"/>
  <c r="Q20" i="4" s="1"/>
  <c r="U22" i="4"/>
  <c r="X22" i="4"/>
  <c r="N6" i="4"/>
  <c r="N14" i="4" s="1"/>
  <c r="N15" i="4" s="1"/>
  <c r="AM6" i="4"/>
  <c r="M14" i="4"/>
  <c r="K16" i="4"/>
  <c r="K19" i="4" s="1"/>
  <c r="K20" i="4" s="1"/>
  <c r="AD16" i="4"/>
  <c r="AD20" i="4" s="1"/>
  <c r="H17" i="4"/>
  <c r="H19" i="4" s="1"/>
  <c r="H20" i="4" s="1"/>
  <c r="N17" i="4"/>
  <c r="N19" i="4" s="1"/>
  <c r="N20" i="4" s="1"/>
  <c r="Z17" i="4"/>
  <c r="Z19" i="4" s="1"/>
  <c r="Z20" i="4" s="1"/>
  <c r="M19" i="4"/>
  <c r="L20" i="4"/>
  <c r="K6" i="4"/>
  <c r="K14" i="4" s="1"/>
  <c r="K15" i="4" s="1"/>
  <c r="W16" i="4"/>
  <c r="W19" i="4" s="1"/>
  <c r="W20" i="4" s="1"/>
  <c r="W22" i="4" s="1"/>
  <c r="J19" i="4"/>
  <c r="J20" i="4" s="1"/>
  <c r="AL12" i="3"/>
  <c r="AJ12" i="3"/>
  <c r="AJ6" i="3"/>
  <c r="AH12" i="3"/>
  <c r="AH16" i="3" s="1"/>
  <c r="AH6" i="3"/>
  <c r="AE6" i="3"/>
  <c r="M13" i="3"/>
  <c r="M12" i="3"/>
  <c r="P13" i="3"/>
  <c r="O13" i="3"/>
  <c r="P12" i="3"/>
  <c r="O12" i="3"/>
  <c r="P6" i="3"/>
  <c r="M6" i="3"/>
  <c r="L6" i="3"/>
  <c r="AK16" i="3"/>
  <c r="AK18" i="3" s="1"/>
  <c r="AI16" i="3"/>
  <c r="AG16" i="3"/>
  <c r="AG18" i="3" s="1"/>
  <c r="AF16" i="3"/>
  <c r="AE16" i="3"/>
  <c r="AA16" i="3"/>
  <c r="AA18" i="3" s="1"/>
  <c r="Y16" i="3"/>
  <c r="I16" i="3"/>
  <c r="E16" i="3"/>
  <c r="AB15" i="3"/>
  <c r="AB16" i="3" s="1"/>
  <c r="AA15" i="3"/>
  <c r="Y15" i="3"/>
  <c r="X15" i="3"/>
  <c r="X16" i="3" s="1"/>
  <c r="V15" i="3"/>
  <c r="V16" i="3" s="1"/>
  <c r="U15" i="3"/>
  <c r="U16" i="3" s="1"/>
  <c r="U18" i="3" s="1"/>
  <c r="R15" i="3"/>
  <c r="R16" i="3" s="1"/>
  <c r="R18" i="3" s="1"/>
  <c r="P15" i="3"/>
  <c r="P16" i="3" s="1"/>
  <c r="L15" i="3"/>
  <c r="AM12" i="3" s="1"/>
  <c r="I15" i="3"/>
  <c r="F15" i="3"/>
  <c r="F16" i="3" s="1"/>
  <c r="E15" i="3"/>
  <c r="AC14" i="3"/>
  <c r="Z14" i="3"/>
  <c r="W14" i="3"/>
  <c r="T14" i="3"/>
  <c r="Q14" i="3"/>
  <c r="K14" i="3"/>
  <c r="J14" i="3"/>
  <c r="N14" i="3" s="1"/>
  <c r="H14" i="3"/>
  <c r="G14" i="3"/>
  <c r="AC13" i="3"/>
  <c r="Z13" i="3"/>
  <c r="W13" i="3"/>
  <c r="V13" i="3"/>
  <c r="T13" i="3"/>
  <c r="S13" i="3"/>
  <c r="N13" i="3"/>
  <c r="J13" i="3"/>
  <c r="K13" i="3" s="1"/>
  <c r="G13" i="3"/>
  <c r="H13" i="3" s="1"/>
  <c r="AL16" i="3"/>
  <c r="AJ16" i="3"/>
  <c r="AE12" i="3"/>
  <c r="AC12" i="3"/>
  <c r="AC15" i="3" s="1"/>
  <c r="AC16" i="3" s="1"/>
  <c r="W12" i="3"/>
  <c r="W15" i="3" s="1"/>
  <c r="W16" i="3" s="1"/>
  <c r="V12" i="3"/>
  <c r="T12" i="3"/>
  <c r="S12" i="3"/>
  <c r="S15" i="3" s="1"/>
  <c r="S16" i="3" s="1"/>
  <c r="Z12" i="3"/>
  <c r="Z15" i="3" s="1"/>
  <c r="Z16" i="3" s="1"/>
  <c r="O15" i="3"/>
  <c r="O16" i="3" s="1"/>
  <c r="N12" i="3"/>
  <c r="J12" i="3"/>
  <c r="J15" i="3" s="1"/>
  <c r="J16" i="3" s="1"/>
  <c r="G12" i="3"/>
  <c r="G15" i="3" s="1"/>
  <c r="G16" i="3" s="1"/>
  <c r="AK11" i="3"/>
  <c r="AI11" i="3"/>
  <c r="AG11" i="3"/>
  <c r="AF11" i="3"/>
  <c r="AE11" i="3"/>
  <c r="AA11" i="3"/>
  <c r="Y11" i="3"/>
  <c r="U11" i="3"/>
  <c r="S11" i="3"/>
  <c r="E11" i="3"/>
  <c r="AB10" i="3"/>
  <c r="AB11" i="3" s="1"/>
  <c r="AA10" i="3"/>
  <c r="Y10" i="3"/>
  <c r="X10" i="3"/>
  <c r="X11" i="3" s="1"/>
  <c r="V10" i="3"/>
  <c r="V11" i="3" s="1"/>
  <c r="U10" i="3"/>
  <c r="S10" i="3"/>
  <c r="R10" i="3"/>
  <c r="R11" i="3" s="1"/>
  <c r="P10" i="3"/>
  <c r="P11" i="3" s="1"/>
  <c r="O10" i="3"/>
  <c r="O11" i="3" s="1"/>
  <c r="L10" i="3"/>
  <c r="L11" i="3" s="1"/>
  <c r="AM11" i="3" s="1"/>
  <c r="I10" i="3"/>
  <c r="I11" i="3" s="1"/>
  <c r="F10" i="3"/>
  <c r="F11" i="3" s="1"/>
  <c r="E10" i="3"/>
  <c r="AC9" i="3"/>
  <c r="Z9" i="3"/>
  <c r="W9" i="3"/>
  <c r="T9" i="3"/>
  <c r="Q9" i="3"/>
  <c r="K9" i="3"/>
  <c r="J9" i="3"/>
  <c r="N9" i="3" s="1"/>
  <c r="H9" i="3"/>
  <c r="G9" i="3"/>
  <c r="AC8" i="3"/>
  <c r="Z8" i="3"/>
  <c r="W8" i="3"/>
  <c r="T8" i="3"/>
  <c r="Q8" i="3"/>
  <c r="N8" i="3"/>
  <c r="K8" i="3"/>
  <c r="J8" i="3"/>
  <c r="H8" i="3"/>
  <c r="G8" i="3"/>
  <c r="AC7" i="3"/>
  <c r="Z7" i="3"/>
  <c r="W7" i="3"/>
  <c r="T7" i="3"/>
  <c r="Q7" i="3"/>
  <c r="K7" i="3"/>
  <c r="J7" i="3"/>
  <c r="N7" i="3" s="1"/>
  <c r="H7" i="3"/>
  <c r="G7" i="3"/>
  <c r="AL6" i="3"/>
  <c r="AL11" i="3" s="1"/>
  <c r="AJ11" i="3"/>
  <c r="AH11" i="3"/>
  <c r="AC6" i="3"/>
  <c r="AC10" i="3" s="1"/>
  <c r="AC11" i="3" s="1"/>
  <c r="W6" i="3"/>
  <c r="W10" i="3" s="1"/>
  <c r="W11" i="3" s="1"/>
  <c r="T6" i="3"/>
  <c r="T10" i="3" s="1"/>
  <c r="T11" i="3" s="1"/>
  <c r="Q6" i="3"/>
  <c r="Q10" i="3" s="1"/>
  <c r="Q11" i="3" s="1"/>
  <c r="M10" i="3"/>
  <c r="J6" i="3"/>
  <c r="K6" i="3" s="1"/>
  <c r="K10" i="3" s="1"/>
  <c r="K11" i="3" s="1"/>
  <c r="G6" i="3"/>
  <c r="G10" i="3" s="1"/>
  <c r="G11" i="3" s="1"/>
  <c r="Q22" i="4" l="1"/>
  <c r="T22" i="4"/>
  <c r="Z22" i="4"/>
  <c r="N22" i="4"/>
  <c r="AD22" i="4"/>
  <c r="AN16" i="4"/>
  <c r="M20" i="4"/>
  <c r="AN20" i="4" s="1"/>
  <c r="K22" i="4"/>
  <c r="M15" i="4"/>
  <c r="AN15" i="4" s="1"/>
  <c r="AN6" i="4"/>
  <c r="L22" i="4"/>
  <c r="AM20" i="4"/>
  <c r="AM22" i="4" s="1"/>
  <c r="AI18" i="3"/>
  <c r="AE18" i="3"/>
  <c r="T15" i="3"/>
  <c r="T16" i="3" s="1"/>
  <c r="O18" i="3"/>
  <c r="AD6" i="3"/>
  <c r="AD11" i="3" s="1"/>
  <c r="I18" i="3"/>
  <c r="AN6" i="3"/>
  <c r="M11" i="3"/>
  <c r="AN11" i="3" s="1"/>
  <c r="AC18" i="3"/>
  <c r="N15" i="3"/>
  <c r="N16" i="3" s="1"/>
  <c r="T18" i="3"/>
  <c r="X18" i="3"/>
  <c r="F18" i="3"/>
  <c r="W18" i="3"/>
  <c r="Q13" i="3"/>
  <c r="H6" i="3"/>
  <c r="H10" i="3" s="1"/>
  <c r="H11" i="3" s="1"/>
  <c r="N6" i="3"/>
  <c r="N10" i="3" s="1"/>
  <c r="N11" i="3" s="1"/>
  <c r="AM6" i="3"/>
  <c r="K12" i="3"/>
  <c r="K15" i="3" s="1"/>
  <c r="K16" i="3" s="1"/>
  <c r="K18" i="3" s="1"/>
  <c r="AD12" i="3"/>
  <c r="AD16" i="3" s="1"/>
  <c r="M15" i="3"/>
  <c r="L16" i="3"/>
  <c r="J10" i="3"/>
  <c r="J11" i="3" s="1"/>
  <c r="Z6" i="3"/>
  <c r="Z10" i="3" s="1"/>
  <c r="Z11" i="3" s="1"/>
  <c r="Z18" i="3" s="1"/>
  <c r="Q12" i="3"/>
  <c r="H12" i="3"/>
  <c r="H15" i="3" s="1"/>
  <c r="H16" i="3" s="1"/>
  <c r="P29" i="2"/>
  <c r="P27" i="2"/>
  <c r="P26" i="2"/>
  <c r="P25" i="2"/>
  <c r="AN22" i="4" l="1"/>
  <c r="Q15" i="3"/>
  <c r="Q16" i="3" s="1"/>
  <c r="Q18" i="3" s="1"/>
  <c r="AD18" i="3"/>
  <c r="AN12" i="3"/>
  <c r="M16" i="3"/>
  <c r="AN16" i="3" s="1"/>
  <c r="AN18" i="3" s="1"/>
  <c r="L18" i="3"/>
  <c r="AM16" i="3"/>
  <c r="AM18" i="3" s="1"/>
  <c r="N18" i="3"/>
  <c r="M13" i="2" l="1"/>
  <c r="M12" i="2"/>
  <c r="AL12" i="2"/>
  <c r="AJ12" i="2"/>
  <c r="AJ6" i="2"/>
  <c r="AH12" i="2"/>
  <c r="AH6" i="2"/>
  <c r="AE6" i="2" l="1"/>
  <c r="M6" i="2"/>
  <c r="J9" i="2"/>
  <c r="J7" i="2"/>
  <c r="P6" i="2" l="1"/>
  <c r="P13" i="2"/>
  <c r="O13" i="2"/>
  <c r="P12" i="2"/>
  <c r="O12" i="2"/>
  <c r="V12" i="2" l="1"/>
  <c r="V13" i="2"/>
  <c r="S13" i="2"/>
  <c r="AK16" i="2" l="1"/>
  <c r="AI16" i="2"/>
  <c r="AI18" i="2" s="1"/>
  <c r="AG16" i="2"/>
  <c r="AG18" i="2" s="1"/>
  <c r="AF16" i="2"/>
  <c r="AE16" i="2"/>
  <c r="AE18" i="2" s="1"/>
  <c r="AA16" i="2"/>
  <c r="Y16" i="2"/>
  <c r="I16" i="2"/>
  <c r="E16" i="2"/>
  <c r="AB15" i="2"/>
  <c r="AB16" i="2" s="1"/>
  <c r="AA15" i="2"/>
  <c r="Y15" i="2"/>
  <c r="X15" i="2"/>
  <c r="X16" i="2" s="1"/>
  <c r="X18" i="2" s="1"/>
  <c r="U15" i="2"/>
  <c r="U16" i="2" s="1"/>
  <c r="R15" i="2"/>
  <c r="R16" i="2" s="1"/>
  <c r="R18" i="2" s="1"/>
  <c r="L15" i="2"/>
  <c r="AM12" i="2" s="1"/>
  <c r="J15" i="2"/>
  <c r="J16" i="2" s="1"/>
  <c r="I15" i="2"/>
  <c r="F15" i="2"/>
  <c r="F16" i="2" s="1"/>
  <c r="F18" i="2" s="1"/>
  <c r="E15" i="2"/>
  <c r="AC14" i="2"/>
  <c r="Z14" i="2"/>
  <c r="W14" i="2"/>
  <c r="T14" i="2"/>
  <c r="Q14" i="2"/>
  <c r="K14" i="2"/>
  <c r="J14" i="2"/>
  <c r="N14" i="2" s="1"/>
  <c r="H14" i="2"/>
  <c r="G14" i="2"/>
  <c r="AC13" i="2"/>
  <c r="W13" i="2"/>
  <c r="T13" i="2"/>
  <c r="Z13" i="2"/>
  <c r="N13" i="2"/>
  <c r="K13" i="2"/>
  <c r="J13" i="2"/>
  <c r="H13" i="2"/>
  <c r="G13" i="2"/>
  <c r="AL16" i="2"/>
  <c r="AJ16" i="2"/>
  <c r="AH16" i="2"/>
  <c r="AE12" i="2"/>
  <c r="AC12" i="2"/>
  <c r="AC15" i="2" s="1"/>
  <c r="AC16" i="2" s="1"/>
  <c r="AC18" i="2" s="1"/>
  <c r="Z12" i="2"/>
  <c r="W12" i="2"/>
  <c r="S12" i="2"/>
  <c r="S15" i="2" s="1"/>
  <c r="S16" i="2" s="1"/>
  <c r="Q12" i="2"/>
  <c r="O15" i="2"/>
  <c r="O16" i="2" s="1"/>
  <c r="N12" i="2"/>
  <c r="M15" i="2"/>
  <c r="K12" i="2"/>
  <c r="K15" i="2" s="1"/>
  <c r="K16" i="2" s="1"/>
  <c r="J12" i="2"/>
  <c r="H12" i="2"/>
  <c r="H15" i="2" s="1"/>
  <c r="H16" i="2" s="1"/>
  <c r="G12" i="2"/>
  <c r="G15" i="2" s="1"/>
  <c r="G16" i="2" s="1"/>
  <c r="AL11" i="2"/>
  <c r="AK11" i="2"/>
  <c r="AJ11" i="2"/>
  <c r="AI11" i="2"/>
  <c r="AG11" i="2"/>
  <c r="AF11" i="2"/>
  <c r="AE11" i="2"/>
  <c r="AB11" i="2"/>
  <c r="X11" i="2"/>
  <c r="V11" i="2"/>
  <c r="R11" i="2"/>
  <c r="P11" i="2"/>
  <c r="F11" i="2"/>
  <c r="AB10" i="2"/>
  <c r="AA10" i="2"/>
  <c r="AA11" i="2" s="1"/>
  <c r="Y10" i="2"/>
  <c r="Y11" i="2" s="1"/>
  <c r="X10" i="2"/>
  <c r="V10" i="2"/>
  <c r="U10" i="2"/>
  <c r="U11" i="2" s="1"/>
  <c r="S10" i="2"/>
  <c r="S11" i="2" s="1"/>
  <c r="R10" i="2"/>
  <c r="P10" i="2"/>
  <c r="O10" i="2"/>
  <c r="O11" i="2" s="1"/>
  <c r="M10" i="2"/>
  <c r="M11" i="2" s="1"/>
  <c r="L10" i="2"/>
  <c r="L11" i="2" s="1"/>
  <c r="AM11" i="2" s="1"/>
  <c r="I10" i="2"/>
  <c r="I11" i="2" s="1"/>
  <c r="G10" i="2"/>
  <c r="G11" i="2" s="1"/>
  <c r="F10" i="2"/>
  <c r="E10" i="2"/>
  <c r="E11" i="2" s="1"/>
  <c r="AC9" i="2"/>
  <c r="Z9" i="2"/>
  <c r="W9" i="2"/>
  <c r="T9" i="2"/>
  <c r="Q9" i="2"/>
  <c r="N9" i="2"/>
  <c r="H9" i="2"/>
  <c r="G9" i="2"/>
  <c r="K9" i="2" s="1"/>
  <c r="AC8" i="2"/>
  <c r="Z8" i="2"/>
  <c r="W8" i="2"/>
  <c r="T8" i="2"/>
  <c r="Q8" i="2"/>
  <c r="K8" i="2"/>
  <c r="J8" i="2"/>
  <c r="N8" i="2" s="1"/>
  <c r="H8" i="2"/>
  <c r="G8" i="2"/>
  <c r="AC7" i="2"/>
  <c r="Z7" i="2"/>
  <c r="W7" i="2"/>
  <c r="T7" i="2"/>
  <c r="Q7" i="2"/>
  <c r="N7" i="2"/>
  <c r="K7" i="2"/>
  <c r="H7" i="2"/>
  <c r="G7" i="2"/>
  <c r="AM6" i="2"/>
  <c r="AL6" i="2"/>
  <c r="AH11" i="2"/>
  <c r="AD6" i="2"/>
  <c r="AD11" i="2" s="1"/>
  <c r="AC6" i="2"/>
  <c r="AC10" i="2" s="1"/>
  <c r="AC11" i="2" s="1"/>
  <c r="Z6" i="2"/>
  <c r="Z10" i="2" s="1"/>
  <c r="Z11" i="2" s="1"/>
  <c r="W6" i="2"/>
  <c r="W10" i="2" s="1"/>
  <c r="W11" i="2" s="1"/>
  <c r="T6" i="2"/>
  <c r="T10" i="2" s="1"/>
  <c r="T11" i="2" s="1"/>
  <c r="Q6" i="2"/>
  <c r="Q10" i="2" s="1"/>
  <c r="Q11" i="2" s="1"/>
  <c r="N6" i="2"/>
  <c r="K6" i="2"/>
  <c r="J6" i="2"/>
  <c r="J10" i="2" s="1"/>
  <c r="J11" i="2" s="1"/>
  <c r="H6" i="2"/>
  <c r="H10" i="2" s="1"/>
  <c r="H11" i="2" s="1"/>
  <c r="G6" i="2"/>
  <c r="N15" i="2" l="1"/>
  <c r="N16" i="2" s="1"/>
  <c r="AK18" i="2"/>
  <c r="N10" i="2"/>
  <c r="N11" i="2" s="1"/>
  <c r="N18" i="2" s="1"/>
  <c r="W15" i="2"/>
  <c r="W16" i="2" s="1"/>
  <c r="W18" i="2" s="1"/>
  <c r="I18" i="2"/>
  <c r="U18" i="2"/>
  <c r="K10" i="2"/>
  <c r="K11" i="2" s="1"/>
  <c r="K18" i="2" s="1"/>
  <c r="AN11" i="2"/>
  <c r="O18" i="2"/>
  <c r="Z15" i="2"/>
  <c r="Z16" i="2" s="1"/>
  <c r="Z18" i="2" s="1"/>
  <c r="AA18" i="2"/>
  <c r="M16" i="2"/>
  <c r="AN16" i="2" s="1"/>
  <c r="AN12" i="2"/>
  <c r="P15" i="2"/>
  <c r="P16" i="2" s="1"/>
  <c r="T12" i="2"/>
  <c r="T15" i="2" s="1"/>
  <c r="T16" i="2" s="1"/>
  <c r="T18" i="2" s="1"/>
  <c r="Q13" i="2"/>
  <c r="Q15" i="2" s="1"/>
  <c r="Q16" i="2" s="1"/>
  <c r="Q18" i="2" s="1"/>
  <c r="L16" i="2"/>
  <c r="AN6" i="2"/>
  <c r="V15" i="2"/>
  <c r="V16" i="2" s="1"/>
  <c r="AD12" i="2"/>
  <c r="AD16" i="2" s="1"/>
  <c r="AD18" i="2" s="1"/>
  <c r="AL12" i="1"/>
  <c r="AL6" i="1"/>
  <c r="AJ12" i="1"/>
  <c r="AJ6" i="1"/>
  <c r="AH6" i="1"/>
  <c r="AH12" i="1"/>
  <c r="AE12" i="1"/>
  <c r="AF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S12" i="1"/>
  <c r="S13" i="1"/>
  <c r="AN18" i="2" l="1"/>
  <c r="L18" i="2"/>
  <c r="AM16" i="2"/>
  <c r="AM18" i="2" s="1"/>
  <c r="M13" i="1"/>
  <c r="J6" i="1"/>
  <c r="J8" i="1"/>
  <c r="P13" i="1" l="1"/>
  <c r="O13" i="1"/>
  <c r="P12" i="1"/>
  <c r="P15" i="1" s="1"/>
  <c r="P16" i="1" s="1"/>
  <c r="O12" i="1"/>
  <c r="AK16" i="1"/>
  <c r="AI16" i="1"/>
  <c r="AG16" i="1"/>
  <c r="AF16" i="1"/>
  <c r="Y16" i="1"/>
  <c r="AB15" i="1"/>
  <c r="AB16" i="1" s="1"/>
  <c r="AA15" i="1"/>
  <c r="AA16" i="1" s="1"/>
  <c r="Y15" i="1"/>
  <c r="X15" i="1"/>
  <c r="X16" i="1" s="1"/>
  <c r="U15" i="1"/>
  <c r="U16" i="1" s="1"/>
  <c r="R15" i="1"/>
  <c r="R16" i="1" s="1"/>
  <c r="L15" i="1"/>
  <c r="AM12" i="1" s="1"/>
  <c r="I15" i="1"/>
  <c r="I16" i="1" s="1"/>
  <c r="F15" i="1"/>
  <c r="F16" i="1" s="1"/>
  <c r="E15" i="1"/>
  <c r="E16" i="1" s="1"/>
  <c r="AC14" i="1"/>
  <c r="Z14" i="1"/>
  <c r="W14" i="1"/>
  <c r="T14" i="1"/>
  <c r="Q14" i="1"/>
  <c r="J14" i="1"/>
  <c r="N14" i="1" s="1"/>
  <c r="G14" i="1"/>
  <c r="H14" i="1" s="1"/>
  <c r="AC13" i="1"/>
  <c r="W13" i="1"/>
  <c r="Q13" i="1"/>
  <c r="T13" i="1"/>
  <c r="J13" i="1"/>
  <c r="G13" i="1"/>
  <c r="H13" i="1" s="1"/>
  <c r="AL16" i="1"/>
  <c r="AJ16" i="1"/>
  <c r="AH16" i="1"/>
  <c r="AE16" i="1"/>
  <c r="AC12" i="1"/>
  <c r="V12" i="1"/>
  <c r="W12" i="1" s="1"/>
  <c r="S15" i="1"/>
  <c r="S16" i="1" s="1"/>
  <c r="M12" i="1"/>
  <c r="J12" i="1"/>
  <c r="G12" i="1"/>
  <c r="G15" i="1" s="1"/>
  <c r="G16" i="1" s="1"/>
  <c r="AK11" i="1"/>
  <c r="AI11" i="1"/>
  <c r="AG11" i="1"/>
  <c r="AB10" i="1"/>
  <c r="AA10" i="1"/>
  <c r="Y10" i="1"/>
  <c r="X10" i="1"/>
  <c r="V10" i="1"/>
  <c r="U10" i="1"/>
  <c r="S10" i="1"/>
  <c r="R10" i="1"/>
  <c r="P10" i="1"/>
  <c r="O10" i="1"/>
  <c r="M10" i="1"/>
  <c r="L10" i="1"/>
  <c r="AM6" i="1" s="1"/>
  <c r="F10" i="1"/>
  <c r="E10" i="1"/>
  <c r="AC9" i="1"/>
  <c r="Z9" i="1"/>
  <c r="W9" i="1"/>
  <c r="T9" i="1"/>
  <c r="Q9" i="1"/>
  <c r="N9" i="1"/>
  <c r="G9" i="1"/>
  <c r="K9" i="1" s="1"/>
  <c r="AC8" i="1"/>
  <c r="Z8" i="1"/>
  <c r="W8" i="1"/>
  <c r="T8" i="1"/>
  <c r="Q8" i="1"/>
  <c r="J10" i="1"/>
  <c r="I10" i="1"/>
  <c r="G8" i="1"/>
  <c r="H8" i="1" s="1"/>
  <c r="AC7" i="1"/>
  <c r="Z7" i="1"/>
  <c r="W7" i="1"/>
  <c r="T7" i="1"/>
  <c r="Q7" i="1"/>
  <c r="N7" i="1"/>
  <c r="J7" i="1"/>
  <c r="G7" i="1"/>
  <c r="K7" i="1" s="1"/>
  <c r="AJ11" i="1"/>
  <c r="AC6" i="1"/>
  <c r="Z6" i="1"/>
  <c r="W6" i="1"/>
  <c r="T6" i="1"/>
  <c r="Q6" i="1"/>
  <c r="N6" i="1"/>
  <c r="G6" i="1"/>
  <c r="G10" i="1" s="1"/>
  <c r="AH11" i="1"/>
  <c r="AE11" i="1"/>
  <c r="AL11" i="1"/>
  <c r="V15" i="1" l="1"/>
  <c r="V16" i="1" s="1"/>
  <c r="Q10" i="1"/>
  <c r="AN6" i="1"/>
  <c r="Z12" i="1"/>
  <c r="O15" i="1"/>
  <c r="O16" i="1" s="1"/>
  <c r="J15" i="1"/>
  <c r="J16" i="1" s="1"/>
  <c r="K13" i="1"/>
  <c r="K14" i="1"/>
  <c r="AC10" i="1"/>
  <c r="N13" i="1"/>
  <c r="H6" i="1"/>
  <c r="H7" i="1"/>
  <c r="Z10" i="1"/>
  <c r="AC15" i="1"/>
  <c r="AC16" i="1" s="1"/>
  <c r="K6" i="1"/>
  <c r="W10" i="1"/>
  <c r="N12" i="1"/>
  <c r="N15" i="1" s="1"/>
  <c r="N16" i="1" s="1"/>
  <c r="T12" i="1"/>
  <c r="T15" i="1" s="1"/>
  <c r="T16" i="1" s="1"/>
  <c r="AI18" i="1"/>
  <c r="AG18" i="1"/>
  <c r="T10" i="1"/>
  <c r="AK18" i="1"/>
  <c r="W15" i="1"/>
  <c r="W16" i="1" s="1"/>
  <c r="X18" i="1"/>
  <c r="U18" i="1"/>
  <c r="AA18" i="1"/>
  <c r="O18" i="1"/>
  <c r="F18" i="1"/>
  <c r="R18" i="1"/>
  <c r="I18" i="1"/>
  <c r="AE18" i="1"/>
  <c r="AC18" i="1"/>
  <c r="AD6" i="1"/>
  <c r="K8" i="1"/>
  <c r="H9" i="1"/>
  <c r="AM11" i="1"/>
  <c r="K12" i="1"/>
  <c r="K15" i="1" s="1"/>
  <c r="K16" i="1" s="1"/>
  <c r="AD12" i="1"/>
  <c r="AD16" i="1" s="1"/>
  <c r="Z13" i="1"/>
  <c r="Z15" i="1" s="1"/>
  <c r="Z16" i="1" s="1"/>
  <c r="M15" i="1"/>
  <c r="L16" i="1"/>
  <c r="N8" i="1"/>
  <c r="N10" i="1" s="1"/>
  <c r="Q12" i="1"/>
  <c r="Q15" i="1" s="1"/>
  <c r="Q16" i="1" s="1"/>
  <c r="H12" i="1"/>
  <c r="H15" i="1" s="1"/>
  <c r="H16" i="1" s="1"/>
  <c r="N18" i="1" l="1"/>
  <c r="H10" i="1"/>
  <c r="K10" i="1"/>
  <c r="K18" i="1" s="1"/>
  <c r="W18" i="1"/>
  <c r="Q18" i="1"/>
  <c r="Z18" i="1"/>
  <c r="AD11" i="1"/>
  <c r="AD18" i="1" s="1"/>
  <c r="AN11" i="1"/>
  <c r="L18" i="1"/>
  <c r="AM16" i="1"/>
  <c r="AM18" i="1" s="1"/>
  <c r="T18" i="1"/>
  <c r="AN12" i="1"/>
  <c r="M16" i="1"/>
  <c r="AN16" i="1" s="1"/>
  <c r="AN18" i="1" l="1"/>
</calcChain>
</file>

<file path=xl/sharedStrings.xml><?xml version="1.0" encoding="utf-8"?>
<sst xmlns="http://schemas.openxmlformats.org/spreadsheetml/2006/main" count="2656" uniqueCount="76">
  <si>
    <t>DAILY PRODUCTION REPORT UNIT-1</t>
  </si>
  <si>
    <t>Date:</t>
  </si>
  <si>
    <t>Day</t>
  </si>
  <si>
    <t xml:space="preserve">        </t>
  </si>
  <si>
    <t xml:space="preserve">   </t>
  </si>
  <si>
    <t xml:space="preserve"> </t>
  </si>
  <si>
    <t>Batch</t>
  </si>
  <si>
    <t>Style</t>
  </si>
  <si>
    <t>BUYER</t>
  </si>
  <si>
    <t>COLOR</t>
  </si>
  <si>
    <t>Order qty</t>
  </si>
  <si>
    <t>CUTTING</t>
  </si>
  <si>
    <t>LOADING</t>
  </si>
  <si>
    <t>PRODUCTION</t>
  </si>
  <si>
    <t>DESPATCH</t>
  </si>
  <si>
    <t>SENT FOR WASHING</t>
  </si>
  <si>
    <t>REC FROM WASHING</t>
  </si>
  <si>
    <t>CHECKING</t>
  </si>
  <si>
    <t>PACKING</t>
  </si>
  <si>
    <t>TOTAL PROD.N</t>
  </si>
  <si>
    <t>SAM</t>
  </si>
  <si>
    <t>TAILORS</t>
  </si>
  <si>
    <t>HELPERS</t>
  </si>
  <si>
    <t>IRONERS</t>
  </si>
  <si>
    <t>EFFICIENCY</t>
  </si>
  <si>
    <t>REMARKS</t>
  </si>
  <si>
    <t>Today</t>
  </si>
  <si>
    <t>Total</t>
  </si>
  <si>
    <t>Bal</t>
  </si>
  <si>
    <t>Today Prod</t>
  </si>
  <si>
    <t>Total Prod</t>
  </si>
  <si>
    <t>BAL</t>
  </si>
  <si>
    <t>B</t>
  </si>
  <si>
    <t>BLACK</t>
  </si>
  <si>
    <t>TOTAL</t>
  </si>
  <si>
    <t>STONE</t>
  </si>
  <si>
    <t>TRS-23500</t>
  </si>
  <si>
    <t>TBASE CHINO SHORTS</t>
  </si>
  <si>
    <t>CAMEL</t>
  </si>
  <si>
    <t>RIFLE GREEN</t>
  </si>
  <si>
    <t>GRAND TOTAL</t>
  </si>
  <si>
    <t>TRS-23542</t>
  </si>
  <si>
    <t>MIDNIGHT NAVY</t>
  </si>
  <si>
    <t>TRS-23536</t>
  </si>
  <si>
    <t>BLUE NIGHT</t>
  </si>
  <si>
    <t>TRS-23541</t>
  </si>
  <si>
    <t>PALE GREEN</t>
  </si>
  <si>
    <t>Today Total</t>
  </si>
  <si>
    <t>Friday</t>
  </si>
  <si>
    <t>A</t>
  </si>
  <si>
    <t>Saturday</t>
  </si>
  <si>
    <t>Monday</t>
  </si>
  <si>
    <t>Tuesday</t>
  </si>
  <si>
    <t>STONE BLUE</t>
  </si>
  <si>
    <t>Wednesday</t>
  </si>
  <si>
    <t>TRS-23600</t>
  </si>
  <si>
    <t>Thursday</t>
  </si>
  <si>
    <t>TRS-23599</t>
  </si>
  <si>
    <t>DUFFEL BAG GREEN</t>
  </si>
  <si>
    <t>KHAKI</t>
  </si>
  <si>
    <t>NAVY</t>
  </si>
  <si>
    <t>BEIGHE</t>
  </si>
  <si>
    <t>MASSIF</t>
  </si>
  <si>
    <t>TBASE CHINO PANT</t>
  </si>
  <si>
    <t>LIGHT SAGE</t>
  </si>
  <si>
    <t>IVY OLIVE</t>
  </si>
  <si>
    <t>OYESTER BEIGE</t>
  </si>
  <si>
    <t>BRONZE</t>
  </si>
  <si>
    <t>OLIVE NIGHT</t>
  </si>
  <si>
    <t>TRS-23506</t>
  </si>
  <si>
    <t>CALLA GREEN</t>
  </si>
  <si>
    <t>TRC-23574</t>
  </si>
  <si>
    <t>TBASE ZIPP OFF CARGO PANT</t>
  </si>
  <si>
    <t>LIGHT OLIVE</t>
  </si>
  <si>
    <t>DARK WHISKEY</t>
  </si>
  <si>
    <t>SMOKE 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</si>
</sst>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name val="Century Gothic"/>
      <family val="2"/>
    </font>
    <font>
      <sz val="12"/>
      <color theme="1"/>
      <name val="Century Gothic"/>
      <family val="2"/>
    </font>
    <font>
      <b/>
      <sz val="12"/>
      <name val="Century Gothic"/>
      <family val="2"/>
    </font>
    <font>
      <b/>
      <sz val="12"/>
      <color theme="1"/>
      <name val="Century Gothic"/>
      <family val="2"/>
    </font>
    <font>
      <b/>
      <sz val="12"/>
      <color theme="0"/>
      <name val="Century Gothic"/>
      <family val="2"/>
    </font>
    <font>
      <sz val="12"/>
      <name val="Century Gothic"/>
      <family val="2"/>
    </font>
    <font>
      <sz val="14"/>
      <color theme="1"/>
      <name val="Calibri"/>
      <family val="2"/>
      <scheme val="minor"/>
    </font>
    <font>
      <sz val="12"/>
      <color rgb="FFFF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3" fillId="0" borderId="0" xfId="0" applyFont="1" applyAlignment="1">
      <alignment horizontal="center" vertical="center" wrapText="1"/>
    </xf>
    <xf numFmtId="16" fontId="4" fillId="0" borderId="2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2" fontId="3" fillId="3" borderId="8" xfId="0" applyNumberFormat="1" applyFont="1" applyFill="1" applyBorder="1" applyAlignment="1">
      <alignment horizontal="center" vertical="center" wrapText="1"/>
    </xf>
    <xf numFmtId="9" fontId="3" fillId="3" borderId="9" xfId="1" applyFont="1" applyFill="1" applyBorder="1" applyAlignment="1">
      <alignment horizontal="center" vertical="center" wrapText="1"/>
    </xf>
    <xf numFmtId="9" fontId="3" fillId="3" borderId="18" xfId="1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 wrapText="1"/>
    </xf>
    <xf numFmtId="2" fontId="3" fillId="3" borderId="43" xfId="0" applyNumberFormat="1" applyFont="1" applyFill="1" applyBorder="1" applyAlignment="1">
      <alignment horizontal="center" vertical="center" wrapText="1"/>
    </xf>
    <xf numFmtId="9" fontId="3" fillId="3" borderId="29" xfId="1" applyFont="1" applyFill="1" applyBorder="1" applyAlignment="1">
      <alignment horizontal="center" vertical="center" wrapText="1"/>
    </xf>
    <xf numFmtId="9" fontId="3" fillId="3" borderId="16" xfId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47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48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9" fontId="4" fillId="5" borderId="17" xfId="1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 wrapText="1" inden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9" fontId="7" fillId="0" borderId="27" xfId="1" applyFont="1" applyBorder="1" applyAlignment="1">
      <alignment horizontal="center" vertical="center" wrapText="1"/>
    </xf>
    <xf numFmtId="9" fontId="7" fillId="0" borderId="14" xfId="1" applyFont="1" applyBorder="1" applyAlignment="1">
      <alignment horizontal="center" vertical="center" wrapText="1"/>
    </xf>
    <xf numFmtId="9" fontId="9" fillId="0" borderId="27" xfId="1" applyFont="1" applyBorder="1" applyAlignment="1">
      <alignment horizontal="center" vertical="center" wrapText="1"/>
    </xf>
    <xf numFmtId="9" fontId="9" fillId="0" borderId="14" xfId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 wrapText="1"/>
    </xf>
    <xf numFmtId="2" fontId="3" fillId="0" borderId="14" xfId="0" applyNumberFormat="1" applyFont="1" applyBorder="1" applyAlignment="1">
      <alignment horizontal="center" vertical="center" wrapText="1"/>
    </xf>
    <xf numFmtId="9" fontId="7" fillId="0" borderId="6" xfId="1" applyFont="1" applyBorder="1" applyAlignment="1">
      <alignment horizontal="center" vertical="center" wrapText="1"/>
    </xf>
    <xf numFmtId="9" fontId="9" fillId="0" borderId="6" xfId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12" sqref="A12:A16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27" style="1" bestFit="1" customWidth="1"/>
    <col min="4" max="4" width="26.85546875" style="1" customWidth="1"/>
    <col min="5" max="5" width="11.5703125" style="1" bestFit="1" customWidth="1"/>
    <col min="6" max="6" width="8.140625" style="1" bestFit="1" customWidth="1"/>
    <col min="7" max="7" width="7.7109375" style="1" bestFit="1" customWidth="1"/>
    <col min="8" max="8" width="7.42578125" style="1" bestFit="1" customWidth="1"/>
    <col min="9" max="9" width="8.140625" style="1" bestFit="1" customWidth="1"/>
    <col min="10" max="10" width="7.7109375" style="1" bestFit="1" customWidth="1"/>
    <col min="11" max="11" width="7.42578125" style="1" bestFit="1" customWidth="1"/>
    <col min="12" max="12" width="8.140625" style="1" customWidth="1"/>
    <col min="13" max="13" width="7.7109375" style="1" bestFit="1" customWidth="1"/>
    <col min="14" max="14" width="7.42578125" style="1" customWidth="1"/>
    <col min="15" max="15" width="7.85546875" style="72" customWidth="1"/>
    <col min="16" max="16" width="7.7109375" style="1" bestFit="1" customWidth="1"/>
    <col min="17" max="17" width="6.140625" style="1" bestFit="1" customWidth="1"/>
    <col min="18" max="18" width="7.85546875" style="1" customWidth="1"/>
    <col min="19" max="19" width="7.7109375" style="1" bestFit="1" customWidth="1"/>
    <col min="20" max="20" width="7.42578125" style="1" bestFit="1" customWidth="1"/>
    <col min="21" max="21" width="10.140625" style="1" customWidth="1"/>
    <col min="22" max="22" width="7.7109375" style="1" bestFit="1" customWidth="1"/>
    <col min="23" max="23" width="6.140625" style="1" bestFit="1" customWidth="1"/>
    <col min="24" max="24" width="7.85546875" style="1" bestFit="1" customWidth="1"/>
    <col min="25" max="25" width="7.7109375" style="1" bestFit="1" customWidth="1"/>
    <col min="26" max="26" width="7.42578125" style="1" bestFit="1" customWidth="1"/>
    <col min="27" max="27" width="8.140625" style="1" customWidth="1"/>
    <col min="28" max="28" width="7.7109375" style="1" bestFit="1" customWidth="1"/>
    <col min="29" max="29" width="5.42578125" style="1" bestFit="1" customWidth="1"/>
    <col min="30" max="30" width="8.140625" style="1" bestFit="1" customWidth="1"/>
    <col min="31" max="31" width="7.710937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45352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48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7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8" t="s">
        <v>26</v>
      </c>
      <c r="G5" s="9" t="s">
        <v>27</v>
      </c>
      <c r="H5" s="10" t="s">
        <v>28</v>
      </c>
      <c r="I5" s="7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12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7" t="s">
        <v>26</v>
      </c>
      <c r="AE5" s="9" t="s">
        <v>27</v>
      </c>
      <c r="AF5" s="8" t="s">
        <v>26</v>
      </c>
      <c r="AG5" s="8" t="s">
        <v>26</v>
      </c>
      <c r="AH5" s="9" t="s">
        <v>27</v>
      </c>
      <c r="AI5" s="8" t="s">
        <v>26</v>
      </c>
      <c r="AJ5" s="15" t="s">
        <v>27</v>
      </c>
      <c r="AK5" s="8" t="s">
        <v>26</v>
      </c>
      <c r="AL5" s="9" t="s">
        <v>27</v>
      </c>
      <c r="AM5" s="7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78" t="s">
        <v>36</v>
      </c>
      <c r="C6" s="280" t="s">
        <v>37</v>
      </c>
      <c r="D6" s="16" t="s">
        <v>38</v>
      </c>
      <c r="E6" s="17">
        <v>680</v>
      </c>
      <c r="F6" s="17"/>
      <c r="G6" s="17">
        <f>680</f>
        <v>680</v>
      </c>
      <c r="H6" s="17">
        <f t="shared" ref="H6:H9" si="0">G6-E6</f>
        <v>0</v>
      </c>
      <c r="I6" s="17">
        <v>252</v>
      </c>
      <c r="J6" s="17">
        <f>428+252</f>
        <v>680</v>
      </c>
      <c r="K6" s="17">
        <f t="shared" ref="K6:K9" si="1">J6-G6</f>
        <v>0</v>
      </c>
      <c r="L6" s="17"/>
      <c r="M6" s="17"/>
      <c r="N6" s="17">
        <f t="shared" ref="N6:N9" si="2">M6-J6</f>
        <v>-680</v>
      </c>
      <c r="O6" s="17"/>
      <c r="P6" s="17"/>
      <c r="Q6" s="17">
        <f t="shared" ref="Q6:Q9" si="3">P6-M6</f>
        <v>0</v>
      </c>
      <c r="R6" s="18"/>
      <c r="S6" s="18"/>
      <c r="T6" s="18">
        <f t="shared" ref="T6:T9" si="4">S6-P6</f>
        <v>0</v>
      </c>
      <c r="U6" s="18"/>
      <c r="V6" s="18"/>
      <c r="W6" s="18">
        <f t="shared" ref="W6:W9" si="5">V6-S6</f>
        <v>0</v>
      </c>
      <c r="X6" s="17"/>
      <c r="Y6" s="17"/>
      <c r="Z6" s="17">
        <f t="shared" ref="Z6:Z9" si="6">Y6-P6</f>
        <v>0</v>
      </c>
      <c r="AA6" s="17"/>
      <c r="AB6" s="17"/>
      <c r="AC6" s="19">
        <f t="shared" ref="AC6:AC9" si="7">AB6-Y6</f>
        <v>0</v>
      </c>
      <c r="AD6" s="267">
        <f>L10</f>
        <v>0</v>
      </c>
      <c r="AE6" s="267"/>
      <c r="AF6" s="282">
        <v>24.192</v>
      </c>
      <c r="AG6" s="267">
        <v>10</v>
      </c>
      <c r="AH6" s="277">
        <f>6+8+6+10+10</f>
        <v>40</v>
      </c>
      <c r="AI6" s="267">
        <v>3</v>
      </c>
      <c r="AJ6" s="277">
        <f>1+2+2+2+3</f>
        <v>10</v>
      </c>
      <c r="AK6" s="267">
        <v>1</v>
      </c>
      <c r="AL6" s="277">
        <f>1+1+1+1</f>
        <v>4</v>
      </c>
      <c r="AM6" s="270">
        <f>L10*AF6/480/AG6</f>
        <v>0</v>
      </c>
      <c r="AN6" s="270">
        <f>M10*AF6/480/AH6</f>
        <v>0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</f>
        <v>425</v>
      </c>
      <c r="K7" s="20">
        <f t="shared" si="1"/>
        <v>-174</v>
      </c>
      <c r="L7" s="20"/>
      <c r="M7" s="20"/>
      <c r="N7" s="20">
        <f t="shared" si="2"/>
        <v>-425</v>
      </c>
      <c r="O7" s="20"/>
      <c r="P7" s="20"/>
      <c r="Q7" s="20">
        <f t="shared" si="3"/>
        <v>0</v>
      </c>
      <c r="R7" s="20"/>
      <c r="S7" s="20"/>
      <c r="T7" s="20">
        <f t="shared" si="4"/>
        <v>0</v>
      </c>
      <c r="U7" s="20"/>
      <c r="V7" s="20"/>
      <c r="W7" s="20">
        <f t="shared" si="5"/>
        <v>0</v>
      </c>
      <c r="X7" s="20"/>
      <c r="Y7" s="20"/>
      <c r="Z7" s="20">
        <f t="shared" si="6"/>
        <v>0</v>
      </c>
      <c r="AA7" s="20"/>
      <c r="AB7" s="20"/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>
        <v>173</v>
      </c>
      <c r="J8" s="20">
        <f>73+431+173</f>
        <v>677</v>
      </c>
      <c r="K8" s="20">
        <f t="shared" si="1"/>
        <v>0</v>
      </c>
      <c r="L8" s="20"/>
      <c r="M8" s="20"/>
      <c r="N8" s="20">
        <f t="shared" si="2"/>
        <v>-677</v>
      </c>
      <c r="O8" s="20"/>
      <c r="P8" s="20"/>
      <c r="Q8" s="20">
        <f t="shared" si="3"/>
        <v>0</v>
      </c>
      <c r="R8" s="20"/>
      <c r="S8" s="20"/>
      <c r="T8" s="20">
        <f t="shared" si="4"/>
        <v>0</v>
      </c>
      <c r="U8" s="20"/>
      <c r="V8" s="20"/>
      <c r="W8" s="20">
        <f t="shared" si="5"/>
        <v>0</v>
      </c>
      <c r="X8" s="20"/>
      <c r="Y8" s="20"/>
      <c r="Z8" s="20">
        <f t="shared" si="6"/>
        <v>0</v>
      </c>
      <c r="AA8" s="20"/>
      <c r="AB8" s="20"/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ht="18" thickBot="1" x14ac:dyDescent="0.3">
      <c r="A9" s="283"/>
      <c r="B9" s="279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/>
      <c r="K9" s="20">
        <f t="shared" si="1"/>
        <v>-106</v>
      </c>
      <c r="L9" s="20"/>
      <c r="M9" s="20"/>
      <c r="N9" s="20">
        <f t="shared" si="2"/>
        <v>0</v>
      </c>
      <c r="O9" s="20"/>
      <c r="P9" s="20"/>
      <c r="Q9" s="20">
        <f t="shared" si="3"/>
        <v>0</v>
      </c>
      <c r="R9" s="22"/>
      <c r="S9" s="22"/>
      <c r="T9" s="22">
        <f t="shared" si="4"/>
        <v>0</v>
      </c>
      <c r="U9" s="22"/>
      <c r="V9" s="22"/>
      <c r="W9" s="22">
        <f t="shared" si="5"/>
        <v>0</v>
      </c>
      <c r="X9" s="20"/>
      <c r="Y9" s="20"/>
      <c r="Z9" s="20">
        <f t="shared" si="6"/>
        <v>0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ht="18" thickBot="1" x14ac:dyDescent="0.3">
      <c r="A10" s="283"/>
      <c r="B10" s="272" t="s">
        <v>34</v>
      </c>
      <c r="C10" s="273"/>
      <c r="D10" s="274"/>
      <c r="E10" s="23">
        <f>+SUM(E6:E9)</f>
        <v>2062</v>
      </c>
      <c r="F10" s="23">
        <f>+SUM(F6:F9)</f>
        <v>0</v>
      </c>
      <c r="G10" s="23">
        <f>SUM(G6:G9)</f>
        <v>2062</v>
      </c>
      <c r="H10" s="23">
        <f t="shared" ref="H10:AC10" si="8">+SUM(H6:H9)</f>
        <v>0</v>
      </c>
      <c r="I10" s="23">
        <f t="shared" si="8"/>
        <v>425</v>
      </c>
      <c r="J10" s="23">
        <f t="shared" si="8"/>
        <v>1782</v>
      </c>
      <c r="K10" s="23">
        <f t="shared" si="8"/>
        <v>-280</v>
      </c>
      <c r="L10" s="23">
        <f t="shared" si="8"/>
        <v>0</v>
      </c>
      <c r="M10" s="23">
        <f t="shared" si="8"/>
        <v>0</v>
      </c>
      <c r="N10" s="23">
        <f t="shared" si="8"/>
        <v>-1782</v>
      </c>
      <c r="O10" s="23">
        <f t="shared" si="8"/>
        <v>0</v>
      </c>
      <c r="P10" s="23">
        <f t="shared" si="8"/>
        <v>0</v>
      </c>
      <c r="Q10" s="23">
        <f t="shared" si="8"/>
        <v>0</v>
      </c>
      <c r="R10" s="24">
        <f t="shared" si="8"/>
        <v>0</v>
      </c>
      <c r="S10" s="24">
        <f t="shared" si="8"/>
        <v>0</v>
      </c>
      <c r="T10" s="24">
        <f t="shared" si="8"/>
        <v>0</v>
      </c>
      <c r="U10" s="24">
        <f t="shared" si="8"/>
        <v>0</v>
      </c>
      <c r="V10" s="24">
        <f t="shared" si="8"/>
        <v>0</v>
      </c>
      <c r="W10" s="24">
        <f t="shared" si="8"/>
        <v>0</v>
      </c>
      <c r="X10" s="23">
        <f t="shared" si="8"/>
        <v>0</v>
      </c>
      <c r="Y10" s="23">
        <f t="shared" si="8"/>
        <v>0</v>
      </c>
      <c r="Z10" s="23">
        <f t="shared" si="8"/>
        <v>0</v>
      </c>
      <c r="AA10" s="23">
        <f t="shared" si="8"/>
        <v>0</v>
      </c>
      <c r="AB10" s="23">
        <f t="shared" si="8"/>
        <v>0</v>
      </c>
      <c r="AC10" s="15">
        <f t="shared" si="8"/>
        <v>0</v>
      </c>
      <c r="AD10" s="264"/>
      <c r="AE10" s="264"/>
      <c r="AF10" s="269"/>
      <c r="AG10" s="264"/>
      <c r="AH10" s="262"/>
      <c r="AI10" s="264"/>
      <c r="AJ10" s="262"/>
      <c r="AK10" s="264"/>
      <c r="AL10" s="262"/>
      <c r="AM10" s="250"/>
      <c r="AN10" s="250"/>
      <c r="AO10" s="252"/>
    </row>
    <row r="11" spans="1:41" ht="18" thickBot="1" x14ac:dyDescent="0.3">
      <c r="A11" s="284"/>
      <c r="B11" s="275" t="s">
        <v>40</v>
      </c>
      <c r="C11" s="275"/>
      <c r="D11" s="276"/>
      <c r="E11" s="26">
        <f>E10</f>
        <v>2062</v>
      </c>
      <c r="F11" s="26">
        <f t="shared" ref="F11:AC11" si="9">F10</f>
        <v>0</v>
      </c>
      <c r="G11" s="26">
        <f t="shared" si="9"/>
        <v>2062</v>
      </c>
      <c r="H11" s="26">
        <f t="shared" si="9"/>
        <v>0</v>
      </c>
      <c r="I11" s="26">
        <f t="shared" si="9"/>
        <v>425</v>
      </c>
      <c r="J11" s="26">
        <f t="shared" si="9"/>
        <v>1782</v>
      </c>
      <c r="K11" s="26">
        <f t="shared" si="9"/>
        <v>-280</v>
      </c>
      <c r="L11" s="26">
        <f t="shared" si="9"/>
        <v>0</v>
      </c>
      <c r="M11" s="26">
        <f t="shared" si="9"/>
        <v>0</v>
      </c>
      <c r="N11" s="26">
        <f t="shared" si="9"/>
        <v>-1782</v>
      </c>
      <c r="O11" s="26">
        <f t="shared" si="9"/>
        <v>0</v>
      </c>
      <c r="P11" s="26">
        <f t="shared" si="9"/>
        <v>0</v>
      </c>
      <c r="Q11" s="26">
        <f t="shared" si="9"/>
        <v>0</v>
      </c>
      <c r="R11" s="26">
        <f t="shared" si="9"/>
        <v>0</v>
      </c>
      <c r="S11" s="26">
        <f t="shared" si="9"/>
        <v>0</v>
      </c>
      <c r="T11" s="26">
        <f t="shared" si="9"/>
        <v>0</v>
      </c>
      <c r="U11" s="26">
        <f t="shared" si="9"/>
        <v>0</v>
      </c>
      <c r="V11" s="26">
        <f t="shared" si="9"/>
        <v>0</v>
      </c>
      <c r="W11" s="26">
        <f t="shared" si="9"/>
        <v>0</v>
      </c>
      <c r="X11" s="26">
        <f t="shared" si="9"/>
        <v>0</v>
      </c>
      <c r="Y11" s="26">
        <f t="shared" si="9"/>
        <v>0</v>
      </c>
      <c r="Z11" s="26">
        <f t="shared" si="9"/>
        <v>0</v>
      </c>
      <c r="AA11" s="26">
        <f t="shared" si="9"/>
        <v>0</v>
      </c>
      <c r="AB11" s="26">
        <f t="shared" si="9"/>
        <v>0</v>
      </c>
      <c r="AC11" s="26">
        <f t="shared" si="9"/>
        <v>0</v>
      </c>
      <c r="AD11" s="27">
        <f t="shared" ref="AD11:AL11" si="10">SUM(AD6:AD10)</f>
        <v>0</v>
      </c>
      <c r="AE11" s="27">
        <f t="shared" si="10"/>
        <v>0</v>
      </c>
      <c r="AF11" s="28">
        <f t="shared" si="10"/>
        <v>24.192</v>
      </c>
      <c r="AG11" s="27">
        <f t="shared" si="10"/>
        <v>10</v>
      </c>
      <c r="AH11" s="27">
        <f t="shared" si="10"/>
        <v>40</v>
      </c>
      <c r="AI11" s="27">
        <f t="shared" si="10"/>
        <v>3</v>
      </c>
      <c r="AJ11" s="27">
        <f t="shared" si="10"/>
        <v>10</v>
      </c>
      <c r="AK11" s="27">
        <f t="shared" si="10"/>
        <v>1</v>
      </c>
      <c r="AL11" s="27">
        <f t="shared" si="10"/>
        <v>4</v>
      </c>
      <c r="AM11" s="29">
        <f>L11*AF11/480/AG11</f>
        <v>0</v>
      </c>
      <c r="AN11" s="30">
        <f>M11*AF11/480/AH11</f>
        <v>0</v>
      </c>
      <c r="AO11" s="31"/>
    </row>
    <row r="12" spans="1:41" ht="18.75" customHeight="1" x14ac:dyDescent="0.25">
      <c r="A12" s="265" t="s">
        <v>32</v>
      </c>
      <c r="B12" s="32" t="s">
        <v>41</v>
      </c>
      <c r="C12" s="33" t="s">
        <v>37</v>
      </c>
      <c r="D12" s="34" t="s">
        <v>42</v>
      </c>
      <c r="E12" s="17">
        <v>1645</v>
      </c>
      <c r="F12" s="17"/>
      <c r="G12" s="17">
        <f>1433</f>
        <v>1433</v>
      </c>
      <c r="H12" s="17">
        <f t="shared" ref="H12:H14" si="11">G12-E12</f>
        <v>-212</v>
      </c>
      <c r="I12" s="17"/>
      <c r="J12" s="17">
        <f>100+200+300+350+400+83</f>
        <v>1433</v>
      </c>
      <c r="K12" s="17">
        <f t="shared" ref="K12:K14" si="12">J12-G12</f>
        <v>0</v>
      </c>
      <c r="L12" s="17"/>
      <c r="M12" s="17">
        <f>102+201+302+351</f>
        <v>956</v>
      </c>
      <c r="N12" s="17">
        <f t="shared" ref="N12:N14" si="13">M12-J12</f>
        <v>-477</v>
      </c>
      <c r="O12" s="17">
        <f>383-271</f>
        <v>112</v>
      </c>
      <c r="P12" s="17">
        <f>108+163+112</f>
        <v>383</v>
      </c>
      <c r="Q12" s="17">
        <f t="shared" ref="Q12:Q14" si="14">P12-M12</f>
        <v>-573</v>
      </c>
      <c r="R12" s="17">
        <v>200</v>
      </c>
      <c r="S12" s="17">
        <f>20+130+200</f>
        <v>350</v>
      </c>
      <c r="T12" s="35">
        <f t="shared" ref="T12:T14" si="15">S12-P12</f>
        <v>-33</v>
      </c>
      <c r="U12" s="17"/>
      <c r="V12" s="17">
        <f>20</f>
        <v>20</v>
      </c>
      <c r="W12" s="35">
        <f t="shared" ref="W12:W14" si="16">V12-S12</f>
        <v>-330</v>
      </c>
      <c r="X12" s="17"/>
      <c r="Y12" s="17"/>
      <c r="Z12" s="17">
        <f t="shared" ref="Z12:Z14" si="17">Y12-P12</f>
        <v>-383</v>
      </c>
      <c r="AA12" s="17"/>
      <c r="AB12" s="17"/>
      <c r="AC12" s="33">
        <f t="shared" ref="AC12:AC14" si="18">AB12-Y12</f>
        <v>0</v>
      </c>
      <c r="AD12" s="267">
        <f>L15</f>
        <v>300</v>
      </c>
      <c r="AE12" s="263">
        <f>300</f>
        <v>300</v>
      </c>
      <c r="AF12" s="268">
        <v>33.130000000000003</v>
      </c>
      <c r="AG12" s="263">
        <v>21</v>
      </c>
      <c r="AH12" s="261">
        <f>2+10+8+8+8+6+6+6+9+5+6+8+7+7+6+6+6+6+6+6+7+7+7+7+6+7+17+16+16+22+21</f>
        <v>265</v>
      </c>
      <c r="AI12" s="263">
        <v>8</v>
      </c>
      <c r="AJ12" s="261">
        <f>1+1+1+1+1+1+1+2+2+2+2+2+2+2+2+2+2+1+1+1+1+1+1+1+1+4+3+4+5+8</f>
        <v>59</v>
      </c>
      <c r="AK12" s="263">
        <v>2</v>
      </c>
      <c r="AL12" s="261">
        <f>1+1+1+1+1+1+1+1+1+1+1+1+1+1+1+1+2+2</f>
        <v>20</v>
      </c>
      <c r="AM12" s="249">
        <f>L15*AF12/480/AG12</f>
        <v>0.98601190476190481</v>
      </c>
      <c r="AN12" s="249">
        <f>M15*AF12/480/AH12</f>
        <v>0.32713270440251579</v>
      </c>
      <c r="AO12" s="251"/>
    </row>
    <row r="13" spans="1:41" ht="18.75" customHeight="1" x14ac:dyDescent="0.25">
      <c r="A13" s="265"/>
      <c r="B13" s="36" t="s">
        <v>43</v>
      </c>
      <c r="C13" s="37" t="s">
        <v>37</v>
      </c>
      <c r="D13" s="38" t="s">
        <v>44</v>
      </c>
      <c r="E13" s="20">
        <v>1245</v>
      </c>
      <c r="F13" s="20"/>
      <c r="G13" s="20">
        <f>1238</f>
        <v>1238</v>
      </c>
      <c r="H13" s="20">
        <f t="shared" si="11"/>
        <v>-7</v>
      </c>
      <c r="I13" s="20"/>
      <c r="J13" s="20">
        <f>650+588</f>
        <v>1238</v>
      </c>
      <c r="K13" s="20">
        <f t="shared" si="12"/>
        <v>0</v>
      </c>
      <c r="L13" s="20">
        <v>300</v>
      </c>
      <c r="M13" s="20">
        <f>300</f>
        <v>300</v>
      </c>
      <c r="N13" s="20">
        <f t="shared" si="13"/>
        <v>-938</v>
      </c>
      <c r="O13" s="20">
        <f>164-36</f>
        <v>128</v>
      </c>
      <c r="P13" s="20">
        <f>36+128</f>
        <v>164</v>
      </c>
      <c r="Q13" s="20">
        <f t="shared" si="14"/>
        <v>-136</v>
      </c>
      <c r="R13" s="20">
        <v>20</v>
      </c>
      <c r="S13" s="20">
        <f>20</f>
        <v>20</v>
      </c>
      <c r="T13" s="39">
        <f t="shared" si="15"/>
        <v>-144</v>
      </c>
      <c r="U13" s="20"/>
      <c r="V13" s="20"/>
      <c r="W13" s="39">
        <f t="shared" si="16"/>
        <v>-20</v>
      </c>
      <c r="X13" s="20"/>
      <c r="Y13" s="20"/>
      <c r="Z13" s="20">
        <f t="shared" si="17"/>
        <v>-164</v>
      </c>
      <c r="AA13" s="20"/>
      <c r="AB13" s="20"/>
      <c r="AC13" s="37">
        <f t="shared" si="18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ht="18.75" customHeight="1" thickBot="1" x14ac:dyDescent="0.3">
      <c r="A14" s="265"/>
      <c r="B14" s="40" t="s">
        <v>45</v>
      </c>
      <c r="C14" s="41" t="s">
        <v>37</v>
      </c>
      <c r="D14" s="42" t="s">
        <v>46</v>
      </c>
      <c r="E14" s="25">
        <v>1300</v>
      </c>
      <c r="F14" s="25"/>
      <c r="G14" s="25">
        <f>1183</f>
        <v>1183</v>
      </c>
      <c r="H14" s="25">
        <f t="shared" si="11"/>
        <v>-117</v>
      </c>
      <c r="I14" s="25"/>
      <c r="J14" s="25">
        <f>520+663</f>
        <v>1183</v>
      </c>
      <c r="K14" s="25">
        <f t="shared" si="12"/>
        <v>0</v>
      </c>
      <c r="L14" s="25"/>
      <c r="M14" s="25"/>
      <c r="N14" s="25">
        <f t="shared" si="13"/>
        <v>-1183</v>
      </c>
      <c r="O14" s="25"/>
      <c r="P14" s="25"/>
      <c r="Q14" s="25">
        <f t="shared" si="14"/>
        <v>0</v>
      </c>
      <c r="R14" s="25"/>
      <c r="S14" s="25"/>
      <c r="T14" s="43">
        <f t="shared" si="15"/>
        <v>0</v>
      </c>
      <c r="U14" s="25"/>
      <c r="V14" s="25"/>
      <c r="W14" s="43">
        <f t="shared" si="16"/>
        <v>0</v>
      </c>
      <c r="X14" s="25"/>
      <c r="Y14" s="25"/>
      <c r="Z14" s="25">
        <f t="shared" si="17"/>
        <v>0</v>
      </c>
      <c r="AA14" s="25"/>
      <c r="AB14" s="25"/>
      <c r="AC14" s="44">
        <f t="shared" si="18"/>
        <v>0</v>
      </c>
      <c r="AD14" s="263"/>
      <c r="AE14" s="263"/>
      <c r="AF14" s="268"/>
      <c r="AG14" s="263"/>
      <c r="AH14" s="261"/>
      <c r="AI14" s="263"/>
      <c r="AJ14" s="261"/>
      <c r="AK14" s="263"/>
      <c r="AL14" s="261"/>
      <c r="AM14" s="249"/>
      <c r="AN14" s="249"/>
      <c r="AO14" s="251"/>
    </row>
    <row r="15" spans="1:41" ht="18" thickBot="1" x14ac:dyDescent="0.3">
      <c r="A15" s="265"/>
      <c r="B15" s="253" t="s">
        <v>34</v>
      </c>
      <c r="C15" s="254"/>
      <c r="D15" s="255"/>
      <c r="E15" s="24">
        <f>+SUM(E12:E14)</f>
        <v>4190</v>
      </c>
      <c r="F15" s="24">
        <f t="shared" ref="F15:AC15" si="19">+SUM(F12:F14)</f>
        <v>0</v>
      </c>
      <c r="G15" s="24">
        <f t="shared" si="19"/>
        <v>3854</v>
      </c>
      <c r="H15" s="24">
        <f t="shared" si="19"/>
        <v>-336</v>
      </c>
      <c r="I15" s="24">
        <f t="shared" si="19"/>
        <v>0</v>
      </c>
      <c r="J15" s="24">
        <f t="shared" si="19"/>
        <v>3854</v>
      </c>
      <c r="K15" s="24">
        <f t="shared" si="19"/>
        <v>0</v>
      </c>
      <c r="L15" s="24">
        <f t="shared" si="19"/>
        <v>300</v>
      </c>
      <c r="M15" s="24">
        <f t="shared" si="19"/>
        <v>1256</v>
      </c>
      <c r="N15" s="24">
        <f t="shared" si="19"/>
        <v>-2598</v>
      </c>
      <c r="O15" s="24">
        <f t="shared" si="19"/>
        <v>240</v>
      </c>
      <c r="P15" s="24">
        <f t="shared" si="19"/>
        <v>547</v>
      </c>
      <c r="Q15" s="24">
        <f t="shared" si="19"/>
        <v>-709</v>
      </c>
      <c r="R15" s="24">
        <f t="shared" si="19"/>
        <v>220</v>
      </c>
      <c r="S15" s="24">
        <f t="shared" si="19"/>
        <v>370</v>
      </c>
      <c r="T15" s="24">
        <f t="shared" si="19"/>
        <v>-177</v>
      </c>
      <c r="U15" s="24">
        <f t="shared" si="19"/>
        <v>0</v>
      </c>
      <c r="V15" s="24">
        <f t="shared" si="19"/>
        <v>20</v>
      </c>
      <c r="W15" s="24">
        <f t="shared" si="19"/>
        <v>-350</v>
      </c>
      <c r="X15" s="24">
        <f t="shared" si="19"/>
        <v>0</v>
      </c>
      <c r="Y15" s="24">
        <f t="shared" si="19"/>
        <v>0</v>
      </c>
      <c r="Z15" s="24">
        <f t="shared" si="19"/>
        <v>-547</v>
      </c>
      <c r="AA15" s="24">
        <f t="shared" si="19"/>
        <v>0</v>
      </c>
      <c r="AB15" s="24">
        <f t="shared" si="19"/>
        <v>0</v>
      </c>
      <c r="AC15" s="24">
        <f t="shared" si="19"/>
        <v>0</v>
      </c>
      <c r="AD15" s="264"/>
      <c r="AE15" s="264"/>
      <c r="AF15" s="269"/>
      <c r="AG15" s="264"/>
      <c r="AH15" s="262"/>
      <c r="AI15" s="264"/>
      <c r="AJ15" s="262"/>
      <c r="AK15" s="264"/>
      <c r="AL15" s="262"/>
      <c r="AM15" s="250"/>
      <c r="AN15" s="250"/>
      <c r="AO15" s="252"/>
    </row>
    <row r="16" spans="1:41" ht="18" customHeight="1" thickBot="1" x14ac:dyDescent="0.3">
      <c r="A16" s="266"/>
      <c r="B16" s="256" t="s">
        <v>40</v>
      </c>
      <c r="C16" s="256"/>
      <c r="D16" s="257"/>
      <c r="E16" s="26">
        <f>E15</f>
        <v>4190</v>
      </c>
      <c r="F16" s="26">
        <f t="shared" ref="F16:AC16" si="20">F15</f>
        <v>0</v>
      </c>
      <c r="G16" s="26">
        <f t="shared" si="20"/>
        <v>3854</v>
      </c>
      <c r="H16" s="26">
        <f t="shared" si="20"/>
        <v>-336</v>
      </c>
      <c r="I16" s="26">
        <f t="shared" si="20"/>
        <v>0</v>
      </c>
      <c r="J16" s="26">
        <f t="shared" si="20"/>
        <v>3854</v>
      </c>
      <c r="K16" s="26">
        <f t="shared" si="20"/>
        <v>0</v>
      </c>
      <c r="L16" s="26">
        <f t="shared" si="20"/>
        <v>300</v>
      </c>
      <c r="M16" s="26">
        <f t="shared" si="20"/>
        <v>1256</v>
      </c>
      <c r="N16" s="26">
        <f t="shared" si="20"/>
        <v>-2598</v>
      </c>
      <c r="O16" s="26">
        <f t="shared" si="20"/>
        <v>240</v>
      </c>
      <c r="P16" s="26">
        <f t="shared" si="20"/>
        <v>547</v>
      </c>
      <c r="Q16" s="26">
        <f t="shared" si="20"/>
        <v>-709</v>
      </c>
      <c r="R16" s="26">
        <f t="shared" si="20"/>
        <v>220</v>
      </c>
      <c r="S16" s="26">
        <f t="shared" si="20"/>
        <v>370</v>
      </c>
      <c r="T16" s="26">
        <f t="shared" si="20"/>
        <v>-177</v>
      </c>
      <c r="U16" s="26">
        <f t="shared" si="20"/>
        <v>0</v>
      </c>
      <c r="V16" s="26">
        <f t="shared" si="20"/>
        <v>20</v>
      </c>
      <c r="W16" s="26">
        <f t="shared" si="20"/>
        <v>-350</v>
      </c>
      <c r="X16" s="26">
        <f t="shared" si="20"/>
        <v>0</v>
      </c>
      <c r="Y16" s="26">
        <f t="shared" si="20"/>
        <v>0</v>
      </c>
      <c r="Z16" s="26">
        <f t="shared" si="20"/>
        <v>-547</v>
      </c>
      <c r="AA16" s="26">
        <f t="shared" si="20"/>
        <v>0</v>
      </c>
      <c r="AB16" s="26">
        <f t="shared" si="20"/>
        <v>0</v>
      </c>
      <c r="AC16" s="26">
        <f t="shared" si="20"/>
        <v>0</v>
      </c>
      <c r="AD16" s="45">
        <f t="shared" ref="AD16:AL16" si="21">SUM(AD12:AD15)</f>
        <v>300</v>
      </c>
      <c r="AE16" s="45">
        <f t="shared" si="21"/>
        <v>300</v>
      </c>
      <c r="AF16" s="46">
        <f t="shared" si="21"/>
        <v>33.130000000000003</v>
      </c>
      <c r="AG16" s="45">
        <f t="shared" si="21"/>
        <v>21</v>
      </c>
      <c r="AH16" s="45">
        <f t="shared" si="21"/>
        <v>265</v>
      </c>
      <c r="AI16" s="45">
        <f t="shared" si="21"/>
        <v>8</v>
      </c>
      <c r="AJ16" s="45">
        <f t="shared" si="21"/>
        <v>59</v>
      </c>
      <c r="AK16" s="45">
        <f t="shared" si="21"/>
        <v>2</v>
      </c>
      <c r="AL16" s="45">
        <f t="shared" si="21"/>
        <v>20</v>
      </c>
      <c r="AM16" s="47">
        <f>L16*AF16/480/AG16</f>
        <v>0.98601190476190481</v>
      </c>
      <c r="AN16" s="48">
        <f>M16*AF16/480/AH16</f>
        <v>0.32713270440251579</v>
      </c>
      <c r="AO16" s="49"/>
    </row>
    <row r="17" spans="1:41" s="60" customFormat="1" ht="15.75" thickBot="1" x14ac:dyDescent="0.3">
      <c r="A17" s="50"/>
      <c r="B17" s="51"/>
      <c r="C17" s="51"/>
      <c r="D17" s="51"/>
      <c r="E17" s="51"/>
      <c r="F17" s="52"/>
      <c r="G17" s="51"/>
      <c r="H17" s="51"/>
      <c r="I17" s="53"/>
      <c r="J17" s="54"/>
      <c r="K17" s="51"/>
      <c r="L17" s="55"/>
      <c r="M17" s="51"/>
      <c r="N17" s="51"/>
      <c r="O17" s="56"/>
      <c r="P17" s="51"/>
      <c r="Q17" s="51"/>
      <c r="R17" s="55"/>
      <c r="S17" s="51"/>
      <c r="T17" s="51"/>
      <c r="U17" s="55"/>
      <c r="V17" s="51"/>
      <c r="W17" s="51"/>
      <c r="X17" s="55"/>
      <c r="Y17" s="51"/>
      <c r="Z17" s="51"/>
      <c r="AA17" s="55"/>
      <c r="AB17" s="51"/>
      <c r="AC17" s="51"/>
      <c r="AD17" s="57"/>
      <c r="AE17" s="58"/>
      <c r="AF17" s="51"/>
      <c r="AG17" s="57"/>
      <c r="AH17" s="58"/>
      <c r="AI17" s="57"/>
      <c r="AJ17" s="58"/>
      <c r="AK17" s="57"/>
      <c r="AL17" s="58"/>
      <c r="AM17" s="57"/>
      <c r="AN17" s="55"/>
      <c r="AO17" s="59"/>
    </row>
    <row r="18" spans="1:41" s="60" customFormat="1" ht="15.75" thickBot="1" x14ac:dyDescent="0.3">
      <c r="A18" s="258" t="s">
        <v>47</v>
      </c>
      <c r="B18" s="259"/>
      <c r="C18" s="259"/>
      <c r="D18" s="259"/>
      <c r="E18" s="260"/>
      <c r="F18" s="63">
        <f>F16+F11</f>
        <v>0</v>
      </c>
      <c r="G18" s="64"/>
      <c r="H18" s="64"/>
      <c r="I18" s="63">
        <f>I16+I11</f>
        <v>425</v>
      </c>
      <c r="J18" s="64"/>
      <c r="K18" s="65">
        <f>K16+K11</f>
        <v>-280</v>
      </c>
      <c r="L18" s="66">
        <f>L16+L11</f>
        <v>300</v>
      </c>
      <c r="M18" s="64"/>
      <c r="N18" s="65">
        <f>N16+N11</f>
        <v>-4380</v>
      </c>
      <c r="O18" s="66">
        <f>O16+O11</f>
        <v>240</v>
      </c>
      <c r="P18" s="64"/>
      <c r="Q18" s="65">
        <f>Q16+Q11</f>
        <v>-709</v>
      </c>
      <c r="R18" s="66">
        <f>R16+R11</f>
        <v>220</v>
      </c>
      <c r="S18" s="64"/>
      <c r="T18" s="65">
        <f>T16+T11</f>
        <v>-177</v>
      </c>
      <c r="U18" s="66">
        <f>U16+U11</f>
        <v>0</v>
      </c>
      <c r="V18" s="64"/>
      <c r="W18" s="65">
        <f>W16+W11</f>
        <v>-350</v>
      </c>
      <c r="X18" s="66">
        <f>X16+X11</f>
        <v>0</v>
      </c>
      <c r="Y18" s="64"/>
      <c r="Z18" s="65">
        <f>Z16+Z11</f>
        <v>-547</v>
      </c>
      <c r="AA18" s="66">
        <f>AA16+AA11</f>
        <v>0</v>
      </c>
      <c r="AB18" s="64"/>
      <c r="AC18" s="65">
        <f>AC16+AC11</f>
        <v>0</v>
      </c>
      <c r="AD18" s="67">
        <f>AD16+AD11</f>
        <v>300</v>
      </c>
      <c r="AE18" s="65">
        <f>AE16+AE11</f>
        <v>300</v>
      </c>
      <c r="AF18" s="64"/>
      <c r="AG18" s="63">
        <f>AG16+AG11</f>
        <v>31</v>
      </c>
      <c r="AH18" s="68"/>
      <c r="AI18" s="63">
        <f>AI16+AI11</f>
        <v>11</v>
      </c>
      <c r="AJ18" s="68"/>
      <c r="AK18" s="63">
        <f>AK16+AK11</f>
        <v>3</v>
      </c>
      <c r="AL18" s="68"/>
      <c r="AM18" s="69">
        <f>SUM(AM16+AM11)/2</f>
        <v>0.49300595238095241</v>
      </c>
      <c r="AN18" s="69">
        <f>SUM(AN16+AN11)/2</f>
        <v>0.1635663522012579</v>
      </c>
      <c r="AO18" s="70"/>
    </row>
    <row r="19" spans="1:41" s="60" customFormat="1" ht="15" x14ac:dyDescent="0.25">
      <c r="O19" s="71"/>
    </row>
    <row r="20" spans="1:41" s="60" customFormat="1" ht="15" x14ac:dyDescent="0.25">
      <c r="O20" s="71"/>
      <c r="W20" s="60" t="s">
        <v>5</v>
      </c>
      <c r="Z20" s="60" t="s">
        <v>5</v>
      </c>
      <c r="AC20" s="60" t="s">
        <v>5</v>
      </c>
    </row>
  </sheetData>
  <mergeCells count="57">
    <mergeCell ref="AM4:AN4"/>
    <mergeCell ref="AO4:AO5"/>
    <mergeCell ref="AI4:AJ4"/>
    <mergeCell ref="AK4:AL4"/>
    <mergeCell ref="A1:AO1"/>
    <mergeCell ref="A2:B2"/>
    <mergeCell ref="D2:E2"/>
    <mergeCell ref="AH2:AJ2"/>
    <mergeCell ref="AK2:AM2"/>
    <mergeCell ref="A6:A11"/>
    <mergeCell ref="X4:Z4"/>
    <mergeCell ref="AA4:AC4"/>
    <mergeCell ref="AD4:AE4"/>
    <mergeCell ref="AG4:AH4"/>
    <mergeCell ref="F4:H4"/>
    <mergeCell ref="I4:K4"/>
    <mergeCell ref="L4:N4"/>
    <mergeCell ref="O4:Q4"/>
    <mergeCell ref="R4:T4"/>
    <mergeCell ref="U4:W4"/>
    <mergeCell ref="A4:A5"/>
    <mergeCell ref="B4:B5"/>
    <mergeCell ref="C4:C5"/>
    <mergeCell ref="D4:D5"/>
    <mergeCell ref="E4:E5"/>
    <mergeCell ref="AM6:AM10"/>
    <mergeCell ref="AN6:AN10"/>
    <mergeCell ref="AO6:AO10"/>
    <mergeCell ref="B10:D10"/>
    <mergeCell ref="B11:D11"/>
    <mergeCell ref="AG6:AG10"/>
    <mergeCell ref="AH6:AH10"/>
    <mergeCell ref="AI6:AI10"/>
    <mergeCell ref="AJ6:AJ10"/>
    <mergeCell ref="AK6:AK10"/>
    <mergeCell ref="AL6:AL10"/>
    <mergeCell ref="B6:B9"/>
    <mergeCell ref="C6:C9"/>
    <mergeCell ref="AD6:AD10"/>
    <mergeCell ref="AE6:AE10"/>
    <mergeCell ref="AF6:AF10"/>
    <mergeCell ref="AN12:AN15"/>
    <mergeCell ref="AO12:AO15"/>
    <mergeCell ref="B15:D15"/>
    <mergeCell ref="B16:D16"/>
    <mergeCell ref="A18:E18"/>
    <mergeCell ref="AH12:AH15"/>
    <mergeCell ref="AI12:AI15"/>
    <mergeCell ref="AJ12:AJ15"/>
    <mergeCell ref="AK12:AK15"/>
    <mergeCell ref="AL12:AL15"/>
    <mergeCell ref="AM12:AM15"/>
    <mergeCell ref="A12:A16"/>
    <mergeCell ref="AD12:AD15"/>
    <mergeCell ref="AE12:AE15"/>
    <mergeCell ref="AF12:AF15"/>
    <mergeCell ref="AG12:AG15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18" max="5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33" sqref="E28:E33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0.42578125" style="1" bestFit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4.8554687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5.42578125" style="1" bestFit="1" customWidth="1"/>
    <col min="18" max="18" width="7.85546875" style="1" customWidth="1"/>
    <col min="19" max="19" width="6.42578125" style="1" bestFit="1" customWidth="1"/>
    <col min="20" max="20" width="7.42578125" style="1" bestFit="1" customWidth="1"/>
    <col min="21" max="21" width="8.42578125" style="1" customWidth="1"/>
    <col min="22" max="22" width="6.42578125" style="1" bestFit="1" customWidth="1"/>
    <col min="23" max="23" width="6.1406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45363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52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122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125" t="s">
        <v>26</v>
      </c>
      <c r="G5" s="9" t="s">
        <v>27</v>
      </c>
      <c r="H5" s="10" t="s">
        <v>28</v>
      </c>
      <c r="I5" s="122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126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122" t="s">
        <v>26</v>
      </c>
      <c r="AE5" s="9" t="s">
        <v>27</v>
      </c>
      <c r="AF5" s="125" t="s">
        <v>26</v>
      </c>
      <c r="AG5" s="125" t="s">
        <v>26</v>
      </c>
      <c r="AH5" s="9" t="s">
        <v>27</v>
      </c>
      <c r="AI5" s="125" t="s">
        <v>26</v>
      </c>
      <c r="AJ5" s="15" t="s">
        <v>27</v>
      </c>
      <c r="AK5" s="125" t="s">
        <v>26</v>
      </c>
      <c r="AL5" s="9" t="s">
        <v>27</v>
      </c>
      <c r="AM5" s="122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124">
        <v>680</v>
      </c>
      <c r="F6" s="124"/>
      <c r="G6" s="124">
        <f>680</f>
        <v>680</v>
      </c>
      <c r="H6" s="124">
        <f t="shared" ref="H6:H13" si="0">G6-E6</f>
        <v>0</v>
      </c>
      <c r="I6" s="124"/>
      <c r="J6" s="124">
        <f>428+252</f>
        <v>680</v>
      </c>
      <c r="K6" s="124">
        <f t="shared" ref="K6:K13" si="1">J6-G6</f>
        <v>0</v>
      </c>
      <c r="L6" s="124">
        <f>320-245</f>
        <v>75</v>
      </c>
      <c r="M6" s="124">
        <f>62+144+4+9+26+75</f>
        <v>320</v>
      </c>
      <c r="N6" s="124">
        <f t="shared" ref="N6:N13" si="2">M6-J6</f>
        <v>-360</v>
      </c>
      <c r="O6" s="124">
        <v>48</v>
      </c>
      <c r="P6" s="119">
        <f>293</f>
        <v>293</v>
      </c>
      <c r="Q6" s="124">
        <f t="shared" ref="Q6:Q13" si="3">P6-M6</f>
        <v>-27</v>
      </c>
      <c r="R6" s="18"/>
      <c r="S6" s="18">
        <f>210</f>
        <v>210</v>
      </c>
      <c r="T6" s="18">
        <f t="shared" ref="T6:T13" si="4">S6-P6</f>
        <v>-83</v>
      </c>
      <c r="U6" s="18"/>
      <c r="V6" s="18">
        <f>200</f>
        <v>200</v>
      </c>
      <c r="W6" s="18">
        <f t="shared" ref="W6:W13" si="5">V6-S6</f>
        <v>-10</v>
      </c>
      <c r="X6" s="124">
        <v>45</v>
      </c>
      <c r="Y6" s="124">
        <f>175</f>
        <v>175</v>
      </c>
      <c r="Z6" s="124">
        <f t="shared" ref="Z6:Z13" si="6">Y6-P6</f>
        <v>-118</v>
      </c>
      <c r="AA6" s="124">
        <v>45</v>
      </c>
      <c r="AB6" s="124">
        <f>175</f>
        <v>175</v>
      </c>
      <c r="AC6" s="19">
        <f t="shared" ref="AC6:AC13" si="7">AB6-Y6</f>
        <v>0</v>
      </c>
      <c r="AD6" s="267">
        <f>L14</f>
        <v>261</v>
      </c>
      <c r="AE6" s="267">
        <f>62+144+4+20+190+196+47+175+261</f>
        <v>1099</v>
      </c>
      <c r="AF6" s="282">
        <v>24.192</v>
      </c>
      <c r="AG6" s="267">
        <v>10</v>
      </c>
      <c r="AH6" s="277">
        <f>6+8+6+10+10+10+20+6+22+13+22+8+10</f>
        <v>151</v>
      </c>
      <c r="AI6" s="267">
        <v>7</v>
      </c>
      <c r="AJ6" s="277">
        <f>1+2+2+2+3+3+5+4+5+5+11+11+7</f>
        <v>61</v>
      </c>
      <c r="AK6" s="267">
        <v>1</v>
      </c>
      <c r="AL6" s="277">
        <f>1+1+1+1+1+1+1+1+1</f>
        <v>9</v>
      </c>
      <c r="AM6" s="270">
        <f>L14*AF6/480/AG6</f>
        <v>1.3154400000000002</v>
      </c>
      <c r="AN6" s="270">
        <f>M14*AF6/480/AH6</f>
        <v>0.36681854304635764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>
        <f>317-207</f>
        <v>110</v>
      </c>
      <c r="M7" s="20">
        <f>20+117+9+13+48+110</f>
        <v>317</v>
      </c>
      <c r="N7" s="20">
        <f t="shared" si="2"/>
        <v>-282</v>
      </c>
      <c r="O7" s="20">
        <v>85</v>
      </c>
      <c r="P7" s="20">
        <f>292</f>
        <v>292</v>
      </c>
      <c r="Q7" s="20">
        <f t="shared" si="3"/>
        <v>-25</v>
      </c>
      <c r="R7" s="20"/>
      <c r="S7" s="20">
        <f>160</f>
        <v>160</v>
      </c>
      <c r="T7" s="20">
        <f t="shared" si="4"/>
        <v>-132</v>
      </c>
      <c r="U7" s="20"/>
      <c r="V7" s="20">
        <f>150</f>
        <v>150</v>
      </c>
      <c r="W7" s="20">
        <f t="shared" si="5"/>
        <v>-10</v>
      </c>
      <c r="X7" s="20"/>
      <c r="Y7" s="20"/>
      <c r="Z7" s="20">
        <f t="shared" si="6"/>
        <v>-292</v>
      </c>
      <c r="AA7" s="20"/>
      <c r="AB7" s="20"/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>
        <f>420-344</f>
        <v>76</v>
      </c>
      <c r="M8" s="20">
        <f>73+187+25+59+76</f>
        <v>420</v>
      </c>
      <c r="N8" s="20">
        <f t="shared" si="2"/>
        <v>-257</v>
      </c>
      <c r="O8" s="20">
        <v>75</v>
      </c>
      <c r="P8" s="20">
        <f>420</f>
        <v>420</v>
      </c>
      <c r="Q8" s="20">
        <f t="shared" si="3"/>
        <v>0</v>
      </c>
      <c r="R8" s="20"/>
      <c r="S8" s="20">
        <f>250</f>
        <v>250</v>
      </c>
      <c r="T8" s="20">
        <f t="shared" si="4"/>
        <v>-170</v>
      </c>
      <c r="U8" s="20"/>
      <c r="V8" s="20">
        <f>250</f>
        <v>250</v>
      </c>
      <c r="W8" s="20">
        <f t="shared" si="5"/>
        <v>0</v>
      </c>
      <c r="X8" s="20"/>
      <c r="Y8" s="20"/>
      <c r="Z8" s="20">
        <f t="shared" si="6"/>
        <v>-420</v>
      </c>
      <c r="AA8" s="20"/>
      <c r="AB8" s="20"/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>
        <f>42</f>
        <v>42</v>
      </c>
      <c r="N9" s="20">
        <f t="shared" si="2"/>
        <v>-64</v>
      </c>
      <c r="O9" s="20"/>
      <c r="P9" s="20">
        <f>42</f>
        <v>42</v>
      </c>
      <c r="Q9" s="20">
        <f t="shared" si="3"/>
        <v>0</v>
      </c>
      <c r="R9" s="20"/>
      <c r="S9" s="20"/>
      <c r="T9" s="20">
        <f t="shared" si="4"/>
        <v>-42</v>
      </c>
      <c r="U9" s="20"/>
      <c r="V9" s="20"/>
      <c r="W9" s="20">
        <f t="shared" si="5"/>
        <v>0</v>
      </c>
      <c r="X9" s="20"/>
      <c r="Y9" s="20"/>
      <c r="Z9" s="20">
        <f t="shared" si="6"/>
        <v>-42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279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/>
      <c r="M10" s="20"/>
      <c r="N10" s="20">
        <f t="shared" si="2"/>
        <v>-223</v>
      </c>
      <c r="O10" s="20"/>
      <c r="P10" s="20"/>
      <c r="Q10" s="20">
        <f t="shared" si="3"/>
        <v>0</v>
      </c>
      <c r="R10" s="20"/>
      <c r="S10" s="20"/>
      <c r="T10" s="20">
        <f t="shared" si="4"/>
        <v>0</v>
      </c>
      <c r="U10" s="20"/>
      <c r="V10" s="20"/>
      <c r="W10" s="20">
        <f t="shared" si="5"/>
        <v>0</v>
      </c>
      <c r="X10" s="20"/>
      <c r="Y10" s="20"/>
      <c r="Z10" s="20">
        <f t="shared" si="6"/>
        <v>0</v>
      </c>
      <c r="AA10" s="20"/>
      <c r="AB10" s="20"/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/>
      <c r="N11" s="20">
        <f t="shared" si="2"/>
        <v>-227</v>
      </c>
      <c r="O11" s="20"/>
      <c r="P11" s="20"/>
      <c r="Q11" s="20">
        <f t="shared" si="3"/>
        <v>0</v>
      </c>
      <c r="R11" s="20"/>
      <c r="S11" s="20"/>
      <c r="T11" s="20">
        <f t="shared" si="4"/>
        <v>0</v>
      </c>
      <c r="U11" s="20"/>
      <c r="V11" s="20"/>
      <c r="W11" s="20">
        <f t="shared" si="5"/>
        <v>0</v>
      </c>
      <c r="X11" s="20"/>
      <c r="Y11" s="20"/>
      <c r="Z11" s="20">
        <f t="shared" si="6"/>
        <v>0</v>
      </c>
      <c r="AA11" s="20"/>
      <c r="AB11" s="20"/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/>
      <c r="M12" s="20"/>
      <c r="N12" s="20">
        <f t="shared" si="2"/>
        <v>-242</v>
      </c>
      <c r="O12" s="20"/>
      <c r="P12" s="20"/>
      <c r="Q12" s="20">
        <f t="shared" si="3"/>
        <v>0</v>
      </c>
      <c r="R12" s="20"/>
      <c r="S12" s="20"/>
      <c r="T12" s="20">
        <f t="shared" si="4"/>
        <v>0</v>
      </c>
      <c r="U12" s="20"/>
      <c r="V12" s="20"/>
      <c r="W12" s="20">
        <f t="shared" si="5"/>
        <v>0</v>
      </c>
      <c r="X12" s="20"/>
      <c r="Y12" s="20"/>
      <c r="Z12" s="20">
        <f t="shared" si="6"/>
        <v>0</v>
      </c>
      <c r="AA12" s="20"/>
      <c r="AB12" s="20"/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ht="18" thickBot="1" x14ac:dyDescent="0.3">
      <c r="A13" s="283"/>
      <c r="B13" s="299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/>
      <c r="M13" s="20"/>
      <c r="N13" s="20">
        <f t="shared" si="2"/>
        <v>-171</v>
      </c>
      <c r="O13" s="20"/>
      <c r="P13" s="20"/>
      <c r="Q13" s="20">
        <f t="shared" si="3"/>
        <v>0</v>
      </c>
      <c r="R13" s="25"/>
      <c r="S13" s="25"/>
      <c r="T13" s="25">
        <f t="shared" si="4"/>
        <v>0</v>
      </c>
      <c r="U13" s="25"/>
      <c r="V13" s="25"/>
      <c r="W13" s="25">
        <f t="shared" si="5"/>
        <v>0</v>
      </c>
      <c r="X13" s="20"/>
      <c r="Y13" s="20"/>
      <c r="Z13" s="20">
        <f t="shared" si="6"/>
        <v>0</v>
      </c>
      <c r="AA13" s="20"/>
      <c r="AB13" s="20"/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ht="18" thickBot="1" x14ac:dyDescent="0.3">
      <c r="A14" s="283"/>
      <c r="B14" s="272" t="s">
        <v>34</v>
      </c>
      <c r="C14" s="273"/>
      <c r="D14" s="274"/>
      <c r="E14" s="23">
        <f>+SUM(E6:E13)</f>
        <v>3162</v>
      </c>
      <c r="F14" s="23">
        <f>+SUM(F6:F13)</f>
        <v>0</v>
      </c>
      <c r="G14" s="23">
        <f>SUM(G6:G13)</f>
        <v>2925</v>
      </c>
      <c r="H14" s="23">
        <f t="shared" ref="H14:AC14" si="8">+SUM(H6:H13)</f>
        <v>-237</v>
      </c>
      <c r="I14" s="23">
        <f t="shared" si="8"/>
        <v>0</v>
      </c>
      <c r="J14" s="23">
        <f t="shared" si="8"/>
        <v>2925</v>
      </c>
      <c r="K14" s="23">
        <f t="shared" si="8"/>
        <v>0</v>
      </c>
      <c r="L14" s="23">
        <f t="shared" si="8"/>
        <v>261</v>
      </c>
      <c r="M14" s="23">
        <f t="shared" si="8"/>
        <v>1099</v>
      </c>
      <c r="N14" s="23">
        <f t="shared" si="8"/>
        <v>-1826</v>
      </c>
      <c r="O14" s="23">
        <f t="shared" si="8"/>
        <v>208</v>
      </c>
      <c r="P14" s="23">
        <f t="shared" si="8"/>
        <v>1047</v>
      </c>
      <c r="Q14" s="23">
        <f t="shared" si="8"/>
        <v>-52</v>
      </c>
      <c r="R14" s="24">
        <f t="shared" si="8"/>
        <v>0</v>
      </c>
      <c r="S14" s="24">
        <f t="shared" si="8"/>
        <v>620</v>
      </c>
      <c r="T14" s="24">
        <f t="shared" si="8"/>
        <v>-427</v>
      </c>
      <c r="U14" s="24">
        <f t="shared" si="8"/>
        <v>0</v>
      </c>
      <c r="V14" s="24">
        <f t="shared" si="8"/>
        <v>600</v>
      </c>
      <c r="W14" s="24">
        <f t="shared" si="8"/>
        <v>-20</v>
      </c>
      <c r="X14" s="23">
        <f t="shared" si="8"/>
        <v>45</v>
      </c>
      <c r="Y14" s="23">
        <f t="shared" si="8"/>
        <v>175</v>
      </c>
      <c r="Z14" s="23">
        <f t="shared" si="8"/>
        <v>-872</v>
      </c>
      <c r="AA14" s="23">
        <f t="shared" si="8"/>
        <v>45</v>
      </c>
      <c r="AB14" s="23">
        <f t="shared" si="8"/>
        <v>175</v>
      </c>
      <c r="AC14" s="15">
        <f t="shared" si="8"/>
        <v>0</v>
      </c>
      <c r="AD14" s="264"/>
      <c r="AE14" s="264"/>
      <c r="AF14" s="269"/>
      <c r="AG14" s="264"/>
      <c r="AH14" s="262"/>
      <c r="AI14" s="264"/>
      <c r="AJ14" s="262"/>
      <c r="AK14" s="264"/>
      <c r="AL14" s="262"/>
      <c r="AM14" s="250"/>
      <c r="AN14" s="250"/>
      <c r="AO14" s="252"/>
    </row>
    <row r="15" spans="1:41" ht="18" thickBot="1" x14ac:dyDescent="0.3">
      <c r="A15" s="284"/>
      <c r="B15" s="275" t="s">
        <v>40</v>
      </c>
      <c r="C15" s="275"/>
      <c r="D15" s="276"/>
      <c r="E15" s="26">
        <f>E14</f>
        <v>3162</v>
      </c>
      <c r="F15" s="26">
        <f t="shared" ref="F15:AC15" si="9">F14</f>
        <v>0</v>
      </c>
      <c r="G15" s="26">
        <f t="shared" si="9"/>
        <v>2925</v>
      </c>
      <c r="H15" s="26">
        <f t="shared" si="9"/>
        <v>-237</v>
      </c>
      <c r="I15" s="26">
        <f t="shared" si="9"/>
        <v>0</v>
      </c>
      <c r="J15" s="26">
        <f t="shared" si="9"/>
        <v>2925</v>
      </c>
      <c r="K15" s="26">
        <f t="shared" si="9"/>
        <v>0</v>
      </c>
      <c r="L15" s="26">
        <f t="shared" si="9"/>
        <v>261</v>
      </c>
      <c r="M15" s="26">
        <f t="shared" si="9"/>
        <v>1099</v>
      </c>
      <c r="N15" s="26">
        <f t="shared" si="9"/>
        <v>-1826</v>
      </c>
      <c r="O15" s="26">
        <f t="shared" si="9"/>
        <v>208</v>
      </c>
      <c r="P15" s="26">
        <f t="shared" si="9"/>
        <v>1047</v>
      </c>
      <c r="Q15" s="26">
        <f t="shared" si="9"/>
        <v>-52</v>
      </c>
      <c r="R15" s="26">
        <f t="shared" si="9"/>
        <v>0</v>
      </c>
      <c r="S15" s="26">
        <f t="shared" si="9"/>
        <v>620</v>
      </c>
      <c r="T15" s="26">
        <f t="shared" si="9"/>
        <v>-427</v>
      </c>
      <c r="U15" s="26">
        <f t="shared" si="9"/>
        <v>0</v>
      </c>
      <c r="V15" s="26">
        <f t="shared" si="9"/>
        <v>600</v>
      </c>
      <c r="W15" s="26">
        <f t="shared" si="9"/>
        <v>-20</v>
      </c>
      <c r="X15" s="26">
        <f t="shared" si="9"/>
        <v>45</v>
      </c>
      <c r="Y15" s="26">
        <f t="shared" si="9"/>
        <v>175</v>
      </c>
      <c r="Z15" s="26">
        <f t="shared" si="9"/>
        <v>-872</v>
      </c>
      <c r="AA15" s="26">
        <f t="shared" si="9"/>
        <v>45</v>
      </c>
      <c r="AB15" s="26">
        <f t="shared" si="9"/>
        <v>175</v>
      </c>
      <c r="AC15" s="26">
        <f t="shared" si="9"/>
        <v>0</v>
      </c>
      <c r="AD15" s="27">
        <f t="shared" ref="AD15:AL15" si="10">SUM(AD6:AD14)</f>
        <v>261</v>
      </c>
      <c r="AE15" s="27">
        <f t="shared" si="10"/>
        <v>1099</v>
      </c>
      <c r="AF15" s="28">
        <f t="shared" si="10"/>
        <v>24.192</v>
      </c>
      <c r="AG15" s="27">
        <f t="shared" si="10"/>
        <v>10</v>
      </c>
      <c r="AH15" s="27">
        <f t="shared" si="10"/>
        <v>151</v>
      </c>
      <c r="AI15" s="27">
        <f t="shared" si="10"/>
        <v>7</v>
      </c>
      <c r="AJ15" s="27">
        <f t="shared" si="10"/>
        <v>61</v>
      </c>
      <c r="AK15" s="27">
        <f t="shared" si="10"/>
        <v>1</v>
      </c>
      <c r="AL15" s="27">
        <f t="shared" si="10"/>
        <v>9</v>
      </c>
      <c r="AM15" s="29">
        <f>L15*AF15/480/AG15</f>
        <v>1.3154400000000002</v>
      </c>
      <c r="AN15" s="30">
        <f>M15*AF15/480/AH15</f>
        <v>0.36681854304635764</v>
      </c>
      <c r="AO15" s="31"/>
    </row>
    <row r="16" spans="1:41" ht="18.75" customHeight="1" x14ac:dyDescent="0.25">
      <c r="A16" s="265" t="s">
        <v>32</v>
      </c>
      <c r="B16" s="123" t="s">
        <v>41</v>
      </c>
      <c r="C16" s="300" t="s">
        <v>37</v>
      </c>
      <c r="D16" s="34" t="s">
        <v>42</v>
      </c>
      <c r="E16" s="124">
        <v>1645</v>
      </c>
      <c r="F16" s="124"/>
      <c r="G16" s="124">
        <f>1433</f>
        <v>1433</v>
      </c>
      <c r="H16" s="124">
        <f t="shared" ref="H16:H18" si="11">G16-E16</f>
        <v>-212</v>
      </c>
      <c r="I16" s="124"/>
      <c r="J16" s="124">
        <f>100+200+300+350+400+83</f>
        <v>1433</v>
      </c>
      <c r="K16" s="124">
        <f t="shared" ref="K16:K18" si="12">J16-G16</f>
        <v>0</v>
      </c>
      <c r="L16" s="124">
        <v>24</v>
      </c>
      <c r="M16" s="124">
        <f>102+201+302+351-99-125-110+133+127+49+120+24</f>
        <v>1075</v>
      </c>
      <c r="N16" s="124">
        <f t="shared" ref="N16:N18" si="13">M16-J16</f>
        <v>-358</v>
      </c>
      <c r="O16" s="124">
        <v>24</v>
      </c>
      <c r="P16" s="124">
        <f>1075</f>
        <v>1075</v>
      </c>
      <c r="Q16" s="124">
        <f t="shared" ref="Q16:Q18" si="14">P16-M16</f>
        <v>0</v>
      </c>
      <c r="R16" s="124"/>
      <c r="S16" s="124">
        <f>970</f>
        <v>970</v>
      </c>
      <c r="T16" s="35">
        <f t="shared" ref="T16:T18" si="15">S16-P16</f>
        <v>-105</v>
      </c>
      <c r="U16" s="124">
        <v>170</v>
      </c>
      <c r="V16" s="124">
        <f>970</f>
        <v>970</v>
      </c>
      <c r="W16" s="35">
        <f t="shared" ref="W16:W18" si="16">V16-S16</f>
        <v>0</v>
      </c>
      <c r="X16" s="124">
        <v>100</v>
      </c>
      <c r="Y16" s="124">
        <f>860</f>
        <v>860</v>
      </c>
      <c r="Z16" s="124">
        <f t="shared" ref="Z16:Z18" si="17">Y16-P16</f>
        <v>-215</v>
      </c>
      <c r="AA16" s="124">
        <v>100</v>
      </c>
      <c r="AB16" s="124">
        <f>860</f>
        <v>860</v>
      </c>
      <c r="AC16" s="33">
        <f t="shared" ref="AC16:AC18" si="18">AB16-Y16</f>
        <v>0</v>
      </c>
      <c r="AD16" s="267">
        <f>L19</f>
        <v>355</v>
      </c>
      <c r="AE16" s="263">
        <f>300+98+344+213+289+412+355</f>
        <v>2011</v>
      </c>
      <c r="AF16" s="268">
        <v>33.130000000000003</v>
      </c>
      <c r="AG16" s="263">
        <v>10</v>
      </c>
      <c r="AH16" s="261">
        <f>2+10+8+8+8+6+6+6+9+5+6+8+7+7+6+6+6+6+6+6+7+7+7+7+6+7+17+16+16+22+21+21+10+20+20+13+10+10</f>
        <v>369</v>
      </c>
      <c r="AI16" s="263">
        <v>6</v>
      </c>
      <c r="AJ16" s="261">
        <f>1+1+1+1+1+1+1+2+2+2+2+2+2+2+2+2+2+1+1+1+1+1+1+1+1+4+3+4+5+8+8+6+7+6+6+6</f>
        <v>98</v>
      </c>
      <c r="AK16" s="263"/>
      <c r="AL16" s="261">
        <f>1+1+1+1+1+1+1+1+1+1+1+1+1+1+1+1+2+2+2+2+2+1+1</f>
        <v>28</v>
      </c>
      <c r="AM16" s="249">
        <f>L19*AF16/480/AG16</f>
        <v>2.4502395833333335</v>
      </c>
      <c r="AN16" s="249">
        <f>M19*AF16/480/AH16</f>
        <v>0.55497239159891598</v>
      </c>
      <c r="AO16" s="251"/>
    </row>
    <row r="17" spans="1:41" ht="18.75" customHeight="1" x14ac:dyDescent="0.25">
      <c r="A17" s="265"/>
      <c r="B17" s="36" t="s">
        <v>43</v>
      </c>
      <c r="C17" s="301"/>
      <c r="D17" s="38" t="s">
        <v>44</v>
      </c>
      <c r="E17" s="20">
        <v>1245</v>
      </c>
      <c r="F17" s="20"/>
      <c r="G17" s="20">
        <f>1238</f>
        <v>1238</v>
      </c>
      <c r="H17" s="20">
        <f t="shared" si="11"/>
        <v>-7</v>
      </c>
      <c r="I17" s="20"/>
      <c r="J17" s="20">
        <f>650+588</f>
        <v>1238</v>
      </c>
      <c r="K17" s="20">
        <f t="shared" si="12"/>
        <v>0</v>
      </c>
      <c r="L17" s="20">
        <f>1038-945</f>
        <v>93</v>
      </c>
      <c r="M17" s="20">
        <f>300+99+125+110+98+101+59+41+12+93</f>
        <v>1038</v>
      </c>
      <c r="N17" s="20">
        <f t="shared" si="13"/>
        <v>-200</v>
      </c>
      <c r="O17" s="20">
        <v>93</v>
      </c>
      <c r="P17" s="20">
        <f>1038</f>
        <v>1038</v>
      </c>
      <c r="Q17" s="20">
        <f t="shared" si="14"/>
        <v>0</v>
      </c>
      <c r="R17" s="20"/>
      <c r="S17" s="20">
        <f>930</f>
        <v>930</v>
      </c>
      <c r="T17" s="39">
        <f t="shared" si="15"/>
        <v>-108</v>
      </c>
      <c r="U17" s="20"/>
      <c r="V17" s="20">
        <f>910</f>
        <v>910</v>
      </c>
      <c r="W17" s="39">
        <f t="shared" si="16"/>
        <v>-20</v>
      </c>
      <c r="X17" s="20">
        <v>120</v>
      </c>
      <c r="Y17" s="20">
        <f>750</f>
        <v>750</v>
      </c>
      <c r="Z17" s="20">
        <f t="shared" si="17"/>
        <v>-288</v>
      </c>
      <c r="AA17" s="20">
        <v>120</v>
      </c>
      <c r="AB17" s="20">
        <f>750</f>
        <v>750</v>
      </c>
      <c r="AC17" s="37">
        <f t="shared" si="18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.75" customHeight="1" thickBot="1" x14ac:dyDescent="0.3">
      <c r="A18" s="265"/>
      <c r="B18" s="127" t="s">
        <v>45</v>
      </c>
      <c r="C18" s="302"/>
      <c r="D18" s="42" t="s">
        <v>46</v>
      </c>
      <c r="E18" s="25">
        <v>1300</v>
      </c>
      <c r="F18" s="25"/>
      <c r="G18" s="25">
        <f>1183</f>
        <v>1183</v>
      </c>
      <c r="H18" s="25">
        <f t="shared" si="11"/>
        <v>-117</v>
      </c>
      <c r="I18" s="25"/>
      <c r="J18" s="25">
        <f>520+663</f>
        <v>1183</v>
      </c>
      <c r="K18" s="25">
        <f t="shared" si="12"/>
        <v>0</v>
      </c>
      <c r="L18" s="25">
        <f>854-616</f>
        <v>238</v>
      </c>
      <c r="M18" s="25">
        <f>110+27+199+280+238</f>
        <v>854</v>
      </c>
      <c r="N18" s="25">
        <f t="shared" si="13"/>
        <v>-329</v>
      </c>
      <c r="O18" s="25">
        <v>238</v>
      </c>
      <c r="P18" s="25">
        <f>854</f>
        <v>854</v>
      </c>
      <c r="Q18" s="25">
        <f t="shared" si="14"/>
        <v>0</v>
      </c>
      <c r="R18" s="25"/>
      <c r="S18" s="25">
        <f>530</f>
        <v>530</v>
      </c>
      <c r="T18" s="43">
        <f t="shared" si="15"/>
        <v>-324</v>
      </c>
      <c r="U18" s="25"/>
      <c r="V18" s="25">
        <f>130</f>
        <v>130</v>
      </c>
      <c r="W18" s="43">
        <f t="shared" si="16"/>
        <v>-400</v>
      </c>
      <c r="X18" s="25">
        <v>50</v>
      </c>
      <c r="Y18" s="25">
        <f>100</f>
        <v>100</v>
      </c>
      <c r="Z18" s="25">
        <f t="shared" si="17"/>
        <v>-754</v>
      </c>
      <c r="AA18" s="25">
        <v>50</v>
      </c>
      <c r="AB18" s="25">
        <f>100</f>
        <v>100</v>
      </c>
      <c r="AC18" s="44">
        <f t="shared" si="18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65"/>
      <c r="B19" s="253" t="s">
        <v>34</v>
      </c>
      <c r="C19" s="254"/>
      <c r="D19" s="255"/>
      <c r="E19" s="24">
        <f>+SUM(E16:E18)</f>
        <v>4190</v>
      </c>
      <c r="F19" s="24">
        <f t="shared" ref="F19:AC19" si="19">+SUM(F16:F18)</f>
        <v>0</v>
      </c>
      <c r="G19" s="24">
        <f t="shared" si="19"/>
        <v>3854</v>
      </c>
      <c r="H19" s="24">
        <f t="shared" si="19"/>
        <v>-336</v>
      </c>
      <c r="I19" s="24">
        <f t="shared" si="19"/>
        <v>0</v>
      </c>
      <c r="J19" s="24">
        <f t="shared" si="19"/>
        <v>3854</v>
      </c>
      <c r="K19" s="24">
        <f t="shared" si="19"/>
        <v>0</v>
      </c>
      <c r="L19" s="24">
        <f t="shared" si="19"/>
        <v>355</v>
      </c>
      <c r="M19" s="24">
        <f t="shared" si="19"/>
        <v>2967</v>
      </c>
      <c r="N19" s="24">
        <f t="shared" si="19"/>
        <v>-887</v>
      </c>
      <c r="O19" s="24">
        <f t="shared" si="19"/>
        <v>355</v>
      </c>
      <c r="P19" s="24">
        <f t="shared" si="19"/>
        <v>2967</v>
      </c>
      <c r="Q19" s="24">
        <f t="shared" si="19"/>
        <v>0</v>
      </c>
      <c r="R19" s="24">
        <f t="shared" si="19"/>
        <v>0</v>
      </c>
      <c r="S19" s="24">
        <f t="shared" si="19"/>
        <v>2430</v>
      </c>
      <c r="T19" s="24">
        <f t="shared" si="19"/>
        <v>-537</v>
      </c>
      <c r="U19" s="24">
        <f t="shared" si="19"/>
        <v>170</v>
      </c>
      <c r="V19" s="24">
        <f t="shared" si="19"/>
        <v>2010</v>
      </c>
      <c r="W19" s="24">
        <f t="shared" si="19"/>
        <v>-420</v>
      </c>
      <c r="X19" s="24">
        <f t="shared" si="19"/>
        <v>270</v>
      </c>
      <c r="Y19" s="24">
        <f t="shared" si="19"/>
        <v>1710</v>
      </c>
      <c r="Z19" s="24">
        <f t="shared" si="19"/>
        <v>-1257</v>
      </c>
      <c r="AA19" s="24">
        <f t="shared" si="19"/>
        <v>270</v>
      </c>
      <c r="AB19" s="24">
        <f t="shared" si="19"/>
        <v>1710</v>
      </c>
      <c r="AC19" s="24">
        <f t="shared" si="19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" customHeight="1" thickBot="1" x14ac:dyDescent="0.3">
      <c r="A20" s="266"/>
      <c r="B20" s="256" t="s">
        <v>40</v>
      </c>
      <c r="C20" s="256"/>
      <c r="D20" s="257"/>
      <c r="E20" s="26">
        <f>E19</f>
        <v>4190</v>
      </c>
      <c r="F20" s="26">
        <f t="shared" ref="F20:AC20" si="20">F19</f>
        <v>0</v>
      </c>
      <c r="G20" s="26">
        <f t="shared" si="20"/>
        <v>3854</v>
      </c>
      <c r="H20" s="26">
        <f t="shared" si="20"/>
        <v>-336</v>
      </c>
      <c r="I20" s="26">
        <f t="shared" si="20"/>
        <v>0</v>
      </c>
      <c r="J20" s="26">
        <f t="shared" si="20"/>
        <v>3854</v>
      </c>
      <c r="K20" s="26">
        <f t="shared" si="20"/>
        <v>0</v>
      </c>
      <c r="L20" s="26">
        <f t="shared" si="20"/>
        <v>355</v>
      </c>
      <c r="M20" s="26">
        <f t="shared" si="20"/>
        <v>2967</v>
      </c>
      <c r="N20" s="26">
        <f t="shared" si="20"/>
        <v>-887</v>
      </c>
      <c r="O20" s="26">
        <f t="shared" si="20"/>
        <v>355</v>
      </c>
      <c r="P20" s="26">
        <f t="shared" si="20"/>
        <v>2967</v>
      </c>
      <c r="Q20" s="26">
        <f t="shared" si="20"/>
        <v>0</v>
      </c>
      <c r="R20" s="26">
        <f t="shared" si="20"/>
        <v>0</v>
      </c>
      <c r="S20" s="26">
        <f t="shared" si="20"/>
        <v>2430</v>
      </c>
      <c r="T20" s="26">
        <f t="shared" si="20"/>
        <v>-537</v>
      </c>
      <c r="U20" s="26">
        <f t="shared" si="20"/>
        <v>170</v>
      </c>
      <c r="V20" s="26">
        <f t="shared" si="20"/>
        <v>2010</v>
      </c>
      <c r="W20" s="26">
        <f t="shared" si="20"/>
        <v>-420</v>
      </c>
      <c r="X20" s="26">
        <f t="shared" si="20"/>
        <v>270</v>
      </c>
      <c r="Y20" s="26">
        <f t="shared" si="20"/>
        <v>1710</v>
      </c>
      <c r="Z20" s="26">
        <f t="shared" si="20"/>
        <v>-1257</v>
      </c>
      <c r="AA20" s="26">
        <f t="shared" si="20"/>
        <v>270</v>
      </c>
      <c r="AB20" s="26">
        <f t="shared" si="20"/>
        <v>1710</v>
      </c>
      <c r="AC20" s="26">
        <f t="shared" si="20"/>
        <v>0</v>
      </c>
      <c r="AD20" s="45">
        <f t="shared" ref="AD20:AL20" si="21">SUM(AD16:AD19)</f>
        <v>355</v>
      </c>
      <c r="AE20" s="45">
        <f t="shared" si="21"/>
        <v>2011</v>
      </c>
      <c r="AF20" s="46">
        <f t="shared" si="21"/>
        <v>33.130000000000003</v>
      </c>
      <c r="AG20" s="45">
        <f t="shared" si="21"/>
        <v>10</v>
      </c>
      <c r="AH20" s="45">
        <f t="shared" si="21"/>
        <v>369</v>
      </c>
      <c r="AI20" s="45">
        <f t="shared" si="21"/>
        <v>6</v>
      </c>
      <c r="AJ20" s="45">
        <f t="shared" si="21"/>
        <v>98</v>
      </c>
      <c r="AK20" s="45">
        <f t="shared" si="21"/>
        <v>0</v>
      </c>
      <c r="AL20" s="45">
        <f t="shared" si="21"/>
        <v>28</v>
      </c>
      <c r="AM20" s="47">
        <f>L20*AF20/480/AG20</f>
        <v>2.4502395833333335</v>
      </c>
      <c r="AN20" s="48">
        <f>M20*AF20/480/AH20</f>
        <v>0.55497239159891598</v>
      </c>
      <c r="AO20" s="49"/>
    </row>
    <row r="21" spans="1:41" s="60" customFormat="1" ht="15.75" thickBot="1" x14ac:dyDescent="0.3">
      <c r="A21" s="50"/>
      <c r="B21" s="51"/>
      <c r="C21" s="51"/>
      <c r="D21" s="51"/>
      <c r="E21" s="51"/>
      <c r="F21" s="52"/>
      <c r="G21" s="51"/>
      <c r="H21" s="51"/>
      <c r="I21" s="121"/>
      <c r="J21" s="54"/>
      <c r="K21" s="51"/>
      <c r="L21" s="55"/>
      <c r="M21" s="51"/>
      <c r="N21" s="51"/>
      <c r="O21" s="56"/>
      <c r="P21" s="51"/>
      <c r="Q21" s="51"/>
      <c r="R21" s="55"/>
      <c r="S21" s="51"/>
      <c r="T21" s="51"/>
      <c r="U21" s="55"/>
      <c r="V21" s="51"/>
      <c r="W21" s="51"/>
      <c r="X21" s="55"/>
      <c r="Y21" s="51"/>
      <c r="Z21" s="51"/>
      <c r="AA21" s="55"/>
      <c r="AB21" s="51"/>
      <c r="AC21" s="51"/>
      <c r="AD21" s="120"/>
      <c r="AE21" s="58"/>
      <c r="AF21" s="51"/>
      <c r="AG21" s="120"/>
      <c r="AH21" s="58"/>
      <c r="AI21" s="120"/>
      <c r="AJ21" s="58"/>
      <c r="AK21" s="120"/>
      <c r="AL21" s="58"/>
      <c r="AM21" s="120"/>
      <c r="AN21" s="55"/>
      <c r="AO21" s="59"/>
    </row>
    <row r="22" spans="1:41" s="60" customFormat="1" ht="15.75" thickBot="1" x14ac:dyDescent="0.3">
      <c r="A22" s="258" t="s">
        <v>47</v>
      </c>
      <c r="B22" s="259"/>
      <c r="C22" s="259"/>
      <c r="D22" s="259"/>
      <c r="E22" s="260"/>
      <c r="F22" s="63">
        <f>F20+F15</f>
        <v>0</v>
      </c>
      <c r="G22" s="64"/>
      <c r="H22" s="64"/>
      <c r="I22" s="63">
        <f>I20+I15</f>
        <v>0</v>
      </c>
      <c r="J22" s="64"/>
      <c r="K22" s="65">
        <f>K20+K15</f>
        <v>0</v>
      </c>
      <c r="L22" s="66">
        <f>L20+L15</f>
        <v>616</v>
      </c>
      <c r="M22" s="64"/>
      <c r="N22" s="65">
        <f>N20+N15</f>
        <v>-2713</v>
      </c>
      <c r="O22" s="66">
        <f>O20+O15</f>
        <v>563</v>
      </c>
      <c r="P22" s="64"/>
      <c r="Q22" s="65">
        <f>Q20+Q15</f>
        <v>-52</v>
      </c>
      <c r="R22" s="66">
        <f>R20+R15</f>
        <v>0</v>
      </c>
      <c r="S22" s="64"/>
      <c r="T22" s="65">
        <f>T20+T15</f>
        <v>-964</v>
      </c>
      <c r="U22" s="66">
        <f>U20+U15</f>
        <v>170</v>
      </c>
      <c r="V22" s="64"/>
      <c r="W22" s="65">
        <f>W20+W15</f>
        <v>-440</v>
      </c>
      <c r="X22" s="66">
        <f>X20+X15</f>
        <v>315</v>
      </c>
      <c r="Y22" s="64"/>
      <c r="Z22" s="65">
        <f>Z20+Z15</f>
        <v>-2129</v>
      </c>
      <c r="AA22" s="66">
        <f>AA20+AA15</f>
        <v>315</v>
      </c>
      <c r="AB22" s="64"/>
      <c r="AC22" s="65">
        <f>AC20+AC15</f>
        <v>0</v>
      </c>
      <c r="AD22" s="67">
        <f>AD20+AD15</f>
        <v>616</v>
      </c>
      <c r="AE22" s="65">
        <f>AE20+AE15</f>
        <v>3110</v>
      </c>
      <c r="AF22" s="64"/>
      <c r="AG22" s="63">
        <f>AG20+AG15</f>
        <v>20</v>
      </c>
      <c r="AH22" s="68"/>
      <c r="AI22" s="63">
        <f>AI20+AI15</f>
        <v>13</v>
      </c>
      <c r="AJ22" s="68"/>
      <c r="AK22" s="63">
        <f>AK20+AK15</f>
        <v>1</v>
      </c>
      <c r="AL22" s="68"/>
      <c r="AM22" s="69">
        <f>SUM(AM20+AM15)/2</f>
        <v>1.8828397916666668</v>
      </c>
      <c r="AN22" s="69">
        <f>SUM(AN20+AN15)/2</f>
        <v>0.46089546732263681</v>
      </c>
      <c r="AO22" s="70"/>
    </row>
    <row r="23" spans="1:41" s="60" customFormat="1" ht="15" x14ac:dyDescent="0.25">
      <c r="O23" s="71"/>
    </row>
    <row r="24" spans="1:41" s="60" customFormat="1" ht="15" x14ac:dyDescent="0.25">
      <c r="O24" s="71"/>
      <c r="W24" s="60" t="s">
        <v>5</v>
      </c>
      <c r="Z24" s="60" t="s">
        <v>5</v>
      </c>
      <c r="AC24" s="60" t="s">
        <v>5</v>
      </c>
    </row>
  </sheetData>
  <mergeCells count="59"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  <mergeCell ref="AM4:AN4"/>
    <mergeCell ref="AO4:AO5"/>
    <mergeCell ref="A6:A15"/>
    <mergeCell ref="B6:B9"/>
    <mergeCell ref="C6:C13"/>
    <mergeCell ref="AD6:AD14"/>
    <mergeCell ref="AE6:AE14"/>
    <mergeCell ref="AF6:AF14"/>
    <mergeCell ref="AG6:AG14"/>
    <mergeCell ref="AH6:AH14"/>
    <mergeCell ref="X4:Z4"/>
    <mergeCell ref="AA4:AC4"/>
    <mergeCell ref="AD4:AE4"/>
    <mergeCell ref="AG4:AH4"/>
    <mergeCell ref="AI4:AJ4"/>
    <mergeCell ref="AK4:AL4"/>
    <mergeCell ref="AO6:AO14"/>
    <mergeCell ref="B10:B13"/>
    <mergeCell ref="B14:D14"/>
    <mergeCell ref="B15:D15"/>
    <mergeCell ref="A16:A20"/>
    <mergeCell ref="C16:C18"/>
    <mergeCell ref="AD16:AD19"/>
    <mergeCell ref="AE16:AE19"/>
    <mergeCell ref="AF16:AF19"/>
    <mergeCell ref="AG16:AG19"/>
    <mergeCell ref="AI6:AI14"/>
    <mergeCell ref="AJ6:AJ14"/>
    <mergeCell ref="AK6:AK14"/>
    <mergeCell ref="AL6:AL14"/>
    <mergeCell ref="AM6:AM14"/>
    <mergeCell ref="AN6:AN14"/>
    <mergeCell ref="AN16:AN19"/>
    <mergeCell ref="AO16:AO19"/>
    <mergeCell ref="B19:D19"/>
    <mergeCell ref="B20:D20"/>
    <mergeCell ref="A22:E22"/>
    <mergeCell ref="AH16:AH19"/>
    <mergeCell ref="AI16:AI19"/>
    <mergeCell ref="AJ16:AJ19"/>
    <mergeCell ref="AK16:AK19"/>
    <mergeCell ref="AL16:AL19"/>
    <mergeCell ref="AM16:AM19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22" max="5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16" sqref="A16:A20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0.42578125" style="1" bestFit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4.8554687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5.42578125" style="1" bestFit="1" customWidth="1"/>
    <col min="18" max="18" width="7.85546875" style="1" customWidth="1"/>
    <col min="19" max="19" width="8.85546875" style="1" customWidth="1"/>
    <col min="20" max="20" width="7.42578125" style="1" bestFit="1" customWidth="1"/>
    <col min="21" max="21" width="8.42578125" style="1" customWidth="1"/>
    <col min="22" max="22" width="7.85546875" style="1" customWidth="1"/>
    <col min="23" max="23" width="7.425781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45364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54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130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128" t="s">
        <v>26</v>
      </c>
      <c r="G5" s="9" t="s">
        <v>27</v>
      </c>
      <c r="H5" s="10" t="s">
        <v>28</v>
      </c>
      <c r="I5" s="130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129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130" t="s">
        <v>26</v>
      </c>
      <c r="AE5" s="9" t="s">
        <v>27</v>
      </c>
      <c r="AF5" s="128" t="s">
        <v>26</v>
      </c>
      <c r="AG5" s="128" t="s">
        <v>26</v>
      </c>
      <c r="AH5" s="9" t="s">
        <v>27</v>
      </c>
      <c r="AI5" s="128" t="s">
        <v>26</v>
      </c>
      <c r="AJ5" s="15" t="s">
        <v>27</v>
      </c>
      <c r="AK5" s="128" t="s">
        <v>26</v>
      </c>
      <c r="AL5" s="9" t="s">
        <v>27</v>
      </c>
      <c r="AM5" s="130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132">
        <v>680</v>
      </c>
      <c r="F6" s="132"/>
      <c r="G6" s="132">
        <f>680</f>
        <v>680</v>
      </c>
      <c r="H6" s="132">
        <f t="shared" ref="H6:H13" si="0">G6-E6</f>
        <v>0</v>
      </c>
      <c r="I6" s="132"/>
      <c r="J6" s="132">
        <f>428+252</f>
        <v>680</v>
      </c>
      <c r="K6" s="132">
        <f t="shared" ref="K6:K13" si="1">J6-G6</f>
        <v>0</v>
      </c>
      <c r="L6" s="132">
        <f>546-320</f>
        <v>226</v>
      </c>
      <c r="M6" s="132">
        <f>62+144+4+9+26+75+226</f>
        <v>546</v>
      </c>
      <c r="N6" s="132">
        <f t="shared" ref="N6:N13" si="2">M6-J6</f>
        <v>-134</v>
      </c>
      <c r="O6" s="132">
        <v>226</v>
      </c>
      <c r="P6" s="119">
        <f>546</f>
        <v>546</v>
      </c>
      <c r="Q6" s="132">
        <f t="shared" ref="Q6:Q13" si="3">P6-M6</f>
        <v>0</v>
      </c>
      <c r="R6" s="18">
        <f>540-210</f>
        <v>330</v>
      </c>
      <c r="S6" s="18">
        <f>210+330</f>
        <v>540</v>
      </c>
      <c r="T6" s="18">
        <f t="shared" ref="T6:T13" si="4">S6-P6</f>
        <v>-6</v>
      </c>
      <c r="U6" s="18"/>
      <c r="V6" s="18">
        <f>200</f>
        <v>200</v>
      </c>
      <c r="W6" s="18">
        <f t="shared" ref="W6:W13" si="5">V6-S6</f>
        <v>-340</v>
      </c>
      <c r="X6" s="132"/>
      <c r="Y6" s="132">
        <f>175</f>
        <v>175</v>
      </c>
      <c r="Z6" s="132">
        <f t="shared" ref="Z6:Z13" si="6">Y6-P6</f>
        <v>-371</v>
      </c>
      <c r="AA6" s="132"/>
      <c r="AB6" s="132">
        <f>175</f>
        <v>175</v>
      </c>
      <c r="AC6" s="19">
        <f t="shared" ref="AC6:AC13" si="7">AB6-Y6</f>
        <v>0</v>
      </c>
      <c r="AD6" s="267">
        <f>L14</f>
        <v>297</v>
      </c>
      <c r="AE6" s="267">
        <f>62+144+4+20+190+196+47+175+261+297</f>
        <v>1396</v>
      </c>
      <c r="AF6" s="282">
        <v>24.192</v>
      </c>
      <c r="AG6" s="267">
        <v>9</v>
      </c>
      <c r="AH6" s="277">
        <f>6+8+6+10+10+10+20+6+22+13+22+8+10+9</f>
        <v>160</v>
      </c>
      <c r="AI6" s="267">
        <v>7</v>
      </c>
      <c r="AJ6" s="277">
        <f>1+2+2+2+3+3+5+4+5+5+11+11+7+7</f>
        <v>68</v>
      </c>
      <c r="AK6" s="267">
        <v>1</v>
      </c>
      <c r="AL6" s="277">
        <f>1+1+1+1+1+1+1+1+1+1</f>
        <v>10</v>
      </c>
      <c r="AM6" s="270">
        <f>L14*AF6/480/AG6</f>
        <v>1.6632</v>
      </c>
      <c r="AN6" s="270">
        <f>M14*AF6/480/AH6</f>
        <v>0.43974000000000002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>
        <f>346-317</f>
        <v>29</v>
      </c>
      <c r="M7" s="20">
        <f>20+117+9+13+48+110+29</f>
        <v>346</v>
      </c>
      <c r="N7" s="20">
        <f t="shared" si="2"/>
        <v>-253</v>
      </c>
      <c r="O7" s="20">
        <v>29</v>
      </c>
      <c r="P7" s="20">
        <f>292+29</f>
        <v>321</v>
      </c>
      <c r="Q7" s="20">
        <f t="shared" si="3"/>
        <v>-25</v>
      </c>
      <c r="R7" s="20">
        <v>140</v>
      </c>
      <c r="S7" s="20">
        <f>160+140</f>
        <v>300</v>
      </c>
      <c r="T7" s="20">
        <f t="shared" si="4"/>
        <v>-21</v>
      </c>
      <c r="U7" s="20"/>
      <c r="V7" s="20">
        <f>150</f>
        <v>150</v>
      </c>
      <c r="W7" s="20">
        <f t="shared" si="5"/>
        <v>-150</v>
      </c>
      <c r="X7" s="20">
        <v>130</v>
      </c>
      <c r="Y7" s="20">
        <f>130</f>
        <v>130</v>
      </c>
      <c r="Z7" s="20">
        <f t="shared" si="6"/>
        <v>-191</v>
      </c>
      <c r="AA7" s="20">
        <v>130</v>
      </c>
      <c r="AB7" s="20">
        <f>130</f>
        <v>130</v>
      </c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>
        <f>462-420</f>
        <v>42</v>
      </c>
      <c r="M8" s="20">
        <f>73+187+25+59+76+42</f>
        <v>462</v>
      </c>
      <c r="N8" s="20">
        <f t="shared" si="2"/>
        <v>-215</v>
      </c>
      <c r="O8" s="20">
        <v>42</v>
      </c>
      <c r="P8" s="20">
        <f>420+42</f>
        <v>462</v>
      </c>
      <c r="Q8" s="20">
        <f t="shared" si="3"/>
        <v>0</v>
      </c>
      <c r="R8" s="20">
        <v>150</v>
      </c>
      <c r="S8" s="20">
        <f>250+150</f>
        <v>400</v>
      </c>
      <c r="T8" s="20">
        <f t="shared" si="4"/>
        <v>-62</v>
      </c>
      <c r="U8" s="20"/>
      <c r="V8" s="20">
        <f>250</f>
        <v>250</v>
      </c>
      <c r="W8" s="20">
        <f t="shared" si="5"/>
        <v>-150</v>
      </c>
      <c r="X8" s="20">
        <v>180</v>
      </c>
      <c r="Y8" s="20">
        <f>180</f>
        <v>180</v>
      </c>
      <c r="Z8" s="20">
        <f t="shared" si="6"/>
        <v>-282</v>
      </c>
      <c r="AA8" s="20">
        <v>180</v>
      </c>
      <c r="AB8" s="20">
        <f>180</f>
        <v>180</v>
      </c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>
        <f>42</f>
        <v>42</v>
      </c>
      <c r="N9" s="20">
        <f t="shared" si="2"/>
        <v>-64</v>
      </c>
      <c r="O9" s="20"/>
      <c r="P9" s="20">
        <f>42</f>
        <v>42</v>
      </c>
      <c r="Q9" s="20">
        <f t="shared" si="3"/>
        <v>0</v>
      </c>
      <c r="R9" s="20"/>
      <c r="S9" s="20"/>
      <c r="T9" s="20">
        <f t="shared" si="4"/>
        <v>-42</v>
      </c>
      <c r="U9" s="20"/>
      <c r="V9" s="20"/>
      <c r="W9" s="20">
        <f t="shared" si="5"/>
        <v>0</v>
      </c>
      <c r="X9" s="20"/>
      <c r="Y9" s="20"/>
      <c r="Z9" s="20">
        <f t="shared" si="6"/>
        <v>-42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279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/>
      <c r="M10" s="20"/>
      <c r="N10" s="20">
        <f t="shared" si="2"/>
        <v>-223</v>
      </c>
      <c r="O10" s="20"/>
      <c r="P10" s="20"/>
      <c r="Q10" s="20">
        <f t="shared" si="3"/>
        <v>0</v>
      </c>
      <c r="R10" s="20"/>
      <c r="S10" s="20"/>
      <c r="T10" s="20">
        <f t="shared" si="4"/>
        <v>0</v>
      </c>
      <c r="U10" s="20"/>
      <c r="V10" s="20"/>
      <c r="W10" s="20">
        <f t="shared" si="5"/>
        <v>0</v>
      </c>
      <c r="X10" s="20"/>
      <c r="Y10" s="20"/>
      <c r="Z10" s="20">
        <f t="shared" si="6"/>
        <v>0</v>
      </c>
      <c r="AA10" s="20"/>
      <c r="AB10" s="20"/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/>
      <c r="N11" s="20">
        <f t="shared" si="2"/>
        <v>-227</v>
      </c>
      <c r="O11" s="20"/>
      <c r="P11" s="20"/>
      <c r="Q11" s="20">
        <f t="shared" si="3"/>
        <v>0</v>
      </c>
      <c r="R11" s="20"/>
      <c r="S11" s="20"/>
      <c r="T11" s="20">
        <f t="shared" si="4"/>
        <v>0</v>
      </c>
      <c r="U11" s="20"/>
      <c r="V11" s="20"/>
      <c r="W11" s="20">
        <f t="shared" si="5"/>
        <v>0</v>
      </c>
      <c r="X11" s="20"/>
      <c r="Y11" s="20"/>
      <c r="Z11" s="20">
        <f t="shared" si="6"/>
        <v>0</v>
      </c>
      <c r="AA11" s="20"/>
      <c r="AB11" s="20"/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/>
      <c r="M12" s="20"/>
      <c r="N12" s="20">
        <f t="shared" si="2"/>
        <v>-242</v>
      </c>
      <c r="O12" s="20"/>
      <c r="P12" s="20"/>
      <c r="Q12" s="20">
        <f t="shared" si="3"/>
        <v>0</v>
      </c>
      <c r="R12" s="20"/>
      <c r="S12" s="20"/>
      <c r="T12" s="20">
        <f t="shared" si="4"/>
        <v>0</v>
      </c>
      <c r="U12" s="20"/>
      <c r="V12" s="20"/>
      <c r="W12" s="20">
        <f t="shared" si="5"/>
        <v>0</v>
      </c>
      <c r="X12" s="20"/>
      <c r="Y12" s="20"/>
      <c r="Z12" s="20">
        <f t="shared" si="6"/>
        <v>0</v>
      </c>
      <c r="AA12" s="20"/>
      <c r="AB12" s="20"/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ht="18" thickBot="1" x14ac:dyDescent="0.3">
      <c r="A13" s="283"/>
      <c r="B13" s="299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/>
      <c r="M13" s="20"/>
      <c r="N13" s="20">
        <f t="shared" si="2"/>
        <v>-171</v>
      </c>
      <c r="O13" s="20"/>
      <c r="P13" s="20"/>
      <c r="Q13" s="20">
        <f t="shared" si="3"/>
        <v>0</v>
      </c>
      <c r="R13" s="25"/>
      <c r="S13" s="25"/>
      <c r="T13" s="25">
        <f t="shared" si="4"/>
        <v>0</v>
      </c>
      <c r="U13" s="25"/>
      <c r="V13" s="25"/>
      <c r="W13" s="25">
        <f t="shared" si="5"/>
        <v>0</v>
      </c>
      <c r="X13" s="20"/>
      <c r="Y13" s="20"/>
      <c r="Z13" s="20">
        <f t="shared" si="6"/>
        <v>0</v>
      </c>
      <c r="AA13" s="20"/>
      <c r="AB13" s="20"/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ht="18" thickBot="1" x14ac:dyDescent="0.3">
      <c r="A14" s="283"/>
      <c r="B14" s="272" t="s">
        <v>34</v>
      </c>
      <c r="C14" s="273"/>
      <c r="D14" s="274"/>
      <c r="E14" s="23">
        <f>+SUM(E6:E13)</f>
        <v>3162</v>
      </c>
      <c r="F14" s="23">
        <f>+SUM(F6:F13)</f>
        <v>0</v>
      </c>
      <c r="G14" s="23">
        <f>SUM(G6:G13)</f>
        <v>2925</v>
      </c>
      <c r="H14" s="23">
        <f t="shared" ref="H14:AC14" si="8">+SUM(H6:H13)</f>
        <v>-237</v>
      </c>
      <c r="I14" s="23">
        <f t="shared" si="8"/>
        <v>0</v>
      </c>
      <c r="J14" s="23">
        <f t="shared" si="8"/>
        <v>2925</v>
      </c>
      <c r="K14" s="23">
        <f t="shared" si="8"/>
        <v>0</v>
      </c>
      <c r="L14" s="23">
        <f t="shared" si="8"/>
        <v>297</v>
      </c>
      <c r="M14" s="23">
        <f t="shared" si="8"/>
        <v>1396</v>
      </c>
      <c r="N14" s="23">
        <f t="shared" si="8"/>
        <v>-1529</v>
      </c>
      <c r="O14" s="23">
        <f t="shared" si="8"/>
        <v>297</v>
      </c>
      <c r="P14" s="23">
        <f t="shared" si="8"/>
        <v>1371</v>
      </c>
      <c r="Q14" s="23">
        <f t="shared" si="8"/>
        <v>-25</v>
      </c>
      <c r="R14" s="24">
        <f t="shared" si="8"/>
        <v>620</v>
      </c>
      <c r="S14" s="24">
        <f t="shared" si="8"/>
        <v>1240</v>
      </c>
      <c r="T14" s="24">
        <f t="shared" si="8"/>
        <v>-131</v>
      </c>
      <c r="U14" s="24">
        <f t="shared" si="8"/>
        <v>0</v>
      </c>
      <c r="V14" s="24">
        <f t="shared" si="8"/>
        <v>600</v>
      </c>
      <c r="W14" s="24">
        <f t="shared" si="8"/>
        <v>-640</v>
      </c>
      <c r="X14" s="23">
        <f t="shared" si="8"/>
        <v>310</v>
      </c>
      <c r="Y14" s="23">
        <f t="shared" si="8"/>
        <v>485</v>
      </c>
      <c r="Z14" s="23">
        <f t="shared" si="8"/>
        <v>-886</v>
      </c>
      <c r="AA14" s="23">
        <f t="shared" si="8"/>
        <v>310</v>
      </c>
      <c r="AB14" s="23">
        <f t="shared" si="8"/>
        <v>485</v>
      </c>
      <c r="AC14" s="15">
        <f t="shared" si="8"/>
        <v>0</v>
      </c>
      <c r="AD14" s="264"/>
      <c r="AE14" s="264"/>
      <c r="AF14" s="269"/>
      <c r="AG14" s="264"/>
      <c r="AH14" s="262"/>
      <c r="AI14" s="264"/>
      <c r="AJ14" s="262"/>
      <c r="AK14" s="264"/>
      <c r="AL14" s="262"/>
      <c r="AM14" s="250"/>
      <c r="AN14" s="250"/>
      <c r="AO14" s="252"/>
    </row>
    <row r="15" spans="1:41" ht="18" thickBot="1" x14ac:dyDescent="0.3">
      <c r="A15" s="284"/>
      <c r="B15" s="275" t="s">
        <v>40</v>
      </c>
      <c r="C15" s="275"/>
      <c r="D15" s="276"/>
      <c r="E15" s="26">
        <f>E14</f>
        <v>3162</v>
      </c>
      <c r="F15" s="26">
        <f t="shared" ref="F15:AC15" si="9">F14</f>
        <v>0</v>
      </c>
      <c r="G15" s="26">
        <f t="shared" si="9"/>
        <v>2925</v>
      </c>
      <c r="H15" s="26">
        <f t="shared" si="9"/>
        <v>-237</v>
      </c>
      <c r="I15" s="26">
        <f t="shared" si="9"/>
        <v>0</v>
      </c>
      <c r="J15" s="26">
        <f t="shared" si="9"/>
        <v>2925</v>
      </c>
      <c r="K15" s="26">
        <f t="shared" si="9"/>
        <v>0</v>
      </c>
      <c r="L15" s="26">
        <f t="shared" si="9"/>
        <v>297</v>
      </c>
      <c r="M15" s="26">
        <f t="shared" si="9"/>
        <v>1396</v>
      </c>
      <c r="N15" s="26">
        <f t="shared" si="9"/>
        <v>-1529</v>
      </c>
      <c r="O15" s="26">
        <f t="shared" si="9"/>
        <v>297</v>
      </c>
      <c r="P15" s="26">
        <f t="shared" si="9"/>
        <v>1371</v>
      </c>
      <c r="Q15" s="26">
        <f t="shared" si="9"/>
        <v>-25</v>
      </c>
      <c r="R15" s="26">
        <f t="shared" si="9"/>
        <v>620</v>
      </c>
      <c r="S15" s="26">
        <f t="shared" si="9"/>
        <v>1240</v>
      </c>
      <c r="T15" s="26">
        <f t="shared" si="9"/>
        <v>-131</v>
      </c>
      <c r="U15" s="26">
        <f t="shared" si="9"/>
        <v>0</v>
      </c>
      <c r="V15" s="26">
        <f t="shared" si="9"/>
        <v>600</v>
      </c>
      <c r="W15" s="26">
        <f t="shared" si="9"/>
        <v>-640</v>
      </c>
      <c r="X15" s="26">
        <f t="shared" si="9"/>
        <v>310</v>
      </c>
      <c r="Y15" s="26">
        <f t="shared" si="9"/>
        <v>485</v>
      </c>
      <c r="Z15" s="26">
        <f t="shared" si="9"/>
        <v>-886</v>
      </c>
      <c r="AA15" s="26">
        <f t="shared" si="9"/>
        <v>310</v>
      </c>
      <c r="AB15" s="26">
        <f t="shared" si="9"/>
        <v>485</v>
      </c>
      <c r="AC15" s="26">
        <f t="shared" si="9"/>
        <v>0</v>
      </c>
      <c r="AD15" s="27">
        <f t="shared" ref="AD15:AL15" si="10">SUM(AD6:AD14)</f>
        <v>297</v>
      </c>
      <c r="AE15" s="27">
        <f t="shared" si="10"/>
        <v>1396</v>
      </c>
      <c r="AF15" s="28">
        <f t="shared" si="10"/>
        <v>24.192</v>
      </c>
      <c r="AG15" s="27">
        <f>SUM(AG6:AG14)</f>
        <v>9</v>
      </c>
      <c r="AH15" s="27">
        <f t="shared" si="10"/>
        <v>160</v>
      </c>
      <c r="AI15" s="27">
        <f t="shared" si="10"/>
        <v>7</v>
      </c>
      <c r="AJ15" s="27">
        <f t="shared" si="10"/>
        <v>68</v>
      </c>
      <c r="AK15" s="27">
        <f t="shared" si="10"/>
        <v>1</v>
      </c>
      <c r="AL15" s="27">
        <f t="shared" si="10"/>
        <v>10</v>
      </c>
      <c r="AM15" s="29">
        <f>L15*AF15/480/AG15</f>
        <v>1.6632</v>
      </c>
      <c r="AN15" s="30">
        <f>M15*AF15/480/AH15</f>
        <v>0.43974000000000002</v>
      </c>
      <c r="AO15" s="31"/>
    </row>
    <row r="16" spans="1:41" ht="18.75" customHeight="1" x14ac:dyDescent="0.25">
      <c r="A16" s="265" t="s">
        <v>32</v>
      </c>
      <c r="B16" s="131" t="s">
        <v>41</v>
      </c>
      <c r="C16" s="300" t="s">
        <v>37</v>
      </c>
      <c r="D16" s="34" t="s">
        <v>42</v>
      </c>
      <c r="E16" s="132">
        <v>1645</v>
      </c>
      <c r="F16" s="132"/>
      <c r="G16" s="132">
        <f>1433</f>
        <v>1433</v>
      </c>
      <c r="H16" s="132">
        <f t="shared" ref="H16:H18" si="11">G16-E16</f>
        <v>-212</v>
      </c>
      <c r="I16" s="132"/>
      <c r="J16" s="132">
        <f>100+200+300+350+400+83</f>
        <v>1433</v>
      </c>
      <c r="K16" s="132">
        <f t="shared" ref="K16:K18" si="12">J16-G16</f>
        <v>0</v>
      </c>
      <c r="L16" s="132">
        <f>1241-1075</f>
        <v>166</v>
      </c>
      <c r="M16" s="132">
        <f>102+201+302+351-99-125-110+133+127+49+120+24+166</f>
        <v>1241</v>
      </c>
      <c r="N16" s="132">
        <f t="shared" ref="N16:N18" si="13">M16-J16</f>
        <v>-192</v>
      </c>
      <c r="O16" s="132">
        <v>166</v>
      </c>
      <c r="P16" s="132">
        <f>1075+166</f>
        <v>1241</v>
      </c>
      <c r="Q16" s="132">
        <f t="shared" ref="Q16:Q18" si="14">P16-M16</f>
        <v>0</v>
      </c>
      <c r="R16" s="132">
        <f>1230-970</f>
        <v>260</v>
      </c>
      <c r="S16" s="132">
        <f>970+260</f>
        <v>1230</v>
      </c>
      <c r="T16" s="35">
        <f t="shared" ref="T16:T18" si="15">S16-P16</f>
        <v>-11</v>
      </c>
      <c r="U16" s="132"/>
      <c r="V16" s="132">
        <f>970</f>
        <v>970</v>
      </c>
      <c r="W16" s="35">
        <f t="shared" ref="W16:W18" si="16">V16-S16</f>
        <v>-260</v>
      </c>
      <c r="X16" s="132">
        <v>80</v>
      </c>
      <c r="Y16" s="132">
        <f>860+80</f>
        <v>940</v>
      </c>
      <c r="Z16" s="132">
        <f t="shared" ref="Z16:Z18" si="17">Y16-P16</f>
        <v>-301</v>
      </c>
      <c r="AA16" s="132">
        <v>80</v>
      </c>
      <c r="AB16" s="132">
        <f>860+80</f>
        <v>940</v>
      </c>
      <c r="AC16" s="33">
        <f t="shared" ref="AC16:AC18" si="18">AB16-Y16</f>
        <v>0</v>
      </c>
      <c r="AD16" s="267">
        <f>L19</f>
        <v>358</v>
      </c>
      <c r="AE16" s="263">
        <f>300+98+344+213+289+412+355+358</f>
        <v>2369</v>
      </c>
      <c r="AF16" s="268">
        <v>33.130000000000003</v>
      </c>
      <c r="AG16" s="263">
        <v>10</v>
      </c>
      <c r="AH16" s="261">
        <f>2+10+8+8+8+6+6+6+9+5+6+8+7+7+6+6+6+6+6+6+7+7+7+7+6+7+17+16+16+22+21+21+10+20+20+13+10+10+10</f>
        <v>379</v>
      </c>
      <c r="AI16" s="263">
        <v>7</v>
      </c>
      <c r="AJ16" s="261">
        <f>1+1+1+1+1+1+1+2+2+2+2+2+2+2+2+2+2+1+1+1+1+1+1+1+1+4+3+4+5+8+8+6+7+6+6+6+7</f>
        <v>105</v>
      </c>
      <c r="AK16" s="263">
        <v>1</v>
      </c>
      <c r="AL16" s="261">
        <f>1+1+1+1+1+1+1+1+1+1+1+1+1+1+1+1+2+2+2+2+2+1+1+1</f>
        <v>29</v>
      </c>
      <c r="AM16" s="249">
        <f>L19*AF16/480/AG16</f>
        <v>2.4709458333333334</v>
      </c>
      <c r="AN16" s="249">
        <f>M19*AF16/480/AH16</f>
        <v>0.60552578056288486</v>
      </c>
      <c r="AO16" s="251"/>
    </row>
    <row r="17" spans="1:41" ht="18.75" customHeight="1" x14ac:dyDescent="0.25">
      <c r="A17" s="265"/>
      <c r="B17" s="36" t="s">
        <v>43</v>
      </c>
      <c r="C17" s="301"/>
      <c r="D17" s="38" t="s">
        <v>44</v>
      </c>
      <c r="E17" s="20">
        <v>1245</v>
      </c>
      <c r="F17" s="20"/>
      <c r="G17" s="20">
        <f>1238</f>
        <v>1238</v>
      </c>
      <c r="H17" s="20">
        <f t="shared" si="11"/>
        <v>-7</v>
      </c>
      <c r="I17" s="20"/>
      <c r="J17" s="20">
        <f>650+588</f>
        <v>1238</v>
      </c>
      <c r="K17" s="20">
        <f t="shared" si="12"/>
        <v>0</v>
      </c>
      <c r="L17" s="20">
        <f>1095-1038</f>
        <v>57</v>
      </c>
      <c r="M17" s="20">
        <f>300+99+125+110+98+101+59+41+12+93+57</f>
        <v>1095</v>
      </c>
      <c r="N17" s="20">
        <f t="shared" si="13"/>
        <v>-143</v>
      </c>
      <c r="O17" s="20">
        <v>57</v>
      </c>
      <c r="P17" s="20">
        <f>1038+57</f>
        <v>1095</v>
      </c>
      <c r="Q17" s="20">
        <f t="shared" si="14"/>
        <v>0</v>
      </c>
      <c r="R17" s="20">
        <f>1090-930</f>
        <v>160</v>
      </c>
      <c r="S17" s="20">
        <f>930+160</f>
        <v>1090</v>
      </c>
      <c r="T17" s="39">
        <f t="shared" si="15"/>
        <v>-5</v>
      </c>
      <c r="U17" s="20"/>
      <c r="V17" s="20">
        <f>910</f>
        <v>910</v>
      </c>
      <c r="W17" s="39">
        <f t="shared" si="16"/>
        <v>-180</v>
      </c>
      <c r="X17" s="20">
        <v>75</v>
      </c>
      <c r="Y17" s="20">
        <f>750+75</f>
        <v>825</v>
      </c>
      <c r="Z17" s="20">
        <f t="shared" si="17"/>
        <v>-270</v>
      </c>
      <c r="AA17" s="20">
        <v>75</v>
      </c>
      <c r="AB17" s="20">
        <f>750+75</f>
        <v>825</v>
      </c>
      <c r="AC17" s="37">
        <f t="shared" si="18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.75" customHeight="1" thickBot="1" x14ac:dyDescent="0.3">
      <c r="A18" s="265"/>
      <c r="B18" s="135" t="s">
        <v>45</v>
      </c>
      <c r="C18" s="302"/>
      <c r="D18" s="42" t="s">
        <v>46</v>
      </c>
      <c r="E18" s="25">
        <v>1300</v>
      </c>
      <c r="F18" s="25"/>
      <c r="G18" s="25">
        <f>1183</f>
        <v>1183</v>
      </c>
      <c r="H18" s="25">
        <f t="shared" si="11"/>
        <v>-117</v>
      </c>
      <c r="I18" s="25"/>
      <c r="J18" s="25">
        <f>520+663</f>
        <v>1183</v>
      </c>
      <c r="K18" s="25">
        <f t="shared" si="12"/>
        <v>0</v>
      </c>
      <c r="L18" s="25">
        <f>989-854</f>
        <v>135</v>
      </c>
      <c r="M18" s="25">
        <f>110+27+199+280+238+135</f>
        <v>989</v>
      </c>
      <c r="N18" s="25">
        <f t="shared" si="13"/>
        <v>-194</v>
      </c>
      <c r="O18" s="25">
        <v>135</v>
      </c>
      <c r="P18" s="25">
        <f>854+135</f>
        <v>989</v>
      </c>
      <c r="Q18" s="25">
        <f t="shared" si="14"/>
        <v>0</v>
      </c>
      <c r="R18" s="25">
        <v>420</v>
      </c>
      <c r="S18" s="25">
        <f>530+420</f>
        <v>950</v>
      </c>
      <c r="T18" s="43">
        <f t="shared" si="15"/>
        <v>-39</v>
      </c>
      <c r="U18" s="25">
        <v>400</v>
      </c>
      <c r="V18" s="25">
        <f>130+400</f>
        <v>530</v>
      </c>
      <c r="W18" s="43">
        <f t="shared" si="16"/>
        <v>-420</v>
      </c>
      <c r="X18" s="25">
        <v>190</v>
      </c>
      <c r="Y18" s="25">
        <f>100+190</f>
        <v>290</v>
      </c>
      <c r="Z18" s="25">
        <f t="shared" si="17"/>
        <v>-699</v>
      </c>
      <c r="AA18" s="25">
        <v>190</v>
      </c>
      <c r="AB18" s="25">
        <f>100+190</f>
        <v>290</v>
      </c>
      <c r="AC18" s="44">
        <f t="shared" si="18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65"/>
      <c r="B19" s="253" t="s">
        <v>34</v>
      </c>
      <c r="C19" s="254"/>
      <c r="D19" s="255"/>
      <c r="E19" s="24">
        <f>+SUM(E16:E18)</f>
        <v>4190</v>
      </c>
      <c r="F19" s="24">
        <f t="shared" ref="F19:AC19" si="19">+SUM(F16:F18)</f>
        <v>0</v>
      </c>
      <c r="G19" s="24">
        <f t="shared" si="19"/>
        <v>3854</v>
      </c>
      <c r="H19" s="24">
        <f t="shared" si="19"/>
        <v>-336</v>
      </c>
      <c r="I19" s="24">
        <f t="shared" si="19"/>
        <v>0</v>
      </c>
      <c r="J19" s="24">
        <f t="shared" si="19"/>
        <v>3854</v>
      </c>
      <c r="K19" s="24">
        <f t="shared" si="19"/>
        <v>0</v>
      </c>
      <c r="L19" s="24">
        <f t="shared" si="19"/>
        <v>358</v>
      </c>
      <c r="M19" s="24">
        <f t="shared" si="19"/>
        <v>3325</v>
      </c>
      <c r="N19" s="24">
        <f t="shared" si="19"/>
        <v>-529</v>
      </c>
      <c r="O19" s="24">
        <f t="shared" si="19"/>
        <v>358</v>
      </c>
      <c r="P19" s="24">
        <f t="shared" si="19"/>
        <v>3325</v>
      </c>
      <c r="Q19" s="24">
        <f t="shared" si="19"/>
        <v>0</v>
      </c>
      <c r="R19" s="24">
        <f t="shared" si="19"/>
        <v>840</v>
      </c>
      <c r="S19" s="24">
        <f t="shared" si="19"/>
        <v>3270</v>
      </c>
      <c r="T19" s="24">
        <f t="shared" si="19"/>
        <v>-55</v>
      </c>
      <c r="U19" s="24">
        <f t="shared" si="19"/>
        <v>400</v>
      </c>
      <c r="V19" s="24">
        <f t="shared" si="19"/>
        <v>2410</v>
      </c>
      <c r="W19" s="24">
        <f t="shared" si="19"/>
        <v>-860</v>
      </c>
      <c r="X19" s="24">
        <f t="shared" si="19"/>
        <v>345</v>
      </c>
      <c r="Y19" s="24">
        <f t="shared" si="19"/>
        <v>2055</v>
      </c>
      <c r="Z19" s="24">
        <f t="shared" si="19"/>
        <v>-1270</v>
      </c>
      <c r="AA19" s="24">
        <f t="shared" si="19"/>
        <v>345</v>
      </c>
      <c r="AB19" s="24">
        <f t="shared" si="19"/>
        <v>2055</v>
      </c>
      <c r="AC19" s="24">
        <f t="shared" si="19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" customHeight="1" thickBot="1" x14ac:dyDescent="0.3">
      <c r="A20" s="266"/>
      <c r="B20" s="256" t="s">
        <v>40</v>
      </c>
      <c r="C20" s="256"/>
      <c r="D20" s="257"/>
      <c r="E20" s="26">
        <f>E19</f>
        <v>4190</v>
      </c>
      <c r="F20" s="26">
        <f t="shared" ref="F20:AC20" si="20">F19</f>
        <v>0</v>
      </c>
      <c r="G20" s="26">
        <f t="shared" si="20"/>
        <v>3854</v>
      </c>
      <c r="H20" s="26">
        <f t="shared" si="20"/>
        <v>-336</v>
      </c>
      <c r="I20" s="26">
        <f t="shared" si="20"/>
        <v>0</v>
      </c>
      <c r="J20" s="26">
        <f t="shared" si="20"/>
        <v>3854</v>
      </c>
      <c r="K20" s="26">
        <f t="shared" si="20"/>
        <v>0</v>
      </c>
      <c r="L20" s="26">
        <f t="shared" si="20"/>
        <v>358</v>
      </c>
      <c r="M20" s="26">
        <f t="shared" si="20"/>
        <v>3325</v>
      </c>
      <c r="N20" s="26">
        <f t="shared" si="20"/>
        <v>-529</v>
      </c>
      <c r="O20" s="26">
        <f t="shared" si="20"/>
        <v>358</v>
      </c>
      <c r="P20" s="26">
        <f t="shared" si="20"/>
        <v>3325</v>
      </c>
      <c r="Q20" s="26">
        <f t="shared" si="20"/>
        <v>0</v>
      </c>
      <c r="R20" s="26">
        <f t="shared" si="20"/>
        <v>840</v>
      </c>
      <c r="S20" s="26">
        <f t="shared" si="20"/>
        <v>3270</v>
      </c>
      <c r="T20" s="26">
        <f t="shared" si="20"/>
        <v>-55</v>
      </c>
      <c r="U20" s="26">
        <f t="shared" si="20"/>
        <v>400</v>
      </c>
      <c r="V20" s="26">
        <f t="shared" si="20"/>
        <v>2410</v>
      </c>
      <c r="W20" s="26">
        <f t="shared" si="20"/>
        <v>-860</v>
      </c>
      <c r="X20" s="26">
        <f t="shared" si="20"/>
        <v>345</v>
      </c>
      <c r="Y20" s="26">
        <f t="shared" si="20"/>
        <v>2055</v>
      </c>
      <c r="Z20" s="26">
        <f t="shared" si="20"/>
        <v>-1270</v>
      </c>
      <c r="AA20" s="26">
        <f t="shared" si="20"/>
        <v>345</v>
      </c>
      <c r="AB20" s="26">
        <f t="shared" si="20"/>
        <v>2055</v>
      </c>
      <c r="AC20" s="26">
        <f t="shared" si="20"/>
        <v>0</v>
      </c>
      <c r="AD20" s="45">
        <f t="shared" ref="AD20:AL20" si="21">SUM(AD16:AD19)</f>
        <v>358</v>
      </c>
      <c r="AE20" s="45">
        <f t="shared" si="21"/>
        <v>2369</v>
      </c>
      <c r="AF20" s="46">
        <f t="shared" si="21"/>
        <v>33.130000000000003</v>
      </c>
      <c r="AG20" s="45">
        <f t="shared" si="21"/>
        <v>10</v>
      </c>
      <c r="AH20" s="45">
        <f t="shared" si="21"/>
        <v>379</v>
      </c>
      <c r="AI20" s="45">
        <f t="shared" si="21"/>
        <v>7</v>
      </c>
      <c r="AJ20" s="45">
        <f t="shared" si="21"/>
        <v>105</v>
      </c>
      <c r="AK20" s="45">
        <f t="shared" si="21"/>
        <v>1</v>
      </c>
      <c r="AL20" s="45">
        <f t="shared" si="21"/>
        <v>29</v>
      </c>
      <c r="AM20" s="47">
        <f>L20*AF20/480/AG20</f>
        <v>2.4709458333333334</v>
      </c>
      <c r="AN20" s="48">
        <f>M20*AF20/480/AH20</f>
        <v>0.60552578056288486</v>
      </c>
      <c r="AO20" s="49"/>
    </row>
    <row r="21" spans="1:41" s="60" customFormat="1" ht="15.75" thickBot="1" x14ac:dyDescent="0.3">
      <c r="A21" s="50"/>
      <c r="B21" s="51"/>
      <c r="C21" s="51"/>
      <c r="D21" s="51"/>
      <c r="E21" s="51"/>
      <c r="F21" s="52"/>
      <c r="G21" s="51"/>
      <c r="H21" s="51"/>
      <c r="I21" s="134"/>
      <c r="J21" s="54"/>
      <c r="K21" s="51"/>
      <c r="L21" s="55"/>
      <c r="M21" s="51"/>
      <c r="N21" s="51"/>
      <c r="O21" s="56"/>
      <c r="P21" s="51"/>
      <c r="Q21" s="51"/>
      <c r="R21" s="55"/>
      <c r="S21" s="51"/>
      <c r="T21" s="51"/>
      <c r="U21" s="55"/>
      <c r="V21" s="51"/>
      <c r="W21" s="51"/>
      <c r="X21" s="55"/>
      <c r="Y21" s="51"/>
      <c r="Z21" s="51"/>
      <c r="AA21" s="55"/>
      <c r="AB21" s="51"/>
      <c r="AC21" s="51"/>
      <c r="AD21" s="133"/>
      <c r="AE21" s="58"/>
      <c r="AF21" s="51"/>
      <c r="AG21" s="133"/>
      <c r="AH21" s="58"/>
      <c r="AI21" s="133"/>
      <c r="AJ21" s="58"/>
      <c r="AK21" s="133"/>
      <c r="AL21" s="58"/>
      <c r="AM21" s="133"/>
      <c r="AN21" s="55"/>
      <c r="AO21" s="59"/>
    </row>
    <row r="22" spans="1:41" s="60" customFormat="1" ht="15.75" thickBot="1" x14ac:dyDescent="0.3">
      <c r="A22" s="258" t="s">
        <v>47</v>
      </c>
      <c r="B22" s="259"/>
      <c r="C22" s="259"/>
      <c r="D22" s="259"/>
      <c r="E22" s="260"/>
      <c r="F22" s="63">
        <f>F20+F15</f>
        <v>0</v>
      </c>
      <c r="G22" s="64"/>
      <c r="H22" s="64"/>
      <c r="I22" s="63">
        <f>I20+I15</f>
        <v>0</v>
      </c>
      <c r="J22" s="64"/>
      <c r="K22" s="65">
        <f>K20+K15</f>
        <v>0</v>
      </c>
      <c r="L22" s="66">
        <f>L20+L15</f>
        <v>655</v>
      </c>
      <c r="M22" s="64"/>
      <c r="N22" s="65">
        <f>N20+N15</f>
        <v>-2058</v>
      </c>
      <c r="O22" s="66">
        <f>O20+O15</f>
        <v>655</v>
      </c>
      <c r="P22" s="64"/>
      <c r="Q22" s="65">
        <f>Q20+Q15</f>
        <v>-25</v>
      </c>
      <c r="R22" s="66">
        <f>R20+R15</f>
        <v>1460</v>
      </c>
      <c r="S22" s="64"/>
      <c r="T22" s="65">
        <f>T20+T15</f>
        <v>-186</v>
      </c>
      <c r="U22" s="66">
        <f>U20+U15</f>
        <v>400</v>
      </c>
      <c r="V22" s="64"/>
      <c r="W22" s="65">
        <f>W20+W15</f>
        <v>-1500</v>
      </c>
      <c r="X22" s="66">
        <f>X20+X15</f>
        <v>655</v>
      </c>
      <c r="Y22" s="64"/>
      <c r="Z22" s="65">
        <f>Z20+Z15</f>
        <v>-2156</v>
      </c>
      <c r="AA22" s="66">
        <f>AA20+AA15</f>
        <v>655</v>
      </c>
      <c r="AB22" s="64"/>
      <c r="AC22" s="65">
        <f>AC20+AC15</f>
        <v>0</v>
      </c>
      <c r="AD22" s="67">
        <f>AD20+AD15</f>
        <v>655</v>
      </c>
      <c r="AE22" s="65">
        <f>AE20+AE15</f>
        <v>3765</v>
      </c>
      <c r="AF22" s="64"/>
      <c r="AG22" s="63">
        <f>AG20+AG15</f>
        <v>19</v>
      </c>
      <c r="AH22" s="68"/>
      <c r="AI22" s="63">
        <f>AI20+AI15</f>
        <v>14</v>
      </c>
      <c r="AJ22" s="68"/>
      <c r="AK22" s="63">
        <f>AK20+AK15</f>
        <v>2</v>
      </c>
      <c r="AL22" s="68"/>
      <c r="AM22" s="69">
        <f>SUM(AM20+AM15)/2</f>
        <v>2.0670729166666666</v>
      </c>
      <c r="AN22" s="69">
        <f>SUM(AN20+AN15)/2</f>
        <v>0.52263289028144244</v>
      </c>
      <c r="AO22" s="70"/>
    </row>
    <row r="23" spans="1:41" s="60" customFormat="1" ht="15" x14ac:dyDescent="0.25">
      <c r="O23" s="71"/>
    </row>
    <row r="24" spans="1:41" s="60" customFormat="1" ht="15" x14ac:dyDescent="0.25">
      <c r="O24" s="71"/>
      <c r="W24" s="60" t="s">
        <v>5</v>
      </c>
      <c r="Z24" s="60" t="s">
        <v>5</v>
      </c>
      <c r="AC24" s="60" t="s">
        <v>5</v>
      </c>
    </row>
  </sheetData>
  <mergeCells count="59">
    <mergeCell ref="AN16:AN19"/>
    <mergeCell ref="AO16:AO19"/>
    <mergeCell ref="B19:D19"/>
    <mergeCell ref="B20:D20"/>
    <mergeCell ref="A22:E22"/>
    <mergeCell ref="AH16:AH19"/>
    <mergeCell ref="AI16:AI19"/>
    <mergeCell ref="AJ16:AJ19"/>
    <mergeCell ref="AK16:AK19"/>
    <mergeCell ref="AL16:AL19"/>
    <mergeCell ref="AM16:AM19"/>
    <mergeCell ref="AO6:AO14"/>
    <mergeCell ref="B10:B13"/>
    <mergeCell ref="B14:D14"/>
    <mergeCell ref="B15:D15"/>
    <mergeCell ref="A16:A20"/>
    <mergeCell ref="C16:C18"/>
    <mergeCell ref="AD16:AD19"/>
    <mergeCell ref="AE16:AE19"/>
    <mergeCell ref="AF16:AF19"/>
    <mergeCell ref="AG16:AG19"/>
    <mergeCell ref="AI6:AI14"/>
    <mergeCell ref="AJ6:AJ14"/>
    <mergeCell ref="AK6:AK14"/>
    <mergeCell ref="AL6:AL14"/>
    <mergeCell ref="AM6:AM14"/>
    <mergeCell ref="AN6:AN14"/>
    <mergeCell ref="AM4:AN4"/>
    <mergeCell ref="AO4:AO5"/>
    <mergeCell ref="A6:A15"/>
    <mergeCell ref="B6:B9"/>
    <mergeCell ref="C6:C13"/>
    <mergeCell ref="AD6:AD14"/>
    <mergeCell ref="AE6:AE14"/>
    <mergeCell ref="AF6:AF14"/>
    <mergeCell ref="AG6:AG14"/>
    <mergeCell ref="AH6:AH14"/>
    <mergeCell ref="X4:Z4"/>
    <mergeCell ref="AA4:AC4"/>
    <mergeCell ref="AD4:AE4"/>
    <mergeCell ref="AG4:AH4"/>
    <mergeCell ref="AI4:AJ4"/>
    <mergeCell ref="AK4:AL4"/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22" max="5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16" sqref="A16:A20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0.42578125" style="1" bestFit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4.8554687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5.42578125" style="1" bestFit="1" customWidth="1"/>
    <col min="18" max="18" width="7.85546875" style="1" customWidth="1"/>
    <col min="19" max="19" width="8.85546875" style="1" customWidth="1"/>
    <col min="20" max="20" width="7.42578125" style="1" bestFit="1" customWidth="1"/>
    <col min="21" max="21" width="8.42578125" style="1" customWidth="1"/>
    <col min="22" max="22" width="7.85546875" style="1" customWidth="1"/>
    <col min="23" max="23" width="7.425781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45365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56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138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136" t="s">
        <v>26</v>
      </c>
      <c r="G5" s="9" t="s">
        <v>27</v>
      </c>
      <c r="H5" s="10" t="s">
        <v>28</v>
      </c>
      <c r="I5" s="138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137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138" t="s">
        <v>26</v>
      </c>
      <c r="AE5" s="9" t="s">
        <v>27</v>
      </c>
      <c r="AF5" s="136" t="s">
        <v>26</v>
      </c>
      <c r="AG5" s="136" t="s">
        <v>26</v>
      </c>
      <c r="AH5" s="9" t="s">
        <v>27</v>
      </c>
      <c r="AI5" s="136" t="s">
        <v>26</v>
      </c>
      <c r="AJ5" s="15" t="s">
        <v>27</v>
      </c>
      <c r="AK5" s="136" t="s">
        <v>26</v>
      </c>
      <c r="AL5" s="9" t="s">
        <v>27</v>
      </c>
      <c r="AM5" s="138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140">
        <v>680</v>
      </c>
      <c r="F6" s="140"/>
      <c r="G6" s="140">
        <f>680</f>
        <v>680</v>
      </c>
      <c r="H6" s="140">
        <f t="shared" ref="H6:H13" si="0">G6-E6</f>
        <v>0</v>
      </c>
      <c r="I6" s="140"/>
      <c r="J6" s="140">
        <f>428+252</f>
        <v>680</v>
      </c>
      <c r="K6" s="140">
        <f t="shared" ref="K6:K13" si="1">J6-G6</f>
        <v>0</v>
      </c>
      <c r="L6" s="140"/>
      <c r="M6" s="140">
        <f>62+144+4+9+26+75+226</f>
        <v>546</v>
      </c>
      <c r="N6" s="140">
        <f t="shared" ref="N6:N13" si="2">M6-J6</f>
        <v>-134</v>
      </c>
      <c r="O6" s="140"/>
      <c r="P6" s="119">
        <f>546</f>
        <v>546</v>
      </c>
      <c r="Q6" s="140">
        <f t="shared" ref="Q6:Q13" si="3">P6-M6</f>
        <v>0</v>
      </c>
      <c r="R6" s="18"/>
      <c r="S6" s="18">
        <f>210+330</f>
        <v>540</v>
      </c>
      <c r="T6" s="18">
        <f t="shared" ref="T6:T13" si="4">S6-P6</f>
        <v>-6</v>
      </c>
      <c r="U6" s="18"/>
      <c r="V6" s="18">
        <f>200</f>
        <v>200</v>
      </c>
      <c r="W6" s="18">
        <f t="shared" ref="W6:W13" si="5">V6-S6</f>
        <v>-340</v>
      </c>
      <c r="X6" s="140">
        <v>10</v>
      </c>
      <c r="Y6" s="140">
        <f>175+10</f>
        <v>185</v>
      </c>
      <c r="Z6" s="140">
        <f t="shared" ref="Z6:Z13" si="6">Y6-P6</f>
        <v>-361</v>
      </c>
      <c r="AA6" s="140">
        <v>10</v>
      </c>
      <c r="AB6" s="140">
        <f>175+10</f>
        <v>185</v>
      </c>
      <c r="AC6" s="19">
        <f t="shared" ref="AC6:AC13" si="7">AB6-Y6</f>
        <v>0</v>
      </c>
      <c r="AD6" s="267">
        <f>L14</f>
        <v>182</v>
      </c>
      <c r="AE6" s="267">
        <f>62+144+4+20+190+196+47+175+261+297+182</f>
        <v>1578</v>
      </c>
      <c r="AF6" s="282">
        <v>24.192</v>
      </c>
      <c r="AG6" s="267">
        <v>11</v>
      </c>
      <c r="AH6" s="277">
        <f>6+8+6+10+10+10+20+6+22+13+22+8+10+9+11</f>
        <v>171</v>
      </c>
      <c r="AI6" s="267">
        <v>7</v>
      </c>
      <c r="AJ6" s="277">
        <f>1+2+2+2+3+3+5+4+5+5+11+11+7+7+7</f>
        <v>75</v>
      </c>
      <c r="AK6" s="267">
        <v>1</v>
      </c>
      <c r="AL6" s="277">
        <f>1+1+1+1+1+1+1+1+1+1+1</f>
        <v>11</v>
      </c>
      <c r="AM6" s="270">
        <f>L14*AF6/480/AG6</f>
        <v>0.83389090909090913</v>
      </c>
      <c r="AN6" s="270">
        <f>M14*AF6/480/AH6</f>
        <v>0.46509473684210523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>
        <f>443-346</f>
        <v>97</v>
      </c>
      <c r="M7" s="20">
        <f>20+117+9+13+48+110+29+97</f>
        <v>443</v>
      </c>
      <c r="N7" s="20">
        <f t="shared" si="2"/>
        <v>-156</v>
      </c>
      <c r="O7" s="20">
        <v>122</v>
      </c>
      <c r="P7" s="20">
        <f>292+29+122</f>
        <v>443</v>
      </c>
      <c r="Q7" s="20">
        <f t="shared" si="3"/>
        <v>0</v>
      </c>
      <c r="R7" s="20">
        <v>90</v>
      </c>
      <c r="S7" s="20">
        <f>160+140+90</f>
        <v>390</v>
      </c>
      <c r="T7" s="20">
        <f t="shared" si="4"/>
        <v>-53</v>
      </c>
      <c r="U7" s="20"/>
      <c r="V7" s="20">
        <f>150</f>
        <v>150</v>
      </c>
      <c r="W7" s="20">
        <f t="shared" si="5"/>
        <v>-240</v>
      </c>
      <c r="X7" s="20">
        <v>10</v>
      </c>
      <c r="Y7" s="20">
        <f>130+10</f>
        <v>140</v>
      </c>
      <c r="Z7" s="20">
        <f t="shared" si="6"/>
        <v>-303</v>
      </c>
      <c r="AA7" s="20">
        <v>10</v>
      </c>
      <c r="AB7" s="20">
        <f>130+10</f>
        <v>140</v>
      </c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>
        <f>520-462</f>
        <v>58</v>
      </c>
      <c r="M8" s="20">
        <f>73+187+25+59+76+42+58</f>
        <v>520</v>
      </c>
      <c r="N8" s="20">
        <f t="shared" si="2"/>
        <v>-157</v>
      </c>
      <c r="O8" s="20">
        <v>58</v>
      </c>
      <c r="P8" s="20">
        <f>420+42+58</f>
        <v>520</v>
      </c>
      <c r="Q8" s="20">
        <f t="shared" si="3"/>
        <v>0</v>
      </c>
      <c r="R8" s="20">
        <v>50</v>
      </c>
      <c r="S8" s="20">
        <f>250+150+50</f>
        <v>450</v>
      </c>
      <c r="T8" s="20">
        <f t="shared" si="4"/>
        <v>-70</v>
      </c>
      <c r="U8" s="20"/>
      <c r="V8" s="20">
        <f>250</f>
        <v>250</v>
      </c>
      <c r="W8" s="20">
        <f t="shared" si="5"/>
        <v>-200</v>
      </c>
      <c r="X8" s="20">
        <v>45</v>
      </c>
      <c r="Y8" s="20">
        <f>180+45</f>
        <v>225</v>
      </c>
      <c r="Z8" s="20">
        <f t="shared" si="6"/>
        <v>-295</v>
      </c>
      <c r="AA8" s="20">
        <v>45</v>
      </c>
      <c r="AB8" s="20">
        <f>180+45</f>
        <v>225</v>
      </c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>
        <f>69-42</f>
        <v>27</v>
      </c>
      <c r="M9" s="20">
        <f>42+27</f>
        <v>69</v>
      </c>
      <c r="N9" s="20">
        <f t="shared" si="2"/>
        <v>-37</v>
      </c>
      <c r="O9" s="20">
        <v>27</v>
      </c>
      <c r="P9" s="20">
        <f>42+27</f>
        <v>69</v>
      </c>
      <c r="Q9" s="20">
        <f t="shared" si="3"/>
        <v>0</v>
      </c>
      <c r="R9" s="20"/>
      <c r="S9" s="20"/>
      <c r="T9" s="20">
        <f t="shared" si="4"/>
        <v>-69</v>
      </c>
      <c r="U9" s="20"/>
      <c r="V9" s="20"/>
      <c r="W9" s="20">
        <f t="shared" si="5"/>
        <v>0</v>
      </c>
      <c r="X9" s="20"/>
      <c r="Y9" s="20"/>
      <c r="Z9" s="20">
        <f t="shared" si="6"/>
        <v>-69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279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/>
      <c r="M10" s="20"/>
      <c r="N10" s="20">
        <f t="shared" si="2"/>
        <v>-223</v>
      </c>
      <c r="O10" s="20"/>
      <c r="P10" s="20"/>
      <c r="Q10" s="20">
        <f t="shared" si="3"/>
        <v>0</v>
      </c>
      <c r="R10" s="20"/>
      <c r="S10" s="20"/>
      <c r="T10" s="20">
        <f t="shared" si="4"/>
        <v>0</v>
      </c>
      <c r="U10" s="20"/>
      <c r="V10" s="20"/>
      <c r="W10" s="20">
        <f t="shared" si="5"/>
        <v>0</v>
      </c>
      <c r="X10" s="20"/>
      <c r="Y10" s="20"/>
      <c r="Z10" s="20">
        <f t="shared" si="6"/>
        <v>0</v>
      </c>
      <c r="AA10" s="20"/>
      <c r="AB10" s="20"/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/>
      <c r="N11" s="20">
        <f t="shared" si="2"/>
        <v>-227</v>
      </c>
      <c r="O11" s="20"/>
      <c r="P11" s="20"/>
      <c r="Q11" s="20">
        <f t="shared" si="3"/>
        <v>0</v>
      </c>
      <c r="R11" s="20"/>
      <c r="S11" s="20"/>
      <c r="T11" s="20">
        <f t="shared" si="4"/>
        <v>0</v>
      </c>
      <c r="U11" s="20"/>
      <c r="V11" s="20"/>
      <c r="W11" s="20">
        <f t="shared" si="5"/>
        <v>0</v>
      </c>
      <c r="X11" s="20"/>
      <c r="Y11" s="20"/>
      <c r="Z11" s="20">
        <f t="shared" si="6"/>
        <v>0</v>
      </c>
      <c r="AA11" s="20"/>
      <c r="AB11" s="20"/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/>
      <c r="M12" s="20"/>
      <c r="N12" s="20">
        <f t="shared" si="2"/>
        <v>-242</v>
      </c>
      <c r="O12" s="20"/>
      <c r="P12" s="20"/>
      <c r="Q12" s="20">
        <f t="shared" si="3"/>
        <v>0</v>
      </c>
      <c r="R12" s="20"/>
      <c r="S12" s="20"/>
      <c r="T12" s="20">
        <f t="shared" si="4"/>
        <v>0</v>
      </c>
      <c r="U12" s="20"/>
      <c r="V12" s="20"/>
      <c r="W12" s="20">
        <f t="shared" si="5"/>
        <v>0</v>
      </c>
      <c r="X12" s="20"/>
      <c r="Y12" s="20"/>
      <c r="Z12" s="20">
        <f t="shared" si="6"/>
        <v>0</v>
      </c>
      <c r="AA12" s="20"/>
      <c r="AB12" s="20"/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ht="18" thickBot="1" x14ac:dyDescent="0.3">
      <c r="A13" s="283"/>
      <c r="B13" s="299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/>
      <c r="M13" s="20"/>
      <c r="N13" s="20">
        <f t="shared" si="2"/>
        <v>-171</v>
      </c>
      <c r="O13" s="20"/>
      <c r="P13" s="20"/>
      <c r="Q13" s="20">
        <f t="shared" si="3"/>
        <v>0</v>
      </c>
      <c r="R13" s="25"/>
      <c r="S13" s="25"/>
      <c r="T13" s="25">
        <f t="shared" si="4"/>
        <v>0</v>
      </c>
      <c r="U13" s="25"/>
      <c r="V13" s="25"/>
      <c r="W13" s="25">
        <f t="shared" si="5"/>
        <v>0</v>
      </c>
      <c r="X13" s="20"/>
      <c r="Y13" s="20"/>
      <c r="Z13" s="20">
        <f t="shared" si="6"/>
        <v>0</v>
      </c>
      <c r="AA13" s="20"/>
      <c r="AB13" s="20"/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ht="18" thickBot="1" x14ac:dyDescent="0.3">
      <c r="A14" s="283"/>
      <c r="B14" s="272" t="s">
        <v>34</v>
      </c>
      <c r="C14" s="273"/>
      <c r="D14" s="274"/>
      <c r="E14" s="23">
        <f>+SUM(E6:E13)</f>
        <v>3162</v>
      </c>
      <c r="F14" s="23">
        <f>+SUM(F6:F13)</f>
        <v>0</v>
      </c>
      <c r="G14" s="23">
        <f>SUM(G6:G13)</f>
        <v>2925</v>
      </c>
      <c r="H14" s="23">
        <f t="shared" ref="H14:AC14" si="8">+SUM(H6:H13)</f>
        <v>-237</v>
      </c>
      <c r="I14" s="23">
        <f t="shared" si="8"/>
        <v>0</v>
      </c>
      <c r="J14" s="23">
        <f t="shared" si="8"/>
        <v>2925</v>
      </c>
      <c r="K14" s="23">
        <f t="shared" si="8"/>
        <v>0</v>
      </c>
      <c r="L14" s="23">
        <f t="shared" si="8"/>
        <v>182</v>
      </c>
      <c r="M14" s="23">
        <f t="shared" si="8"/>
        <v>1578</v>
      </c>
      <c r="N14" s="23">
        <f t="shared" si="8"/>
        <v>-1347</v>
      </c>
      <c r="O14" s="23">
        <f t="shared" si="8"/>
        <v>207</v>
      </c>
      <c r="P14" s="23">
        <f t="shared" si="8"/>
        <v>1578</v>
      </c>
      <c r="Q14" s="23">
        <f t="shared" si="8"/>
        <v>0</v>
      </c>
      <c r="R14" s="24">
        <f t="shared" si="8"/>
        <v>140</v>
      </c>
      <c r="S14" s="24">
        <f t="shared" si="8"/>
        <v>1380</v>
      </c>
      <c r="T14" s="24">
        <f t="shared" si="8"/>
        <v>-198</v>
      </c>
      <c r="U14" s="24">
        <f t="shared" si="8"/>
        <v>0</v>
      </c>
      <c r="V14" s="24">
        <f t="shared" si="8"/>
        <v>600</v>
      </c>
      <c r="W14" s="24">
        <f t="shared" si="8"/>
        <v>-780</v>
      </c>
      <c r="X14" s="23">
        <f t="shared" si="8"/>
        <v>65</v>
      </c>
      <c r="Y14" s="23">
        <f t="shared" si="8"/>
        <v>550</v>
      </c>
      <c r="Z14" s="23">
        <f t="shared" si="8"/>
        <v>-1028</v>
      </c>
      <c r="AA14" s="23">
        <f t="shared" si="8"/>
        <v>65</v>
      </c>
      <c r="AB14" s="23">
        <f t="shared" si="8"/>
        <v>550</v>
      </c>
      <c r="AC14" s="15">
        <f t="shared" si="8"/>
        <v>0</v>
      </c>
      <c r="AD14" s="264"/>
      <c r="AE14" s="264"/>
      <c r="AF14" s="269"/>
      <c r="AG14" s="264"/>
      <c r="AH14" s="262"/>
      <c r="AI14" s="264"/>
      <c r="AJ14" s="262"/>
      <c r="AK14" s="264"/>
      <c r="AL14" s="262"/>
      <c r="AM14" s="250"/>
      <c r="AN14" s="250"/>
      <c r="AO14" s="252"/>
    </row>
    <row r="15" spans="1:41" ht="18" thickBot="1" x14ac:dyDescent="0.3">
      <c r="A15" s="284"/>
      <c r="B15" s="275" t="s">
        <v>40</v>
      </c>
      <c r="C15" s="275"/>
      <c r="D15" s="276"/>
      <c r="E15" s="26">
        <f>E14</f>
        <v>3162</v>
      </c>
      <c r="F15" s="26">
        <f t="shared" ref="F15:AC15" si="9">F14</f>
        <v>0</v>
      </c>
      <c r="G15" s="26">
        <f t="shared" si="9"/>
        <v>2925</v>
      </c>
      <c r="H15" s="26">
        <f t="shared" si="9"/>
        <v>-237</v>
      </c>
      <c r="I15" s="26">
        <f t="shared" si="9"/>
        <v>0</v>
      </c>
      <c r="J15" s="26">
        <f t="shared" si="9"/>
        <v>2925</v>
      </c>
      <c r="K15" s="26">
        <f t="shared" si="9"/>
        <v>0</v>
      </c>
      <c r="L15" s="26">
        <f t="shared" si="9"/>
        <v>182</v>
      </c>
      <c r="M15" s="26">
        <f t="shared" si="9"/>
        <v>1578</v>
      </c>
      <c r="N15" s="26">
        <f t="shared" si="9"/>
        <v>-1347</v>
      </c>
      <c r="O15" s="26">
        <f t="shared" si="9"/>
        <v>207</v>
      </c>
      <c r="P15" s="26">
        <f t="shared" si="9"/>
        <v>1578</v>
      </c>
      <c r="Q15" s="26">
        <f t="shared" si="9"/>
        <v>0</v>
      </c>
      <c r="R15" s="26">
        <f t="shared" si="9"/>
        <v>140</v>
      </c>
      <c r="S15" s="26">
        <f t="shared" si="9"/>
        <v>1380</v>
      </c>
      <c r="T15" s="26">
        <f t="shared" si="9"/>
        <v>-198</v>
      </c>
      <c r="U15" s="26">
        <f t="shared" si="9"/>
        <v>0</v>
      </c>
      <c r="V15" s="26">
        <f t="shared" si="9"/>
        <v>600</v>
      </c>
      <c r="W15" s="26">
        <f t="shared" si="9"/>
        <v>-780</v>
      </c>
      <c r="X15" s="26">
        <f t="shared" si="9"/>
        <v>65</v>
      </c>
      <c r="Y15" s="26">
        <f t="shared" si="9"/>
        <v>550</v>
      </c>
      <c r="Z15" s="26">
        <f t="shared" si="9"/>
        <v>-1028</v>
      </c>
      <c r="AA15" s="26">
        <f t="shared" si="9"/>
        <v>65</v>
      </c>
      <c r="AB15" s="26">
        <f t="shared" si="9"/>
        <v>550</v>
      </c>
      <c r="AC15" s="26">
        <f t="shared" si="9"/>
        <v>0</v>
      </c>
      <c r="AD15" s="27">
        <f t="shared" ref="AD15:AL15" si="10">SUM(AD6:AD14)</f>
        <v>182</v>
      </c>
      <c r="AE15" s="27">
        <f t="shared" si="10"/>
        <v>1578</v>
      </c>
      <c r="AF15" s="28">
        <f t="shared" si="10"/>
        <v>24.192</v>
      </c>
      <c r="AG15" s="27">
        <f>SUM(AG6:AG14)</f>
        <v>11</v>
      </c>
      <c r="AH15" s="27">
        <f t="shared" si="10"/>
        <v>171</v>
      </c>
      <c r="AI15" s="27">
        <f t="shared" si="10"/>
        <v>7</v>
      </c>
      <c r="AJ15" s="27">
        <f t="shared" si="10"/>
        <v>75</v>
      </c>
      <c r="AK15" s="27">
        <f t="shared" si="10"/>
        <v>1</v>
      </c>
      <c r="AL15" s="27">
        <f t="shared" si="10"/>
        <v>11</v>
      </c>
      <c r="AM15" s="29">
        <f>L15*AF15/480/AG15</f>
        <v>0.83389090909090913</v>
      </c>
      <c r="AN15" s="30">
        <f>M15*AF15/480/AH15</f>
        <v>0.46509473684210523</v>
      </c>
      <c r="AO15" s="31"/>
    </row>
    <row r="16" spans="1:41" ht="18.75" customHeight="1" x14ac:dyDescent="0.25">
      <c r="A16" s="265" t="s">
        <v>32</v>
      </c>
      <c r="B16" s="139" t="s">
        <v>41</v>
      </c>
      <c r="C16" s="300" t="s">
        <v>37</v>
      </c>
      <c r="D16" s="34" t="s">
        <v>42</v>
      </c>
      <c r="E16" s="140">
        <v>1645</v>
      </c>
      <c r="F16" s="140"/>
      <c r="G16" s="140">
        <f>1433</f>
        <v>1433</v>
      </c>
      <c r="H16" s="140">
        <f t="shared" ref="H16:H18" si="11">G16-E16</f>
        <v>-212</v>
      </c>
      <c r="I16" s="140"/>
      <c r="J16" s="140">
        <f>100+200+300+350+400+83</f>
        <v>1433</v>
      </c>
      <c r="K16" s="140">
        <f t="shared" ref="K16:K18" si="12">J16-G16</f>
        <v>0</v>
      </c>
      <c r="L16" s="140">
        <f>1396-1241</f>
        <v>155</v>
      </c>
      <c r="M16" s="140">
        <f>102+201+302+351-99-125-110+133+127+49+120+24+166+155</f>
        <v>1396</v>
      </c>
      <c r="N16" s="140">
        <f t="shared" ref="N16:N18" si="13">M16-J16</f>
        <v>-37</v>
      </c>
      <c r="O16" s="140">
        <v>155</v>
      </c>
      <c r="P16" s="140">
        <f>1075+166+155</f>
        <v>1396</v>
      </c>
      <c r="Q16" s="140">
        <f t="shared" ref="Q16:Q18" si="14">P16-M16</f>
        <v>0</v>
      </c>
      <c r="R16" s="140">
        <v>50</v>
      </c>
      <c r="S16" s="140">
        <f>970+260+50</f>
        <v>1280</v>
      </c>
      <c r="T16" s="35">
        <f t="shared" ref="T16:T18" si="15">S16-P16</f>
        <v>-116</v>
      </c>
      <c r="U16" s="140"/>
      <c r="V16" s="140">
        <f>970</f>
        <v>970</v>
      </c>
      <c r="W16" s="35">
        <f t="shared" ref="W16:W18" si="16">V16-S16</f>
        <v>-310</v>
      </c>
      <c r="X16" s="140">
        <v>15</v>
      </c>
      <c r="Y16" s="140">
        <f>860+80+15</f>
        <v>955</v>
      </c>
      <c r="Z16" s="140">
        <f t="shared" ref="Z16:Z18" si="17">Y16-P16</f>
        <v>-441</v>
      </c>
      <c r="AA16" s="140">
        <v>15</v>
      </c>
      <c r="AB16" s="140">
        <f>860+80+15</f>
        <v>955</v>
      </c>
      <c r="AC16" s="33">
        <f t="shared" ref="AC16:AC18" si="18">AB16-Y16</f>
        <v>0</v>
      </c>
      <c r="AD16" s="267">
        <f>L19</f>
        <v>438</v>
      </c>
      <c r="AE16" s="263">
        <f>300+98+344+213+289+412+355+358+438</f>
        <v>2807</v>
      </c>
      <c r="AF16" s="268">
        <v>33.130000000000003</v>
      </c>
      <c r="AG16" s="263">
        <v>11</v>
      </c>
      <c r="AH16" s="261">
        <f>2+10+8+8+8+6+6+6+9+5+6+8+7+7+6+6+6+6+6+6+7+7+7+7+6+7+17+16+16+22+21+21+10+20+20+13+10+10+10+11</f>
        <v>390</v>
      </c>
      <c r="AI16" s="263">
        <v>7</v>
      </c>
      <c r="AJ16" s="261">
        <f>1+1+1+1+1+1+1+2+2+2+2+2+2+2+2+2+2+1+1+1+1+1+1+1+1+4+3+4+5+8+8+6+7+6+6+6+7+7</f>
        <v>112</v>
      </c>
      <c r="AK16" s="263">
        <v>1</v>
      </c>
      <c r="AL16" s="261">
        <f>1+1+1+1+1+1+1+1+1+1+1+1+1+1+1+1+2+2+2+2+2+1+1+1+1</f>
        <v>30</v>
      </c>
      <c r="AM16" s="249">
        <f>L19*AF16/480/AG16</f>
        <v>2.7482840909090913</v>
      </c>
      <c r="AN16" s="249">
        <f>M19*AF16/480/AH16</f>
        <v>0.6659625534188035</v>
      </c>
      <c r="AO16" s="251"/>
    </row>
    <row r="17" spans="1:41" ht="18.75" customHeight="1" x14ac:dyDescent="0.25">
      <c r="A17" s="265"/>
      <c r="B17" s="36" t="s">
        <v>43</v>
      </c>
      <c r="C17" s="301"/>
      <c r="D17" s="38" t="s">
        <v>44</v>
      </c>
      <c r="E17" s="20">
        <v>1245</v>
      </c>
      <c r="F17" s="20"/>
      <c r="G17" s="20">
        <f>1238</f>
        <v>1238</v>
      </c>
      <c r="H17" s="20">
        <f t="shared" si="11"/>
        <v>-7</v>
      </c>
      <c r="I17" s="20"/>
      <c r="J17" s="20">
        <f>650+588</f>
        <v>1238</v>
      </c>
      <c r="K17" s="20">
        <f t="shared" si="12"/>
        <v>0</v>
      </c>
      <c r="L17" s="20">
        <f>1195-1095</f>
        <v>100</v>
      </c>
      <c r="M17" s="20">
        <f>300+99+125+110+98+101+59+41+12+93+57+100</f>
        <v>1195</v>
      </c>
      <c r="N17" s="20">
        <f t="shared" si="13"/>
        <v>-43</v>
      </c>
      <c r="O17" s="20">
        <v>100</v>
      </c>
      <c r="P17" s="20">
        <f>1038+57+100</f>
        <v>1195</v>
      </c>
      <c r="Q17" s="20">
        <f t="shared" si="14"/>
        <v>0</v>
      </c>
      <c r="R17" s="20">
        <f>1140-1090</f>
        <v>50</v>
      </c>
      <c r="S17" s="20">
        <f>930+160+50</f>
        <v>1140</v>
      </c>
      <c r="T17" s="39">
        <f t="shared" si="15"/>
        <v>-55</v>
      </c>
      <c r="U17" s="20"/>
      <c r="V17" s="20">
        <f>910</f>
        <v>910</v>
      </c>
      <c r="W17" s="39">
        <f t="shared" si="16"/>
        <v>-230</v>
      </c>
      <c r="X17" s="20">
        <v>40</v>
      </c>
      <c r="Y17" s="20">
        <f>750+75+40</f>
        <v>865</v>
      </c>
      <c r="Z17" s="20">
        <f t="shared" si="17"/>
        <v>-330</v>
      </c>
      <c r="AA17" s="20">
        <v>40</v>
      </c>
      <c r="AB17" s="20">
        <f>750+75+40</f>
        <v>865</v>
      </c>
      <c r="AC17" s="37">
        <f t="shared" si="18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.75" customHeight="1" thickBot="1" x14ac:dyDescent="0.3">
      <c r="A18" s="265"/>
      <c r="B18" s="143" t="s">
        <v>45</v>
      </c>
      <c r="C18" s="302"/>
      <c r="D18" s="42" t="s">
        <v>46</v>
      </c>
      <c r="E18" s="25">
        <v>1300</v>
      </c>
      <c r="F18" s="25"/>
      <c r="G18" s="25">
        <f>1183</f>
        <v>1183</v>
      </c>
      <c r="H18" s="25">
        <f t="shared" si="11"/>
        <v>-117</v>
      </c>
      <c r="I18" s="25"/>
      <c r="J18" s="25">
        <f>520+663</f>
        <v>1183</v>
      </c>
      <c r="K18" s="25">
        <f t="shared" si="12"/>
        <v>0</v>
      </c>
      <c r="L18" s="25">
        <f>1172-989</f>
        <v>183</v>
      </c>
      <c r="M18" s="25">
        <f>110+27+199+280+238+135+183</f>
        <v>1172</v>
      </c>
      <c r="N18" s="25">
        <f t="shared" si="13"/>
        <v>-11</v>
      </c>
      <c r="O18" s="25">
        <v>183</v>
      </c>
      <c r="P18" s="25">
        <f>854+135+183</f>
        <v>1172</v>
      </c>
      <c r="Q18" s="25">
        <f t="shared" si="14"/>
        <v>0</v>
      </c>
      <c r="R18" s="25">
        <v>150</v>
      </c>
      <c r="S18" s="25">
        <f>530+420+150</f>
        <v>1100</v>
      </c>
      <c r="T18" s="43">
        <f t="shared" si="15"/>
        <v>-72</v>
      </c>
      <c r="U18" s="25">
        <v>420</v>
      </c>
      <c r="V18" s="25">
        <f>130+400+420</f>
        <v>950</v>
      </c>
      <c r="W18" s="43">
        <f t="shared" si="16"/>
        <v>-150</v>
      </c>
      <c r="X18" s="25">
        <v>190</v>
      </c>
      <c r="Y18" s="25">
        <f>100+190+190</f>
        <v>480</v>
      </c>
      <c r="Z18" s="25">
        <f t="shared" si="17"/>
        <v>-692</v>
      </c>
      <c r="AA18" s="25">
        <v>190</v>
      </c>
      <c r="AB18" s="25">
        <f>100+190+190</f>
        <v>480</v>
      </c>
      <c r="AC18" s="44">
        <f t="shared" si="18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65"/>
      <c r="B19" s="253" t="s">
        <v>34</v>
      </c>
      <c r="C19" s="254"/>
      <c r="D19" s="255"/>
      <c r="E19" s="24">
        <f>+SUM(E16:E18)</f>
        <v>4190</v>
      </c>
      <c r="F19" s="24">
        <f t="shared" ref="F19:AC19" si="19">+SUM(F16:F18)</f>
        <v>0</v>
      </c>
      <c r="G19" s="24">
        <f t="shared" si="19"/>
        <v>3854</v>
      </c>
      <c r="H19" s="24">
        <f t="shared" si="19"/>
        <v>-336</v>
      </c>
      <c r="I19" s="24">
        <f t="shared" si="19"/>
        <v>0</v>
      </c>
      <c r="J19" s="24">
        <f t="shared" si="19"/>
        <v>3854</v>
      </c>
      <c r="K19" s="24">
        <f t="shared" si="19"/>
        <v>0</v>
      </c>
      <c r="L19" s="24">
        <f t="shared" si="19"/>
        <v>438</v>
      </c>
      <c r="M19" s="24">
        <f t="shared" si="19"/>
        <v>3763</v>
      </c>
      <c r="N19" s="24">
        <f t="shared" si="19"/>
        <v>-91</v>
      </c>
      <c r="O19" s="24">
        <f t="shared" si="19"/>
        <v>438</v>
      </c>
      <c r="P19" s="24">
        <f t="shared" si="19"/>
        <v>3763</v>
      </c>
      <c r="Q19" s="24">
        <f t="shared" si="19"/>
        <v>0</v>
      </c>
      <c r="R19" s="24">
        <f t="shared" si="19"/>
        <v>250</v>
      </c>
      <c r="S19" s="24">
        <f t="shared" si="19"/>
        <v>3520</v>
      </c>
      <c r="T19" s="24">
        <f t="shared" si="19"/>
        <v>-243</v>
      </c>
      <c r="U19" s="24">
        <f t="shared" si="19"/>
        <v>420</v>
      </c>
      <c r="V19" s="24">
        <f t="shared" si="19"/>
        <v>2830</v>
      </c>
      <c r="W19" s="24">
        <f t="shared" si="19"/>
        <v>-690</v>
      </c>
      <c r="X19" s="24">
        <f t="shared" si="19"/>
        <v>245</v>
      </c>
      <c r="Y19" s="24">
        <f t="shared" si="19"/>
        <v>2300</v>
      </c>
      <c r="Z19" s="24">
        <f t="shared" si="19"/>
        <v>-1463</v>
      </c>
      <c r="AA19" s="24">
        <f t="shared" si="19"/>
        <v>245</v>
      </c>
      <c r="AB19" s="24">
        <f t="shared" si="19"/>
        <v>2300</v>
      </c>
      <c r="AC19" s="24">
        <f t="shared" si="19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" customHeight="1" thickBot="1" x14ac:dyDescent="0.3">
      <c r="A20" s="266"/>
      <c r="B20" s="256" t="s">
        <v>40</v>
      </c>
      <c r="C20" s="256"/>
      <c r="D20" s="257"/>
      <c r="E20" s="26">
        <f>E19</f>
        <v>4190</v>
      </c>
      <c r="F20" s="26">
        <f t="shared" ref="F20:AC20" si="20">F19</f>
        <v>0</v>
      </c>
      <c r="G20" s="26">
        <f t="shared" si="20"/>
        <v>3854</v>
      </c>
      <c r="H20" s="26">
        <f t="shared" si="20"/>
        <v>-336</v>
      </c>
      <c r="I20" s="26">
        <f t="shared" si="20"/>
        <v>0</v>
      </c>
      <c r="J20" s="26">
        <f t="shared" si="20"/>
        <v>3854</v>
      </c>
      <c r="K20" s="26">
        <f t="shared" si="20"/>
        <v>0</v>
      </c>
      <c r="L20" s="26">
        <f t="shared" si="20"/>
        <v>438</v>
      </c>
      <c r="M20" s="26">
        <f t="shared" si="20"/>
        <v>3763</v>
      </c>
      <c r="N20" s="26">
        <f t="shared" si="20"/>
        <v>-91</v>
      </c>
      <c r="O20" s="26">
        <f t="shared" si="20"/>
        <v>438</v>
      </c>
      <c r="P20" s="26">
        <f t="shared" si="20"/>
        <v>3763</v>
      </c>
      <c r="Q20" s="26">
        <f t="shared" si="20"/>
        <v>0</v>
      </c>
      <c r="R20" s="26">
        <f t="shared" si="20"/>
        <v>250</v>
      </c>
      <c r="S20" s="26">
        <f t="shared" si="20"/>
        <v>3520</v>
      </c>
      <c r="T20" s="26">
        <f t="shared" si="20"/>
        <v>-243</v>
      </c>
      <c r="U20" s="26">
        <f t="shared" si="20"/>
        <v>420</v>
      </c>
      <c r="V20" s="26">
        <f t="shared" si="20"/>
        <v>2830</v>
      </c>
      <c r="W20" s="26">
        <f t="shared" si="20"/>
        <v>-690</v>
      </c>
      <c r="X20" s="26">
        <f t="shared" si="20"/>
        <v>245</v>
      </c>
      <c r="Y20" s="26">
        <f t="shared" si="20"/>
        <v>2300</v>
      </c>
      <c r="Z20" s="26">
        <f t="shared" si="20"/>
        <v>-1463</v>
      </c>
      <c r="AA20" s="26">
        <f t="shared" si="20"/>
        <v>245</v>
      </c>
      <c r="AB20" s="26">
        <f t="shared" si="20"/>
        <v>2300</v>
      </c>
      <c r="AC20" s="26">
        <f t="shared" si="20"/>
        <v>0</v>
      </c>
      <c r="AD20" s="45">
        <f t="shared" ref="AD20:AL20" si="21">SUM(AD16:AD19)</f>
        <v>438</v>
      </c>
      <c r="AE20" s="45">
        <f t="shared" si="21"/>
        <v>2807</v>
      </c>
      <c r="AF20" s="46">
        <f t="shared" si="21"/>
        <v>33.130000000000003</v>
      </c>
      <c r="AG20" s="45">
        <f t="shared" si="21"/>
        <v>11</v>
      </c>
      <c r="AH20" s="45">
        <f t="shared" si="21"/>
        <v>390</v>
      </c>
      <c r="AI20" s="45">
        <f t="shared" si="21"/>
        <v>7</v>
      </c>
      <c r="AJ20" s="45">
        <f t="shared" si="21"/>
        <v>112</v>
      </c>
      <c r="AK20" s="45">
        <f t="shared" si="21"/>
        <v>1</v>
      </c>
      <c r="AL20" s="45">
        <f t="shared" si="21"/>
        <v>30</v>
      </c>
      <c r="AM20" s="47">
        <f>L20*AF20/480/AG20</f>
        <v>2.7482840909090913</v>
      </c>
      <c r="AN20" s="48">
        <f>M20*AF20/480/AH20</f>
        <v>0.6659625534188035</v>
      </c>
      <c r="AO20" s="49"/>
    </row>
    <row r="21" spans="1:41" s="60" customFormat="1" ht="15.75" thickBot="1" x14ac:dyDescent="0.3">
      <c r="A21" s="50"/>
      <c r="B21" s="51"/>
      <c r="C21" s="51"/>
      <c r="D21" s="51"/>
      <c r="E21" s="51"/>
      <c r="F21" s="52"/>
      <c r="G21" s="51"/>
      <c r="H21" s="51"/>
      <c r="I21" s="142"/>
      <c r="J21" s="54"/>
      <c r="K21" s="51"/>
      <c r="L21" s="55"/>
      <c r="M21" s="51"/>
      <c r="N21" s="51"/>
      <c r="O21" s="56"/>
      <c r="P21" s="51"/>
      <c r="Q21" s="51"/>
      <c r="R21" s="55"/>
      <c r="S21" s="51"/>
      <c r="T21" s="51"/>
      <c r="U21" s="55"/>
      <c r="V21" s="51"/>
      <c r="W21" s="51"/>
      <c r="X21" s="55"/>
      <c r="Y21" s="51"/>
      <c r="Z21" s="51"/>
      <c r="AA21" s="55"/>
      <c r="AB21" s="51"/>
      <c r="AC21" s="51"/>
      <c r="AD21" s="141"/>
      <c r="AE21" s="58"/>
      <c r="AF21" s="51"/>
      <c r="AG21" s="141"/>
      <c r="AH21" s="58"/>
      <c r="AI21" s="141"/>
      <c r="AJ21" s="58"/>
      <c r="AK21" s="141"/>
      <c r="AL21" s="58"/>
      <c r="AM21" s="141"/>
      <c r="AN21" s="55"/>
      <c r="AO21" s="59"/>
    </row>
    <row r="22" spans="1:41" s="60" customFormat="1" ht="15.75" thickBot="1" x14ac:dyDescent="0.3">
      <c r="A22" s="258" t="s">
        <v>47</v>
      </c>
      <c r="B22" s="259"/>
      <c r="C22" s="259"/>
      <c r="D22" s="259"/>
      <c r="E22" s="260"/>
      <c r="F22" s="63">
        <f>F20+F15</f>
        <v>0</v>
      </c>
      <c r="G22" s="64"/>
      <c r="H22" s="64"/>
      <c r="I22" s="63">
        <f>I20+I15</f>
        <v>0</v>
      </c>
      <c r="J22" s="64"/>
      <c r="K22" s="65">
        <f>K20+K15</f>
        <v>0</v>
      </c>
      <c r="L22" s="66">
        <f>L20+L15</f>
        <v>620</v>
      </c>
      <c r="M22" s="64"/>
      <c r="N22" s="65">
        <f>N20+N15</f>
        <v>-1438</v>
      </c>
      <c r="O22" s="66">
        <f>O20+O15</f>
        <v>645</v>
      </c>
      <c r="P22" s="64"/>
      <c r="Q22" s="65">
        <f>Q20+Q15</f>
        <v>0</v>
      </c>
      <c r="R22" s="66">
        <f>R20+R15</f>
        <v>390</v>
      </c>
      <c r="S22" s="64"/>
      <c r="T22" s="65">
        <f>T20+T15</f>
        <v>-441</v>
      </c>
      <c r="U22" s="66">
        <f>U20+U15</f>
        <v>420</v>
      </c>
      <c r="V22" s="64"/>
      <c r="W22" s="65">
        <f>W20+W15</f>
        <v>-1470</v>
      </c>
      <c r="X22" s="66">
        <f>X20+X15</f>
        <v>310</v>
      </c>
      <c r="Y22" s="64"/>
      <c r="Z22" s="65">
        <f>Z20+Z15</f>
        <v>-2491</v>
      </c>
      <c r="AA22" s="66">
        <f>AA20+AA15</f>
        <v>310</v>
      </c>
      <c r="AB22" s="64"/>
      <c r="AC22" s="65">
        <f>AC20+AC15</f>
        <v>0</v>
      </c>
      <c r="AD22" s="67">
        <f>AD20+AD15</f>
        <v>620</v>
      </c>
      <c r="AE22" s="65">
        <f>AE20+AE15</f>
        <v>4385</v>
      </c>
      <c r="AF22" s="64"/>
      <c r="AG22" s="63">
        <f>AG20+AG15</f>
        <v>22</v>
      </c>
      <c r="AH22" s="68"/>
      <c r="AI22" s="63">
        <f>AI20+AI15</f>
        <v>14</v>
      </c>
      <c r="AJ22" s="68"/>
      <c r="AK22" s="63">
        <f>AK20+AK15</f>
        <v>2</v>
      </c>
      <c r="AL22" s="68"/>
      <c r="AM22" s="69">
        <f>SUM(AM20+AM15)/2</f>
        <v>1.7910875000000002</v>
      </c>
      <c r="AN22" s="69">
        <f>SUM(AN20+AN15)/2</f>
        <v>0.56552864513045442</v>
      </c>
      <c r="AO22" s="70"/>
    </row>
    <row r="23" spans="1:41" s="60" customFormat="1" ht="15" x14ac:dyDescent="0.25">
      <c r="O23" s="71"/>
    </row>
    <row r="24" spans="1:41" s="60" customFormat="1" ht="15" x14ac:dyDescent="0.25">
      <c r="O24" s="71"/>
      <c r="W24" s="60" t="s">
        <v>5</v>
      </c>
      <c r="Z24" s="60" t="s">
        <v>5</v>
      </c>
      <c r="AC24" s="60" t="s">
        <v>5</v>
      </c>
    </row>
  </sheetData>
  <mergeCells count="59">
    <mergeCell ref="AN16:AN19"/>
    <mergeCell ref="AO16:AO19"/>
    <mergeCell ref="B19:D19"/>
    <mergeCell ref="B20:D20"/>
    <mergeCell ref="A22:E22"/>
    <mergeCell ref="AH16:AH19"/>
    <mergeCell ref="AI16:AI19"/>
    <mergeCell ref="AJ16:AJ19"/>
    <mergeCell ref="AK16:AK19"/>
    <mergeCell ref="AL16:AL19"/>
    <mergeCell ref="AM16:AM19"/>
    <mergeCell ref="AO6:AO14"/>
    <mergeCell ref="B10:B13"/>
    <mergeCell ref="B14:D14"/>
    <mergeCell ref="B15:D15"/>
    <mergeCell ref="A16:A20"/>
    <mergeCell ref="C16:C18"/>
    <mergeCell ref="AD16:AD19"/>
    <mergeCell ref="AE16:AE19"/>
    <mergeCell ref="AF16:AF19"/>
    <mergeCell ref="AG16:AG19"/>
    <mergeCell ref="AI6:AI14"/>
    <mergeCell ref="AJ6:AJ14"/>
    <mergeCell ref="AK6:AK14"/>
    <mergeCell ref="AL6:AL14"/>
    <mergeCell ref="AM6:AM14"/>
    <mergeCell ref="AN6:AN14"/>
    <mergeCell ref="AM4:AN4"/>
    <mergeCell ref="AO4:AO5"/>
    <mergeCell ref="A6:A15"/>
    <mergeCell ref="B6:B9"/>
    <mergeCell ref="C6:C13"/>
    <mergeCell ref="AD6:AD14"/>
    <mergeCell ref="AE6:AE14"/>
    <mergeCell ref="AF6:AF14"/>
    <mergeCell ref="AG6:AG14"/>
    <mergeCell ref="AH6:AH14"/>
    <mergeCell ref="X4:Z4"/>
    <mergeCell ref="AA4:AC4"/>
    <mergeCell ref="AD4:AE4"/>
    <mergeCell ref="AG4:AH4"/>
    <mergeCell ref="AI4:AJ4"/>
    <mergeCell ref="AK4:AL4"/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22" max="5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14" sqref="H14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0.42578125" style="1" bestFit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4.8554687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5.42578125" style="1" bestFit="1" customWidth="1"/>
    <col min="18" max="18" width="7.85546875" style="1" customWidth="1"/>
    <col min="19" max="19" width="8.85546875" style="1" customWidth="1"/>
    <col min="20" max="20" width="7.42578125" style="1" bestFit="1" customWidth="1"/>
    <col min="21" max="21" width="8.42578125" style="1" customWidth="1"/>
    <col min="22" max="22" width="7.85546875" style="1" customWidth="1"/>
    <col min="23" max="23" width="7.425781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45366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48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138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136" t="s">
        <v>26</v>
      </c>
      <c r="G5" s="9" t="s">
        <v>27</v>
      </c>
      <c r="H5" s="10" t="s">
        <v>28</v>
      </c>
      <c r="I5" s="138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137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138" t="s">
        <v>26</v>
      </c>
      <c r="AE5" s="9" t="s">
        <v>27</v>
      </c>
      <c r="AF5" s="136" t="s">
        <v>26</v>
      </c>
      <c r="AG5" s="136" t="s">
        <v>26</v>
      </c>
      <c r="AH5" s="9" t="s">
        <v>27</v>
      </c>
      <c r="AI5" s="136" t="s">
        <v>26</v>
      </c>
      <c r="AJ5" s="15" t="s">
        <v>27</v>
      </c>
      <c r="AK5" s="136" t="s">
        <v>26</v>
      </c>
      <c r="AL5" s="9" t="s">
        <v>27</v>
      </c>
      <c r="AM5" s="138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140">
        <v>680</v>
      </c>
      <c r="F6" s="140"/>
      <c r="G6" s="140">
        <f>680</f>
        <v>680</v>
      </c>
      <c r="H6" s="140">
        <f t="shared" ref="H6:H13" si="0">G6-E6</f>
        <v>0</v>
      </c>
      <c r="I6" s="140"/>
      <c r="J6" s="140">
        <f>428+252</f>
        <v>680</v>
      </c>
      <c r="K6" s="140">
        <f t="shared" ref="K6:K13" si="1">J6-G6</f>
        <v>0</v>
      </c>
      <c r="L6" s="140">
        <f>582-546</f>
        <v>36</v>
      </c>
      <c r="M6" s="140">
        <f>62+144+4+9+26+75+226+36</f>
        <v>582</v>
      </c>
      <c r="N6" s="140">
        <f t="shared" ref="N6:N13" si="2">M6-J6</f>
        <v>-98</v>
      </c>
      <c r="O6" s="140">
        <v>36</v>
      </c>
      <c r="P6" s="119">
        <f>546+36</f>
        <v>582</v>
      </c>
      <c r="Q6" s="140">
        <f t="shared" ref="Q6:Q13" si="3">P6-M6</f>
        <v>0</v>
      </c>
      <c r="R6" s="18">
        <v>40</v>
      </c>
      <c r="S6" s="18">
        <f>210+330+40</f>
        <v>580</v>
      </c>
      <c r="T6" s="18">
        <f t="shared" ref="T6:T13" si="4">S6-P6</f>
        <v>-2</v>
      </c>
      <c r="U6" s="18">
        <v>340</v>
      </c>
      <c r="V6" s="18">
        <f>200+340</f>
        <v>540</v>
      </c>
      <c r="W6" s="18">
        <f t="shared" ref="W6:W13" si="5">V6-S6</f>
        <v>-40</v>
      </c>
      <c r="X6" s="140"/>
      <c r="Y6" s="140">
        <f>175+10</f>
        <v>185</v>
      </c>
      <c r="Z6" s="140">
        <f t="shared" ref="Z6:Z13" si="6">Y6-P6</f>
        <v>-397</v>
      </c>
      <c r="AA6" s="140"/>
      <c r="AB6" s="140">
        <f>175+10</f>
        <v>185</v>
      </c>
      <c r="AC6" s="19">
        <f t="shared" ref="AC6:AC13" si="7">AB6-Y6</f>
        <v>0</v>
      </c>
      <c r="AD6" s="267">
        <f>L14</f>
        <v>288</v>
      </c>
      <c r="AE6" s="267">
        <f>62+144+4+20+190+196+47+175+261+297+182+288</f>
        <v>1866</v>
      </c>
      <c r="AF6" s="282">
        <v>24.192</v>
      </c>
      <c r="AG6" s="267">
        <v>13</v>
      </c>
      <c r="AH6" s="277">
        <f>6+8+6+10+10+10+20+6+22+13+22+8+10+9+11+13</f>
        <v>184</v>
      </c>
      <c r="AI6" s="267">
        <v>7</v>
      </c>
      <c r="AJ6" s="277">
        <f>1+2+2+2+3+3+5+4+5+5+11+11+7+7+7+7</f>
        <v>82</v>
      </c>
      <c r="AK6" s="267">
        <v>1</v>
      </c>
      <c r="AL6" s="277">
        <f>1+1+1+1+1+1+1+1+1+1+1+1</f>
        <v>12</v>
      </c>
      <c r="AM6" s="270">
        <f>L14*AF6/480/AG6</f>
        <v>1.1165538461538462</v>
      </c>
      <c r="AN6" s="270">
        <f>M14*AF6/480/AH6</f>
        <v>0.51112173913043468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>
        <f>486-443</f>
        <v>43</v>
      </c>
      <c r="M7" s="20">
        <f>20+117+9+13+48+110+29+97+43</f>
        <v>486</v>
      </c>
      <c r="N7" s="20">
        <f t="shared" si="2"/>
        <v>-113</v>
      </c>
      <c r="O7" s="20">
        <v>43</v>
      </c>
      <c r="P7" s="20">
        <f>292+29+122+43</f>
        <v>486</v>
      </c>
      <c r="Q7" s="20">
        <f t="shared" si="3"/>
        <v>0</v>
      </c>
      <c r="R7" s="20">
        <v>90</v>
      </c>
      <c r="S7" s="20">
        <f>160+140+90+90</f>
        <v>480</v>
      </c>
      <c r="T7" s="20">
        <f t="shared" si="4"/>
        <v>-6</v>
      </c>
      <c r="U7" s="20">
        <v>240</v>
      </c>
      <c r="V7" s="20">
        <f>150+240</f>
        <v>390</v>
      </c>
      <c r="W7" s="20">
        <f t="shared" si="5"/>
        <v>-90</v>
      </c>
      <c r="X7" s="20"/>
      <c r="Y7" s="20">
        <f>130+10</f>
        <v>140</v>
      </c>
      <c r="Z7" s="20">
        <f t="shared" si="6"/>
        <v>-346</v>
      </c>
      <c r="AA7" s="20"/>
      <c r="AB7" s="20">
        <f>130+10</f>
        <v>140</v>
      </c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/>
      <c r="M8" s="20">
        <f>73+187+25+59+76+42+58</f>
        <v>520</v>
      </c>
      <c r="N8" s="20">
        <f t="shared" si="2"/>
        <v>-157</v>
      </c>
      <c r="O8" s="20"/>
      <c r="P8" s="20">
        <f>420+42+58</f>
        <v>520</v>
      </c>
      <c r="Q8" s="20">
        <f t="shared" si="3"/>
        <v>0</v>
      </c>
      <c r="R8" s="20">
        <v>50</v>
      </c>
      <c r="S8" s="20">
        <f>250+150+50+50</f>
        <v>500</v>
      </c>
      <c r="T8" s="20">
        <f t="shared" si="4"/>
        <v>-20</v>
      </c>
      <c r="U8" s="20">
        <v>200</v>
      </c>
      <c r="V8" s="20">
        <f>250+200</f>
        <v>450</v>
      </c>
      <c r="W8" s="20">
        <f t="shared" si="5"/>
        <v>-50</v>
      </c>
      <c r="X8" s="20"/>
      <c r="Y8" s="20">
        <f>180+45</f>
        <v>225</v>
      </c>
      <c r="Z8" s="20">
        <f t="shared" si="6"/>
        <v>-295</v>
      </c>
      <c r="AA8" s="20"/>
      <c r="AB8" s="20">
        <f>180+45</f>
        <v>225</v>
      </c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>
        <f>42+27</f>
        <v>69</v>
      </c>
      <c r="N9" s="20">
        <f t="shared" si="2"/>
        <v>-37</v>
      </c>
      <c r="O9" s="20"/>
      <c r="P9" s="20">
        <f>42+27</f>
        <v>69</v>
      </c>
      <c r="Q9" s="20">
        <f t="shared" si="3"/>
        <v>0</v>
      </c>
      <c r="R9" s="20">
        <v>10</v>
      </c>
      <c r="S9" s="20">
        <f>10</f>
        <v>10</v>
      </c>
      <c r="T9" s="20">
        <f t="shared" si="4"/>
        <v>-59</v>
      </c>
      <c r="U9" s="20"/>
      <c r="V9" s="20"/>
      <c r="W9" s="20">
        <f t="shared" si="5"/>
        <v>-10</v>
      </c>
      <c r="X9" s="20"/>
      <c r="Y9" s="20"/>
      <c r="Z9" s="20">
        <f t="shared" si="6"/>
        <v>-69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279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>
        <v>37</v>
      </c>
      <c r="M10" s="20">
        <f>37</f>
        <v>37</v>
      </c>
      <c r="N10" s="20">
        <f t="shared" si="2"/>
        <v>-186</v>
      </c>
      <c r="O10" s="20">
        <v>37</v>
      </c>
      <c r="P10" s="20">
        <f>37</f>
        <v>37</v>
      </c>
      <c r="Q10" s="20">
        <f t="shared" si="3"/>
        <v>0</v>
      </c>
      <c r="R10" s="20"/>
      <c r="S10" s="20"/>
      <c r="T10" s="20">
        <f t="shared" si="4"/>
        <v>-37</v>
      </c>
      <c r="U10" s="20"/>
      <c r="V10" s="20"/>
      <c r="W10" s="20">
        <f t="shared" si="5"/>
        <v>0</v>
      </c>
      <c r="X10" s="20"/>
      <c r="Y10" s="20"/>
      <c r="Z10" s="20">
        <f t="shared" si="6"/>
        <v>-37</v>
      </c>
      <c r="AA10" s="20"/>
      <c r="AB10" s="20"/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>
        <v>172</v>
      </c>
      <c r="M11" s="20">
        <f>172</f>
        <v>172</v>
      </c>
      <c r="N11" s="20">
        <f t="shared" si="2"/>
        <v>-55</v>
      </c>
      <c r="O11" s="20">
        <v>172</v>
      </c>
      <c r="P11" s="20">
        <f>172</f>
        <v>172</v>
      </c>
      <c r="Q11" s="20">
        <f t="shared" si="3"/>
        <v>0</v>
      </c>
      <c r="R11" s="20"/>
      <c r="S11" s="20"/>
      <c r="T11" s="20">
        <f t="shared" si="4"/>
        <v>-172</v>
      </c>
      <c r="U11" s="20"/>
      <c r="V11" s="20"/>
      <c r="W11" s="20">
        <f t="shared" si="5"/>
        <v>0</v>
      </c>
      <c r="X11" s="20"/>
      <c r="Y11" s="20"/>
      <c r="Z11" s="20">
        <f t="shared" si="6"/>
        <v>-172</v>
      </c>
      <c r="AA11" s="20"/>
      <c r="AB11" s="20"/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/>
      <c r="M12" s="20"/>
      <c r="N12" s="20">
        <f t="shared" si="2"/>
        <v>-242</v>
      </c>
      <c r="O12" s="20"/>
      <c r="P12" s="20"/>
      <c r="Q12" s="20">
        <f t="shared" si="3"/>
        <v>0</v>
      </c>
      <c r="R12" s="20"/>
      <c r="S12" s="20"/>
      <c r="T12" s="20">
        <f t="shared" si="4"/>
        <v>0</v>
      </c>
      <c r="U12" s="20"/>
      <c r="V12" s="20"/>
      <c r="W12" s="20">
        <f t="shared" si="5"/>
        <v>0</v>
      </c>
      <c r="X12" s="20"/>
      <c r="Y12" s="20"/>
      <c r="Z12" s="20">
        <f t="shared" si="6"/>
        <v>0</v>
      </c>
      <c r="AA12" s="20"/>
      <c r="AB12" s="20"/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ht="18" thickBot="1" x14ac:dyDescent="0.3">
      <c r="A13" s="283"/>
      <c r="B13" s="299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/>
      <c r="M13" s="20"/>
      <c r="N13" s="20">
        <f t="shared" si="2"/>
        <v>-171</v>
      </c>
      <c r="O13" s="20"/>
      <c r="P13" s="20"/>
      <c r="Q13" s="20">
        <f t="shared" si="3"/>
        <v>0</v>
      </c>
      <c r="R13" s="25"/>
      <c r="S13" s="25"/>
      <c r="T13" s="25">
        <f t="shared" si="4"/>
        <v>0</v>
      </c>
      <c r="U13" s="25"/>
      <c r="V13" s="25"/>
      <c r="W13" s="25">
        <f t="shared" si="5"/>
        <v>0</v>
      </c>
      <c r="X13" s="20"/>
      <c r="Y13" s="20"/>
      <c r="Z13" s="20">
        <f t="shared" si="6"/>
        <v>0</v>
      </c>
      <c r="AA13" s="20"/>
      <c r="AB13" s="20"/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ht="18" thickBot="1" x14ac:dyDescent="0.3">
      <c r="A14" s="283"/>
      <c r="B14" s="272" t="s">
        <v>34</v>
      </c>
      <c r="C14" s="273"/>
      <c r="D14" s="274"/>
      <c r="E14" s="23">
        <f>+SUM(E6:E13)</f>
        <v>3162</v>
      </c>
      <c r="F14" s="23">
        <f>+SUM(F6:F13)</f>
        <v>0</v>
      </c>
      <c r="G14" s="23">
        <f>SUM(G6:G13)</f>
        <v>2925</v>
      </c>
      <c r="H14" s="23">
        <f t="shared" ref="H14:AC14" si="8">+SUM(H6:H13)</f>
        <v>-237</v>
      </c>
      <c r="I14" s="23">
        <f t="shared" si="8"/>
        <v>0</v>
      </c>
      <c r="J14" s="23">
        <f t="shared" si="8"/>
        <v>2925</v>
      </c>
      <c r="K14" s="23">
        <f t="shared" si="8"/>
        <v>0</v>
      </c>
      <c r="L14" s="23">
        <f t="shared" si="8"/>
        <v>288</v>
      </c>
      <c r="M14" s="23">
        <f t="shared" si="8"/>
        <v>1866</v>
      </c>
      <c r="N14" s="23">
        <f t="shared" si="8"/>
        <v>-1059</v>
      </c>
      <c r="O14" s="23">
        <f t="shared" si="8"/>
        <v>288</v>
      </c>
      <c r="P14" s="23">
        <f t="shared" si="8"/>
        <v>1866</v>
      </c>
      <c r="Q14" s="23">
        <f t="shared" si="8"/>
        <v>0</v>
      </c>
      <c r="R14" s="24">
        <f t="shared" si="8"/>
        <v>190</v>
      </c>
      <c r="S14" s="24">
        <f t="shared" si="8"/>
        <v>1570</v>
      </c>
      <c r="T14" s="24">
        <f t="shared" si="8"/>
        <v>-296</v>
      </c>
      <c r="U14" s="24">
        <f t="shared" si="8"/>
        <v>780</v>
      </c>
      <c r="V14" s="24">
        <f t="shared" si="8"/>
        <v>1380</v>
      </c>
      <c r="W14" s="24">
        <f t="shared" si="8"/>
        <v>-190</v>
      </c>
      <c r="X14" s="23">
        <f t="shared" si="8"/>
        <v>0</v>
      </c>
      <c r="Y14" s="23">
        <f t="shared" si="8"/>
        <v>550</v>
      </c>
      <c r="Z14" s="23">
        <f t="shared" si="8"/>
        <v>-1316</v>
      </c>
      <c r="AA14" s="23">
        <f t="shared" si="8"/>
        <v>0</v>
      </c>
      <c r="AB14" s="23">
        <f t="shared" si="8"/>
        <v>550</v>
      </c>
      <c r="AC14" s="15">
        <f t="shared" si="8"/>
        <v>0</v>
      </c>
      <c r="AD14" s="264"/>
      <c r="AE14" s="264"/>
      <c r="AF14" s="269"/>
      <c r="AG14" s="264"/>
      <c r="AH14" s="262"/>
      <c r="AI14" s="264"/>
      <c r="AJ14" s="262"/>
      <c r="AK14" s="264"/>
      <c r="AL14" s="262"/>
      <c r="AM14" s="250"/>
      <c r="AN14" s="250"/>
      <c r="AO14" s="252"/>
    </row>
    <row r="15" spans="1:41" ht="18" thickBot="1" x14ac:dyDescent="0.3">
      <c r="A15" s="284"/>
      <c r="B15" s="275" t="s">
        <v>40</v>
      </c>
      <c r="C15" s="275"/>
      <c r="D15" s="276"/>
      <c r="E15" s="26">
        <f>E14</f>
        <v>3162</v>
      </c>
      <c r="F15" s="26">
        <f t="shared" ref="F15:AC15" si="9">F14</f>
        <v>0</v>
      </c>
      <c r="G15" s="26">
        <f t="shared" si="9"/>
        <v>2925</v>
      </c>
      <c r="H15" s="26">
        <f t="shared" si="9"/>
        <v>-237</v>
      </c>
      <c r="I15" s="26">
        <f t="shared" si="9"/>
        <v>0</v>
      </c>
      <c r="J15" s="26">
        <f t="shared" si="9"/>
        <v>2925</v>
      </c>
      <c r="K15" s="26">
        <f t="shared" si="9"/>
        <v>0</v>
      </c>
      <c r="L15" s="26">
        <f t="shared" si="9"/>
        <v>288</v>
      </c>
      <c r="M15" s="26">
        <f t="shared" si="9"/>
        <v>1866</v>
      </c>
      <c r="N15" s="26">
        <f t="shared" si="9"/>
        <v>-1059</v>
      </c>
      <c r="O15" s="26">
        <f t="shared" si="9"/>
        <v>288</v>
      </c>
      <c r="P15" s="26">
        <f t="shared" si="9"/>
        <v>1866</v>
      </c>
      <c r="Q15" s="26">
        <f t="shared" si="9"/>
        <v>0</v>
      </c>
      <c r="R15" s="26">
        <f t="shared" si="9"/>
        <v>190</v>
      </c>
      <c r="S15" s="26">
        <f t="shared" si="9"/>
        <v>1570</v>
      </c>
      <c r="T15" s="26">
        <f t="shared" si="9"/>
        <v>-296</v>
      </c>
      <c r="U15" s="26">
        <f t="shared" si="9"/>
        <v>780</v>
      </c>
      <c r="V15" s="26">
        <f t="shared" si="9"/>
        <v>1380</v>
      </c>
      <c r="W15" s="26">
        <f t="shared" si="9"/>
        <v>-190</v>
      </c>
      <c r="X15" s="26">
        <f t="shared" si="9"/>
        <v>0</v>
      </c>
      <c r="Y15" s="26">
        <f t="shared" si="9"/>
        <v>550</v>
      </c>
      <c r="Z15" s="26">
        <f t="shared" si="9"/>
        <v>-1316</v>
      </c>
      <c r="AA15" s="26">
        <f t="shared" si="9"/>
        <v>0</v>
      </c>
      <c r="AB15" s="26">
        <f t="shared" si="9"/>
        <v>550</v>
      </c>
      <c r="AC15" s="26">
        <f t="shared" si="9"/>
        <v>0</v>
      </c>
      <c r="AD15" s="27">
        <f t="shared" ref="AD15:AL15" si="10">SUM(AD6:AD14)</f>
        <v>288</v>
      </c>
      <c r="AE15" s="27">
        <f t="shared" si="10"/>
        <v>1866</v>
      </c>
      <c r="AF15" s="28">
        <f t="shared" si="10"/>
        <v>24.192</v>
      </c>
      <c r="AG15" s="27">
        <f>SUM(AG6:AG14)</f>
        <v>13</v>
      </c>
      <c r="AH15" s="27">
        <f t="shared" si="10"/>
        <v>184</v>
      </c>
      <c r="AI15" s="27">
        <f t="shared" si="10"/>
        <v>7</v>
      </c>
      <c r="AJ15" s="27">
        <f t="shared" si="10"/>
        <v>82</v>
      </c>
      <c r="AK15" s="27">
        <f t="shared" si="10"/>
        <v>1</v>
      </c>
      <c r="AL15" s="27">
        <f t="shared" si="10"/>
        <v>12</v>
      </c>
      <c r="AM15" s="29">
        <f>L15*AF15/480/AG15</f>
        <v>1.1165538461538462</v>
      </c>
      <c r="AN15" s="30">
        <f>M15*AF15/480/AH15</f>
        <v>0.51112173913043468</v>
      </c>
      <c r="AO15" s="31"/>
    </row>
    <row r="16" spans="1:41" ht="18.75" customHeight="1" x14ac:dyDescent="0.25">
      <c r="A16" s="265" t="s">
        <v>32</v>
      </c>
      <c r="B16" s="139" t="s">
        <v>41</v>
      </c>
      <c r="C16" s="300" t="s">
        <v>37</v>
      </c>
      <c r="D16" s="34" t="s">
        <v>42</v>
      </c>
      <c r="E16" s="140">
        <v>1645</v>
      </c>
      <c r="F16" s="140"/>
      <c r="G16" s="140">
        <f>1433</f>
        <v>1433</v>
      </c>
      <c r="H16" s="140">
        <f t="shared" ref="H16:H18" si="11">G16-E16</f>
        <v>-212</v>
      </c>
      <c r="I16" s="140"/>
      <c r="J16" s="140">
        <f>100+200+300+350+400+83</f>
        <v>1433</v>
      </c>
      <c r="K16" s="140">
        <f t="shared" ref="K16:K18" si="12">J16-G16</f>
        <v>0</v>
      </c>
      <c r="L16" s="140">
        <f>1430-1396</f>
        <v>34</v>
      </c>
      <c r="M16" s="140">
        <f>102+201+302+351-99-125-110+133+127+49+120+24+166+155+34</f>
        <v>1430</v>
      </c>
      <c r="N16" s="140">
        <f t="shared" ref="N16:N18" si="13">M16-J16</f>
        <v>-3</v>
      </c>
      <c r="O16" s="140">
        <v>34</v>
      </c>
      <c r="P16" s="140">
        <f>1075+166+155+34</f>
        <v>1430</v>
      </c>
      <c r="Q16" s="140">
        <f t="shared" ref="Q16:Q18" si="14">P16-M16</f>
        <v>0</v>
      </c>
      <c r="R16" s="140">
        <v>150</v>
      </c>
      <c r="S16" s="140">
        <f>970+260+50+150</f>
        <v>1430</v>
      </c>
      <c r="T16" s="35">
        <f t="shared" ref="T16:T18" si="15">S16-P16</f>
        <v>0</v>
      </c>
      <c r="U16" s="140">
        <f>1280-970</f>
        <v>310</v>
      </c>
      <c r="V16" s="140">
        <f>970+310</f>
        <v>1280</v>
      </c>
      <c r="W16" s="35">
        <f t="shared" ref="W16:W18" si="16">V16-S16</f>
        <v>-150</v>
      </c>
      <c r="X16" s="140">
        <f>1095-955</f>
        <v>140</v>
      </c>
      <c r="Y16" s="140">
        <f>860+80+15+140</f>
        <v>1095</v>
      </c>
      <c r="Z16" s="140">
        <f t="shared" ref="Z16:Z18" si="17">Y16-P16</f>
        <v>-335</v>
      </c>
      <c r="AA16" s="140">
        <v>140</v>
      </c>
      <c r="AB16" s="140">
        <f>860+80+15+140</f>
        <v>1095</v>
      </c>
      <c r="AC16" s="33">
        <f t="shared" ref="AC16:AC18" si="18">AB16-Y16</f>
        <v>0</v>
      </c>
      <c r="AD16" s="267">
        <f>L19</f>
        <v>80</v>
      </c>
      <c r="AE16" s="263">
        <f>300+98+344+213+289+412+355+358+438+80</f>
        <v>2887</v>
      </c>
      <c r="AF16" s="268">
        <v>33.130000000000003</v>
      </c>
      <c r="AG16" s="263">
        <v>13</v>
      </c>
      <c r="AH16" s="261">
        <f>2+10+8+8+8+6+6+6+9+5+6+8+7+7+6+6+6+6+6+6+7+7+7+7+6+7+17+16+16+22+21+21+10+20+20+13+10+10+10+11+13</f>
        <v>403</v>
      </c>
      <c r="AI16" s="263">
        <v>7</v>
      </c>
      <c r="AJ16" s="261">
        <f>1+1+1+1+1+1+1+2+2+2+2+2+2+2+2+2+2+1+1+1+1+1+1+1+1+4+3+4+5+8+8+6+7+6+6+6+7+7+7</f>
        <v>119</v>
      </c>
      <c r="AK16" s="263">
        <v>1</v>
      </c>
      <c r="AL16" s="261">
        <f>1+1+1+1+1+1+1+1+1+1+1+1+1+1+1+1+2+2+2+2+2+1+1+1+1+1</f>
        <v>31</v>
      </c>
      <c r="AM16" s="249">
        <f>L19*AF16/480/AG16</f>
        <v>0.42474358974358972</v>
      </c>
      <c r="AN16" s="249">
        <f>M19*AF16/480/AH16</f>
        <v>0.65818129652605462</v>
      </c>
      <c r="AO16" s="251"/>
    </row>
    <row r="17" spans="1:41" ht="18.75" customHeight="1" x14ac:dyDescent="0.25">
      <c r="A17" s="265"/>
      <c r="B17" s="36" t="s">
        <v>43</v>
      </c>
      <c r="C17" s="301"/>
      <c r="D17" s="38" t="s">
        <v>44</v>
      </c>
      <c r="E17" s="20">
        <v>1245</v>
      </c>
      <c r="F17" s="20"/>
      <c r="G17" s="20">
        <f>1238</f>
        <v>1238</v>
      </c>
      <c r="H17" s="20">
        <f t="shared" si="11"/>
        <v>-7</v>
      </c>
      <c r="I17" s="20"/>
      <c r="J17" s="20">
        <f>650+588</f>
        <v>1238</v>
      </c>
      <c r="K17" s="20">
        <f t="shared" si="12"/>
        <v>0</v>
      </c>
      <c r="L17" s="20">
        <f>1230-1195</f>
        <v>35</v>
      </c>
      <c r="M17" s="20">
        <f>300+99+125+110+98+101+59+41+12+93+57+100+35</f>
        <v>1230</v>
      </c>
      <c r="N17" s="20">
        <f t="shared" si="13"/>
        <v>-8</v>
      </c>
      <c r="O17" s="20">
        <v>35</v>
      </c>
      <c r="P17" s="20">
        <f>1038+57+100+35</f>
        <v>1230</v>
      </c>
      <c r="Q17" s="20">
        <f t="shared" si="14"/>
        <v>0</v>
      </c>
      <c r="R17" s="20">
        <v>90</v>
      </c>
      <c r="S17" s="20">
        <f>930+160+50+90</f>
        <v>1230</v>
      </c>
      <c r="T17" s="39">
        <f t="shared" si="15"/>
        <v>0</v>
      </c>
      <c r="U17" s="20">
        <f>1140-910</f>
        <v>230</v>
      </c>
      <c r="V17" s="20">
        <f>910+230</f>
        <v>1140</v>
      </c>
      <c r="W17" s="39">
        <f t="shared" si="16"/>
        <v>-90</v>
      </c>
      <c r="X17" s="20">
        <f>955-865</f>
        <v>90</v>
      </c>
      <c r="Y17" s="20">
        <f>750+75+40+90</f>
        <v>955</v>
      </c>
      <c r="Z17" s="20">
        <f t="shared" si="17"/>
        <v>-275</v>
      </c>
      <c r="AA17" s="20">
        <v>90</v>
      </c>
      <c r="AB17" s="20">
        <f>750+75+40+90</f>
        <v>955</v>
      </c>
      <c r="AC17" s="37">
        <f t="shared" si="18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.75" customHeight="1" thickBot="1" x14ac:dyDescent="0.3">
      <c r="A18" s="265"/>
      <c r="B18" s="143" t="s">
        <v>45</v>
      </c>
      <c r="C18" s="302"/>
      <c r="D18" s="42" t="s">
        <v>46</v>
      </c>
      <c r="E18" s="25">
        <v>1300</v>
      </c>
      <c r="F18" s="25"/>
      <c r="G18" s="25">
        <f>1183</f>
        <v>1183</v>
      </c>
      <c r="H18" s="25">
        <f t="shared" si="11"/>
        <v>-117</v>
      </c>
      <c r="I18" s="25"/>
      <c r="J18" s="25">
        <f>520+663</f>
        <v>1183</v>
      </c>
      <c r="K18" s="25">
        <f t="shared" si="12"/>
        <v>0</v>
      </c>
      <c r="L18" s="25">
        <v>11</v>
      </c>
      <c r="M18" s="25">
        <f>110+27+199+280+238+135+183+11</f>
        <v>1183</v>
      </c>
      <c r="N18" s="25">
        <f t="shared" si="13"/>
        <v>0</v>
      </c>
      <c r="O18" s="25">
        <v>11</v>
      </c>
      <c r="P18" s="25">
        <f>854+135+183+11</f>
        <v>1183</v>
      </c>
      <c r="Q18" s="25">
        <f t="shared" si="14"/>
        <v>0</v>
      </c>
      <c r="R18" s="25">
        <v>83</v>
      </c>
      <c r="S18" s="25">
        <f>530+420+150+83</f>
        <v>1183</v>
      </c>
      <c r="T18" s="43">
        <f t="shared" si="15"/>
        <v>0</v>
      </c>
      <c r="U18" s="25">
        <v>150</v>
      </c>
      <c r="V18" s="25">
        <f>130+400+420+150</f>
        <v>1100</v>
      </c>
      <c r="W18" s="43">
        <f t="shared" si="16"/>
        <v>-83</v>
      </c>
      <c r="X18" s="25">
        <v>320</v>
      </c>
      <c r="Y18" s="25">
        <f>100+190+190+320</f>
        <v>800</v>
      </c>
      <c r="Z18" s="25">
        <f t="shared" si="17"/>
        <v>-383</v>
      </c>
      <c r="AA18" s="25">
        <v>320</v>
      </c>
      <c r="AB18" s="25">
        <f>100+190+190+320</f>
        <v>800</v>
      </c>
      <c r="AC18" s="44">
        <f t="shared" si="18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65"/>
      <c r="B19" s="253" t="s">
        <v>34</v>
      </c>
      <c r="C19" s="254"/>
      <c r="D19" s="255"/>
      <c r="E19" s="24">
        <f>+SUM(E16:E18)</f>
        <v>4190</v>
      </c>
      <c r="F19" s="24">
        <f t="shared" ref="F19:AC19" si="19">+SUM(F16:F18)</f>
        <v>0</v>
      </c>
      <c r="G19" s="24">
        <f t="shared" si="19"/>
        <v>3854</v>
      </c>
      <c r="H19" s="24">
        <f t="shared" si="19"/>
        <v>-336</v>
      </c>
      <c r="I19" s="24">
        <f t="shared" si="19"/>
        <v>0</v>
      </c>
      <c r="J19" s="24">
        <f t="shared" si="19"/>
        <v>3854</v>
      </c>
      <c r="K19" s="24">
        <f t="shared" si="19"/>
        <v>0</v>
      </c>
      <c r="L19" s="24">
        <f t="shared" si="19"/>
        <v>80</v>
      </c>
      <c r="M19" s="24">
        <f t="shared" si="19"/>
        <v>3843</v>
      </c>
      <c r="N19" s="24">
        <f t="shared" si="19"/>
        <v>-11</v>
      </c>
      <c r="O19" s="24">
        <f t="shared" si="19"/>
        <v>80</v>
      </c>
      <c r="P19" s="24">
        <f t="shared" si="19"/>
        <v>3843</v>
      </c>
      <c r="Q19" s="24">
        <f t="shared" si="19"/>
        <v>0</v>
      </c>
      <c r="R19" s="24">
        <f t="shared" si="19"/>
        <v>323</v>
      </c>
      <c r="S19" s="24">
        <f t="shared" si="19"/>
        <v>3843</v>
      </c>
      <c r="T19" s="24">
        <f t="shared" si="19"/>
        <v>0</v>
      </c>
      <c r="U19" s="24">
        <f t="shared" si="19"/>
        <v>690</v>
      </c>
      <c r="V19" s="24">
        <f t="shared" si="19"/>
        <v>3520</v>
      </c>
      <c r="W19" s="24">
        <f t="shared" si="19"/>
        <v>-323</v>
      </c>
      <c r="X19" s="24">
        <f t="shared" si="19"/>
        <v>550</v>
      </c>
      <c r="Y19" s="24">
        <f t="shared" si="19"/>
        <v>2850</v>
      </c>
      <c r="Z19" s="24">
        <f t="shared" si="19"/>
        <v>-993</v>
      </c>
      <c r="AA19" s="24">
        <f t="shared" si="19"/>
        <v>550</v>
      </c>
      <c r="AB19" s="24">
        <f t="shared" si="19"/>
        <v>2850</v>
      </c>
      <c r="AC19" s="24">
        <f t="shared" si="19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" customHeight="1" thickBot="1" x14ac:dyDescent="0.3">
      <c r="A20" s="266"/>
      <c r="B20" s="256" t="s">
        <v>40</v>
      </c>
      <c r="C20" s="256"/>
      <c r="D20" s="257"/>
      <c r="E20" s="26">
        <f>E19</f>
        <v>4190</v>
      </c>
      <c r="F20" s="26">
        <f t="shared" ref="F20:AC20" si="20">F19</f>
        <v>0</v>
      </c>
      <c r="G20" s="26">
        <f t="shared" si="20"/>
        <v>3854</v>
      </c>
      <c r="H20" s="26">
        <f t="shared" si="20"/>
        <v>-336</v>
      </c>
      <c r="I20" s="26">
        <f t="shared" si="20"/>
        <v>0</v>
      </c>
      <c r="J20" s="26">
        <f t="shared" si="20"/>
        <v>3854</v>
      </c>
      <c r="K20" s="26">
        <f t="shared" si="20"/>
        <v>0</v>
      </c>
      <c r="L20" s="26">
        <f t="shared" si="20"/>
        <v>80</v>
      </c>
      <c r="M20" s="26">
        <f t="shared" si="20"/>
        <v>3843</v>
      </c>
      <c r="N20" s="26">
        <f t="shared" si="20"/>
        <v>-11</v>
      </c>
      <c r="O20" s="26">
        <f t="shared" si="20"/>
        <v>80</v>
      </c>
      <c r="P20" s="26">
        <f t="shared" si="20"/>
        <v>3843</v>
      </c>
      <c r="Q20" s="26">
        <f t="shared" si="20"/>
        <v>0</v>
      </c>
      <c r="R20" s="26">
        <f t="shared" si="20"/>
        <v>323</v>
      </c>
      <c r="S20" s="26">
        <f t="shared" si="20"/>
        <v>3843</v>
      </c>
      <c r="T20" s="26">
        <f t="shared" si="20"/>
        <v>0</v>
      </c>
      <c r="U20" s="26">
        <f t="shared" si="20"/>
        <v>690</v>
      </c>
      <c r="V20" s="26">
        <f t="shared" si="20"/>
        <v>3520</v>
      </c>
      <c r="W20" s="26">
        <f t="shared" si="20"/>
        <v>-323</v>
      </c>
      <c r="X20" s="26">
        <f t="shared" si="20"/>
        <v>550</v>
      </c>
      <c r="Y20" s="26">
        <f t="shared" si="20"/>
        <v>2850</v>
      </c>
      <c r="Z20" s="26">
        <f t="shared" si="20"/>
        <v>-993</v>
      </c>
      <c r="AA20" s="26">
        <f t="shared" si="20"/>
        <v>550</v>
      </c>
      <c r="AB20" s="26">
        <f t="shared" si="20"/>
        <v>2850</v>
      </c>
      <c r="AC20" s="26">
        <f t="shared" si="20"/>
        <v>0</v>
      </c>
      <c r="AD20" s="45">
        <f t="shared" ref="AD20:AL20" si="21">SUM(AD16:AD19)</f>
        <v>80</v>
      </c>
      <c r="AE20" s="45">
        <f t="shared" si="21"/>
        <v>2887</v>
      </c>
      <c r="AF20" s="46">
        <f t="shared" si="21"/>
        <v>33.130000000000003</v>
      </c>
      <c r="AG20" s="45">
        <f t="shared" si="21"/>
        <v>13</v>
      </c>
      <c r="AH20" s="45">
        <f t="shared" si="21"/>
        <v>403</v>
      </c>
      <c r="AI20" s="45">
        <f t="shared" si="21"/>
        <v>7</v>
      </c>
      <c r="AJ20" s="45">
        <f t="shared" si="21"/>
        <v>119</v>
      </c>
      <c r="AK20" s="45">
        <f t="shared" si="21"/>
        <v>1</v>
      </c>
      <c r="AL20" s="45">
        <f t="shared" si="21"/>
        <v>31</v>
      </c>
      <c r="AM20" s="47">
        <f>L20*AF20/480/AG20</f>
        <v>0.42474358974358972</v>
      </c>
      <c r="AN20" s="48">
        <f>M20*AF20/480/AH20</f>
        <v>0.65818129652605462</v>
      </c>
      <c r="AO20" s="49"/>
    </row>
    <row r="21" spans="1:41" s="60" customFormat="1" ht="15.75" thickBot="1" x14ac:dyDescent="0.3">
      <c r="A21" s="50"/>
      <c r="B21" s="51"/>
      <c r="C21" s="51"/>
      <c r="D21" s="51"/>
      <c r="E21" s="51"/>
      <c r="F21" s="52"/>
      <c r="G21" s="51"/>
      <c r="H21" s="51"/>
      <c r="I21" s="142"/>
      <c r="J21" s="54"/>
      <c r="K21" s="51"/>
      <c r="L21" s="55"/>
      <c r="M21" s="51"/>
      <c r="N21" s="51"/>
      <c r="O21" s="56"/>
      <c r="P21" s="51"/>
      <c r="Q21" s="51"/>
      <c r="R21" s="55"/>
      <c r="S21" s="51"/>
      <c r="T21" s="51"/>
      <c r="U21" s="55"/>
      <c r="V21" s="51"/>
      <c r="W21" s="51"/>
      <c r="X21" s="55"/>
      <c r="Y21" s="51"/>
      <c r="Z21" s="51"/>
      <c r="AA21" s="55"/>
      <c r="AB21" s="51"/>
      <c r="AC21" s="51"/>
      <c r="AD21" s="141"/>
      <c r="AE21" s="58"/>
      <c r="AF21" s="51"/>
      <c r="AG21" s="141"/>
      <c r="AH21" s="58"/>
      <c r="AI21" s="141"/>
      <c r="AJ21" s="58"/>
      <c r="AK21" s="141"/>
      <c r="AL21" s="58"/>
      <c r="AM21" s="141"/>
      <c r="AN21" s="55"/>
      <c r="AO21" s="59"/>
    </row>
    <row r="22" spans="1:41" s="60" customFormat="1" ht="15.75" thickBot="1" x14ac:dyDescent="0.3">
      <c r="A22" s="258" t="s">
        <v>47</v>
      </c>
      <c r="B22" s="259"/>
      <c r="C22" s="259"/>
      <c r="D22" s="259"/>
      <c r="E22" s="260"/>
      <c r="F22" s="63">
        <f>F20+F15</f>
        <v>0</v>
      </c>
      <c r="G22" s="64"/>
      <c r="H22" s="64"/>
      <c r="I22" s="63">
        <f>I20+I15</f>
        <v>0</v>
      </c>
      <c r="J22" s="64"/>
      <c r="K22" s="65">
        <f>K20+K15</f>
        <v>0</v>
      </c>
      <c r="L22" s="66">
        <f>L20+L15</f>
        <v>368</v>
      </c>
      <c r="M22" s="64"/>
      <c r="N22" s="65">
        <f>N20+N15</f>
        <v>-1070</v>
      </c>
      <c r="O22" s="66">
        <f>O20+O15</f>
        <v>368</v>
      </c>
      <c r="P22" s="64"/>
      <c r="Q22" s="65">
        <f>Q20+Q15</f>
        <v>0</v>
      </c>
      <c r="R22" s="66">
        <f>R20+R15</f>
        <v>513</v>
      </c>
      <c r="S22" s="64"/>
      <c r="T22" s="65">
        <f>T20+T15</f>
        <v>-296</v>
      </c>
      <c r="U22" s="66">
        <f>U20+U15</f>
        <v>1470</v>
      </c>
      <c r="V22" s="64"/>
      <c r="W22" s="65">
        <f>W20+W15</f>
        <v>-513</v>
      </c>
      <c r="X22" s="66">
        <f>X20+X15</f>
        <v>550</v>
      </c>
      <c r="Y22" s="64"/>
      <c r="Z22" s="65">
        <f>Z20+Z15</f>
        <v>-2309</v>
      </c>
      <c r="AA22" s="66">
        <f>AA20+AA15</f>
        <v>550</v>
      </c>
      <c r="AB22" s="64"/>
      <c r="AC22" s="65">
        <f>AC20+AC15</f>
        <v>0</v>
      </c>
      <c r="AD22" s="67">
        <f>AD20+AD15</f>
        <v>368</v>
      </c>
      <c r="AE22" s="65">
        <f>AE20+AE15</f>
        <v>4753</v>
      </c>
      <c r="AF22" s="64"/>
      <c r="AG22" s="63">
        <f>AG20+AG15</f>
        <v>26</v>
      </c>
      <c r="AH22" s="68"/>
      <c r="AI22" s="63">
        <f>AI20+AI15</f>
        <v>14</v>
      </c>
      <c r="AJ22" s="68"/>
      <c r="AK22" s="63">
        <f>AK20+AK15</f>
        <v>2</v>
      </c>
      <c r="AL22" s="68"/>
      <c r="AM22" s="69">
        <f>SUM(AM20+AM15)/2</f>
        <v>0.77064871794871803</v>
      </c>
      <c r="AN22" s="69">
        <f>SUM(AN20+AN15)/2</f>
        <v>0.58465151782824465</v>
      </c>
      <c r="AO22" s="70"/>
    </row>
    <row r="23" spans="1:41" s="60" customFormat="1" ht="15" x14ac:dyDescent="0.25">
      <c r="O23" s="71"/>
    </row>
    <row r="24" spans="1:41" s="60" customFormat="1" ht="15" x14ac:dyDescent="0.25">
      <c r="O24" s="71"/>
      <c r="W24" s="60" t="s">
        <v>5</v>
      </c>
      <c r="Z24" s="60" t="s">
        <v>5</v>
      </c>
      <c r="AC24" s="60" t="s">
        <v>5</v>
      </c>
    </row>
  </sheetData>
  <mergeCells count="59">
    <mergeCell ref="AN16:AN19"/>
    <mergeCell ref="AO16:AO19"/>
    <mergeCell ref="B19:D19"/>
    <mergeCell ref="B20:D20"/>
    <mergeCell ref="A22:E22"/>
    <mergeCell ref="AH16:AH19"/>
    <mergeCell ref="AI16:AI19"/>
    <mergeCell ref="AJ16:AJ19"/>
    <mergeCell ref="AK16:AK19"/>
    <mergeCell ref="AL16:AL19"/>
    <mergeCell ref="AM16:AM19"/>
    <mergeCell ref="AO6:AO14"/>
    <mergeCell ref="B10:B13"/>
    <mergeCell ref="B14:D14"/>
    <mergeCell ref="B15:D15"/>
    <mergeCell ref="A16:A20"/>
    <mergeCell ref="C16:C18"/>
    <mergeCell ref="AD16:AD19"/>
    <mergeCell ref="AE16:AE19"/>
    <mergeCell ref="AF16:AF19"/>
    <mergeCell ref="AG16:AG19"/>
    <mergeCell ref="AI6:AI14"/>
    <mergeCell ref="AJ6:AJ14"/>
    <mergeCell ref="AK6:AK14"/>
    <mergeCell ref="AL6:AL14"/>
    <mergeCell ref="AM6:AM14"/>
    <mergeCell ref="AN6:AN14"/>
    <mergeCell ref="AM4:AN4"/>
    <mergeCell ref="AO4:AO5"/>
    <mergeCell ref="A6:A15"/>
    <mergeCell ref="B6:B9"/>
    <mergeCell ref="C6:C13"/>
    <mergeCell ref="AD6:AD14"/>
    <mergeCell ref="AE6:AE14"/>
    <mergeCell ref="AF6:AF14"/>
    <mergeCell ref="AG6:AG14"/>
    <mergeCell ref="AH6:AH14"/>
    <mergeCell ref="X4:Z4"/>
    <mergeCell ref="AA4:AC4"/>
    <mergeCell ref="AD4:AE4"/>
    <mergeCell ref="AG4:AH4"/>
    <mergeCell ref="AI4:AJ4"/>
    <mergeCell ref="AK4:AL4"/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22" max="5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13" sqref="I13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5.7109375" style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4.8554687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5.42578125" style="1" bestFit="1" customWidth="1"/>
    <col min="18" max="18" width="7.85546875" style="1" customWidth="1"/>
    <col min="19" max="19" width="8.85546875" style="1" customWidth="1"/>
    <col min="20" max="20" width="7.42578125" style="1" bestFit="1" customWidth="1"/>
    <col min="21" max="21" width="8.42578125" style="1" customWidth="1"/>
    <col min="22" max="22" width="7.85546875" style="1" customWidth="1"/>
    <col min="23" max="23" width="7.425781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45367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50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146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149" t="s">
        <v>26</v>
      </c>
      <c r="G5" s="9" t="s">
        <v>27</v>
      </c>
      <c r="H5" s="10" t="s">
        <v>28</v>
      </c>
      <c r="I5" s="146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150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146" t="s">
        <v>26</v>
      </c>
      <c r="AE5" s="9" t="s">
        <v>27</v>
      </c>
      <c r="AF5" s="149" t="s">
        <v>26</v>
      </c>
      <c r="AG5" s="149" t="s">
        <v>26</v>
      </c>
      <c r="AH5" s="9" t="s">
        <v>27</v>
      </c>
      <c r="AI5" s="149" t="s">
        <v>26</v>
      </c>
      <c r="AJ5" s="15" t="s">
        <v>27</v>
      </c>
      <c r="AK5" s="149" t="s">
        <v>26</v>
      </c>
      <c r="AL5" s="9" t="s">
        <v>27</v>
      </c>
      <c r="AM5" s="146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148">
        <v>680</v>
      </c>
      <c r="F6" s="148"/>
      <c r="G6" s="148">
        <f>680</f>
        <v>680</v>
      </c>
      <c r="H6" s="148">
        <f t="shared" ref="H6:H18" si="0">G6-E6</f>
        <v>0</v>
      </c>
      <c r="I6" s="148"/>
      <c r="J6" s="148">
        <f>428+252</f>
        <v>680</v>
      </c>
      <c r="K6" s="148">
        <f t="shared" ref="K6:K18" si="1">J6-G6</f>
        <v>0</v>
      </c>
      <c r="L6" s="148">
        <v>4</v>
      </c>
      <c r="M6" s="148">
        <f>62+144+4+9+26+75+226+36+4</f>
        <v>586</v>
      </c>
      <c r="N6" s="148">
        <f t="shared" ref="N6:N18" si="2">M6-J6</f>
        <v>-94</v>
      </c>
      <c r="O6" s="148">
        <v>4</v>
      </c>
      <c r="P6" s="119">
        <f>546+36+4</f>
        <v>586</v>
      </c>
      <c r="Q6" s="148">
        <f t="shared" ref="Q6:Q18" si="3">P6-M6</f>
        <v>0</v>
      </c>
      <c r="R6" s="18"/>
      <c r="S6" s="18">
        <f>210+330+40</f>
        <v>580</v>
      </c>
      <c r="T6" s="18">
        <f t="shared" ref="T6:T18" si="4">S6-P6</f>
        <v>-6</v>
      </c>
      <c r="U6" s="18">
        <v>40</v>
      </c>
      <c r="V6" s="18">
        <f>200+340+40</f>
        <v>580</v>
      </c>
      <c r="W6" s="18">
        <f t="shared" ref="W6:W18" si="5">V6-S6</f>
        <v>0</v>
      </c>
      <c r="X6" s="148"/>
      <c r="Y6" s="148">
        <f>175+10</f>
        <v>185</v>
      </c>
      <c r="Z6" s="148">
        <f t="shared" ref="Z6:Z18" si="6">Y6-P6</f>
        <v>-401</v>
      </c>
      <c r="AA6" s="148"/>
      <c r="AB6" s="148">
        <f>175+10</f>
        <v>185</v>
      </c>
      <c r="AC6" s="19">
        <f t="shared" ref="AC6:AC18" si="7">AB6-Y6</f>
        <v>0</v>
      </c>
      <c r="AD6" s="267">
        <f>L19</f>
        <v>308</v>
      </c>
      <c r="AE6" s="267">
        <f>62+144+4+20+190+196+47+175+261+297+182+288+308</f>
        <v>2174</v>
      </c>
      <c r="AF6" s="282">
        <v>24.192</v>
      </c>
      <c r="AG6" s="267">
        <v>26</v>
      </c>
      <c r="AH6" s="277">
        <f>6+8+6+10+10+10+20+6+22+13+22+8+10+9+11+13+26</f>
        <v>210</v>
      </c>
      <c r="AI6" s="267">
        <v>14</v>
      </c>
      <c r="AJ6" s="277">
        <f>1+2+2+2+3+3+5+4+5+5+11+11+7+7+7+7+14</f>
        <v>96</v>
      </c>
      <c r="AK6" s="267">
        <v>2</v>
      </c>
      <c r="AL6" s="277">
        <f>1+1+1+1+1+1+1+1+1+1+1+1+2</f>
        <v>14</v>
      </c>
      <c r="AM6" s="270">
        <f>L19*AF6/480/AG6</f>
        <v>0.59704615384615389</v>
      </c>
      <c r="AN6" s="270">
        <f>M19*AF6/480/AH6</f>
        <v>0.52176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/>
      <c r="M7" s="20">
        <f>20+117+9+13+48+110+29+97+43</f>
        <v>486</v>
      </c>
      <c r="N7" s="20">
        <f t="shared" si="2"/>
        <v>-113</v>
      </c>
      <c r="O7" s="20"/>
      <c r="P7" s="20">
        <f>292+29+122+43</f>
        <v>486</v>
      </c>
      <c r="Q7" s="20">
        <f t="shared" si="3"/>
        <v>0</v>
      </c>
      <c r="R7" s="20"/>
      <c r="S7" s="20">
        <f>160+140+90+90</f>
        <v>480</v>
      </c>
      <c r="T7" s="20">
        <f t="shared" si="4"/>
        <v>-6</v>
      </c>
      <c r="U7" s="20">
        <v>90</v>
      </c>
      <c r="V7" s="20">
        <f>150+240+90</f>
        <v>480</v>
      </c>
      <c r="W7" s="20">
        <f t="shared" si="5"/>
        <v>0</v>
      </c>
      <c r="X7" s="20">
        <v>160</v>
      </c>
      <c r="Y7" s="20">
        <f>130+10+160</f>
        <v>300</v>
      </c>
      <c r="Z7" s="20">
        <f t="shared" si="6"/>
        <v>-186</v>
      </c>
      <c r="AA7" s="20">
        <v>160</v>
      </c>
      <c r="AB7" s="20">
        <f>130+10+160</f>
        <v>300</v>
      </c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>
        <v>4</v>
      </c>
      <c r="M8" s="20">
        <f>73+187+25+59+76+42+58+4</f>
        <v>524</v>
      </c>
      <c r="N8" s="20">
        <f t="shared" si="2"/>
        <v>-153</v>
      </c>
      <c r="O8" s="20">
        <v>4</v>
      </c>
      <c r="P8" s="20">
        <f>420+42+58+4</f>
        <v>524</v>
      </c>
      <c r="Q8" s="20">
        <f t="shared" si="3"/>
        <v>0</v>
      </c>
      <c r="R8" s="20"/>
      <c r="S8" s="20">
        <f>250+150+50+50</f>
        <v>500</v>
      </c>
      <c r="T8" s="20">
        <f t="shared" si="4"/>
        <v>-24</v>
      </c>
      <c r="U8" s="20">
        <v>50</v>
      </c>
      <c r="V8" s="20">
        <f>250+200+50</f>
        <v>500</v>
      </c>
      <c r="W8" s="20">
        <f t="shared" si="5"/>
        <v>0</v>
      </c>
      <c r="X8" s="20">
        <v>80</v>
      </c>
      <c r="Y8" s="20">
        <f>180+45+80</f>
        <v>305</v>
      </c>
      <c r="Z8" s="20">
        <f t="shared" si="6"/>
        <v>-219</v>
      </c>
      <c r="AA8" s="20">
        <v>80</v>
      </c>
      <c r="AB8" s="20">
        <f>180+45+80</f>
        <v>305</v>
      </c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>
        <f>42+27</f>
        <v>69</v>
      </c>
      <c r="N9" s="20">
        <f t="shared" si="2"/>
        <v>-37</v>
      </c>
      <c r="O9" s="20"/>
      <c r="P9" s="20">
        <f>42+27</f>
        <v>69</v>
      </c>
      <c r="Q9" s="20">
        <f t="shared" si="3"/>
        <v>0</v>
      </c>
      <c r="R9" s="20"/>
      <c r="S9" s="20">
        <f>10</f>
        <v>10</v>
      </c>
      <c r="T9" s="20">
        <f t="shared" si="4"/>
        <v>-59</v>
      </c>
      <c r="U9" s="20"/>
      <c r="V9" s="20"/>
      <c r="W9" s="20">
        <f t="shared" si="5"/>
        <v>-10</v>
      </c>
      <c r="X9" s="20"/>
      <c r="Y9" s="20"/>
      <c r="Z9" s="20">
        <f t="shared" si="6"/>
        <v>-69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303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ref="H10:H13" si="8">G10-E10</f>
        <v>-2</v>
      </c>
      <c r="I10" s="20"/>
      <c r="J10" s="20">
        <f>223</f>
        <v>223</v>
      </c>
      <c r="K10" s="20">
        <f t="shared" ref="K10:K13" si="9">J10-G10</f>
        <v>0</v>
      </c>
      <c r="L10" s="20">
        <f>171-37</f>
        <v>134</v>
      </c>
      <c r="M10" s="20">
        <f>37+134</f>
        <v>171</v>
      </c>
      <c r="N10" s="20">
        <f t="shared" ref="N10:N13" si="10">M10-J10</f>
        <v>-52</v>
      </c>
      <c r="O10" s="20">
        <v>134</v>
      </c>
      <c r="P10" s="20">
        <f>37+134</f>
        <v>171</v>
      </c>
      <c r="Q10" s="20">
        <f t="shared" ref="Q10:Q13" si="11">P10-M10</f>
        <v>0</v>
      </c>
      <c r="R10" s="20">
        <v>160</v>
      </c>
      <c r="S10" s="20">
        <f>170</f>
        <v>170</v>
      </c>
      <c r="T10" s="20">
        <f t="shared" ref="T10:T13" si="12">S10-P10</f>
        <v>-1</v>
      </c>
      <c r="U10" s="20">
        <v>160</v>
      </c>
      <c r="V10" s="20">
        <f>170</f>
        <v>170</v>
      </c>
      <c r="W10" s="20">
        <f t="shared" ref="W10:W13" si="13">V10-S10</f>
        <v>0</v>
      </c>
      <c r="X10" s="20"/>
      <c r="Y10" s="20"/>
      <c r="Z10" s="20">
        <f t="shared" ref="Z10:Z13" si="14">Y10-P10</f>
        <v>-171</v>
      </c>
      <c r="AA10" s="20"/>
      <c r="AB10" s="20"/>
      <c r="AC10" s="21">
        <f t="shared" ref="AC10:AC13" si="15">AB10-Y10</f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8"/>
        <v>-98</v>
      </c>
      <c r="I11" s="20"/>
      <c r="J11" s="20">
        <f>227</f>
        <v>227</v>
      </c>
      <c r="K11" s="20">
        <f t="shared" si="9"/>
        <v>0</v>
      </c>
      <c r="L11" s="20"/>
      <c r="M11" s="20">
        <f>172</f>
        <v>172</v>
      </c>
      <c r="N11" s="20">
        <f t="shared" si="10"/>
        <v>-55</v>
      </c>
      <c r="O11" s="20"/>
      <c r="P11" s="20">
        <f>172</f>
        <v>172</v>
      </c>
      <c r="Q11" s="20">
        <f t="shared" si="11"/>
        <v>0</v>
      </c>
      <c r="R11" s="20">
        <v>150</v>
      </c>
      <c r="S11" s="20">
        <f>160</f>
        <v>160</v>
      </c>
      <c r="T11" s="20">
        <f t="shared" si="12"/>
        <v>-12</v>
      </c>
      <c r="U11" s="20">
        <v>10</v>
      </c>
      <c r="V11" s="20">
        <f>10</f>
        <v>10</v>
      </c>
      <c r="W11" s="20">
        <f t="shared" si="13"/>
        <v>-150</v>
      </c>
      <c r="X11" s="20"/>
      <c r="Y11" s="20"/>
      <c r="Z11" s="20">
        <f t="shared" si="14"/>
        <v>-172</v>
      </c>
      <c r="AA11" s="20"/>
      <c r="AB11" s="20"/>
      <c r="AC11" s="21">
        <f t="shared" si="15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8"/>
        <v>-33</v>
      </c>
      <c r="I12" s="20"/>
      <c r="J12" s="20">
        <f>242</f>
        <v>242</v>
      </c>
      <c r="K12" s="20">
        <f t="shared" si="9"/>
        <v>0</v>
      </c>
      <c r="L12" s="20">
        <v>156</v>
      </c>
      <c r="M12" s="20">
        <f>156</f>
        <v>156</v>
      </c>
      <c r="N12" s="20">
        <f t="shared" si="10"/>
        <v>-86</v>
      </c>
      <c r="O12" s="20">
        <v>156</v>
      </c>
      <c r="P12" s="20">
        <f>156</f>
        <v>156</v>
      </c>
      <c r="Q12" s="20">
        <f t="shared" si="11"/>
        <v>0</v>
      </c>
      <c r="R12" s="20">
        <v>10</v>
      </c>
      <c r="S12" s="20">
        <f>10</f>
        <v>10</v>
      </c>
      <c r="T12" s="20">
        <f t="shared" si="12"/>
        <v>-146</v>
      </c>
      <c r="U12" s="20"/>
      <c r="V12" s="20"/>
      <c r="W12" s="20">
        <f t="shared" si="13"/>
        <v>-10</v>
      </c>
      <c r="X12" s="20"/>
      <c r="Y12" s="20"/>
      <c r="Z12" s="20">
        <f t="shared" si="14"/>
        <v>-156</v>
      </c>
      <c r="AA12" s="20"/>
      <c r="AB12" s="20"/>
      <c r="AC12" s="21">
        <f t="shared" si="15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x14ac:dyDescent="0.25">
      <c r="A13" s="283"/>
      <c r="B13" s="298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8"/>
        <v>-104</v>
      </c>
      <c r="I13" s="20"/>
      <c r="J13" s="20">
        <f>171</f>
        <v>171</v>
      </c>
      <c r="K13" s="20">
        <f t="shared" si="9"/>
        <v>0</v>
      </c>
      <c r="L13" s="20">
        <v>10</v>
      </c>
      <c r="M13" s="20">
        <f>10</f>
        <v>10</v>
      </c>
      <c r="N13" s="20">
        <f t="shared" si="10"/>
        <v>-161</v>
      </c>
      <c r="O13" s="20">
        <v>10</v>
      </c>
      <c r="P13" s="20">
        <f>10</f>
        <v>10</v>
      </c>
      <c r="Q13" s="20">
        <f t="shared" si="11"/>
        <v>0</v>
      </c>
      <c r="R13" s="20"/>
      <c r="S13" s="20"/>
      <c r="T13" s="20">
        <f t="shared" si="12"/>
        <v>-10</v>
      </c>
      <c r="U13" s="20"/>
      <c r="V13" s="20"/>
      <c r="W13" s="20">
        <f t="shared" si="13"/>
        <v>0</v>
      </c>
      <c r="X13" s="20"/>
      <c r="Y13" s="20"/>
      <c r="Z13" s="20">
        <f t="shared" si="14"/>
        <v>-10</v>
      </c>
      <c r="AA13" s="20"/>
      <c r="AB13" s="20"/>
      <c r="AC13" s="21">
        <f t="shared" si="15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x14ac:dyDescent="0.25">
      <c r="A14" s="283"/>
      <c r="B14" s="279" t="s">
        <v>57</v>
      </c>
      <c r="C14" s="281"/>
      <c r="D14" s="20" t="s">
        <v>58</v>
      </c>
      <c r="E14" s="20">
        <v>350</v>
      </c>
      <c r="F14" s="20"/>
      <c r="G14" s="20">
        <f>328</f>
        <v>328</v>
      </c>
      <c r="H14" s="20">
        <f t="shared" si="0"/>
        <v>-22</v>
      </c>
      <c r="I14" s="20">
        <v>328</v>
      </c>
      <c r="J14" s="20">
        <f>328</f>
        <v>328</v>
      </c>
      <c r="K14" s="20">
        <f t="shared" si="1"/>
        <v>0</v>
      </c>
      <c r="L14" s="20"/>
      <c r="M14" s="20"/>
      <c r="N14" s="20">
        <f t="shared" si="2"/>
        <v>-328</v>
      </c>
      <c r="O14" s="20"/>
      <c r="P14" s="20"/>
      <c r="Q14" s="20">
        <f t="shared" si="3"/>
        <v>0</v>
      </c>
      <c r="R14" s="18"/>
      <c r="S14" s="18"/>
      <c r="T14" s="18">
        <f t="shared" si="4"/>
        <v>0</v>
      </c>
      <c r="U14" s="18"/>
      <c r="V14" s="18"/>
      <c r="W14" s="18">
        <f t="shared" si="5"/>
        <v>0</v>
      </c>
      <c r="X14" s="20"/>
      <c r="Y14" s="20"/>
      <c r="Z14" s="20">
        <f t="shared" si="6"/>
        <v>0</v>
      </c>
      <c r="AA14" s="20"/>
      <c r="AB14" s="20"/>
      <c r="AC14" s="21">
        <f t="shared" si="7"/>
        <v>0</v>
      </c>
      <c r="AD14" s="263"/>
      <c r="AE14" s="263"/>
      <c r="AF14" s="268"/>
      <c r="AG14" s="263"/>
      <c r="AH14" s="261"/>
      <c r="AI14" s="263"/>
      <c r="AJ14" s="261"/>
      <c r="AK14" s="263"/>
      <c r="AL14" s="261"/>
      <c r="AM14" s="249"/>
      <c r="AN14" s="249"/>
      <c r="AO14" s="251"/>
    </row>
    <row r="15" spans="1:41" x14ac:dyDescent="0.25">
      <c r="A15" s="283"/>
      <c r="B15" s="279"/>
      <c r="C15" s="281"/>
      <c r="D15" s="20" t="s">
        <v>33</v>
      </c>
      <c r="E15" s="20">
        <v>375</v>
      </c>
      <c r="F15" s="20"/>
      <c r="G15" s="20">
        <f>350</f>
        <v>350</v>
      </c>
      <c r="H15" s="20">
        <f t="shared" si="0"/>
        <v>-25</v>
      </c>
      <c r="I15" s="20">
        <v>350</v>
      </c>
      <c r="J15" s="20">
        <f>350</f>
        <v>350</v>
      </c>
      <c r="K15" s="20">
        <f t="shared" si="1"/>
        <v>0</v>
      </c>
      <c r="L15" s="20"/>
      <c r="M15" s="20"/>
      <c r="N15" s="20">
        <f t="shared" si="2"/>
        <v>-350</v>
      </c>
      <c r="O15" s="20"/>
      <c r="P15" s="20"/>
      <c r="Q15" s="20">
        <f t="shared" si="3"/>
        <v>0</v>
      </c>
      <c r="R15" s="20"/>
      <c r="S15" s="20"/>
      <c r="T15" s="20">
        <f t="shared" si="4"/>
        <v>0</v>
      </c>
      <c r="U15" s="20"/>
      <c r="V15" s="20"/>
      <c r="W15" s="20">
        <f t="shared" si="5"/>
        <v>0</v>
      </c>
      <c r="X15" s="20"/>
      <c r="Y15" s="20"/>
      <c r="Z15" s="20">
        <f t="shared" si="6"/>
        <v>0</v>
      </c>
      <c r="AA15" s="20"/>
      <c r="AB15" s="20"/>
      <c r="AC15" s="21">
        <f t="shared" si="7"/>
        <v>0</v>
      </c>
      <c r="AD15" s="263"/>
      <c r="AE15" s="263"/>
      <c r="AF15" s="268"/>
      <c r="AG15" s="263"/>
      <c r="AH15" s="261"/>
      <c r="AI15" s="263"/>
      <c r="AJ15" s="261"/>
      <c r="AK15" s="263"/>
      <c r="AL15" s="261"/>
      <c r="AM15" s="249"/>
      <c r="AN15" s="249"/>
      <c r="AO15" s="251"/>
    </row>
    <row r="16" spans="1:41" x14ac:dyDescent="0.25">
      <c r="A16" s="283"/>
      <c r="B16" s="279"/>
      <c r="C16" s="281"/>
      <c r="D16" s="20" t="s">
        <v>59</v>
      </c>
      <c r="E16" s="20">
        <v>375</v>
      </c>
      <c r="F16" s="20"/>
      <c r="G16" s="20">
        <f>213</f>
        <v>213</v>
      </c>
      <c r="H16" s="20">
        <f t="shared" si="0"/>
        <v>-162</v>
      </c>
      <c r="I16" s="20">
        <v>213</v>
      </c>
      <c r="J16" s="20">
        <f>213</f>
        <v>213</v>
      </c>
      <c r="K16" s="20">
        <f t="shared" si="1"/>
        <v>0</v>
      </c>
      <c r="L16" s="20"/>
      <c r="M16" s="20"/>
      <c r="N16" s="20">
        <f t="shared" si="2"/>
        <v>-213</v>
      </c>
      <c r="O16" s="20"/>
      <c r="P16" s="20"/>
      <c r="Q16" s="20">
        <f t="shared" si="3"/>
        <v>0</v>
      </c>
      <c r="R16" s="20"/>
      <c r="S16" s="20"/>
      <c r="T16" s="20">
        <f t="shared" si="4"/>
        <v>0</v>
      </c>
      <c r="U16" s="20"/>
      <c r="V16" s="20"/>
      <c r="W16" s="20">
        <f t="shared" si="5"/>
        <v>0</v>
      </c>
      <c r="X16" s="20"/>
      <c r="Y16" s="20"/>
      <c r="Z16" s="20">
        <f t="shared" si="6"/>
        <v>0</v>
      </c>
      <c r="AA16" s="20"/>
      <c r="AB16" s="20"/>
      <c r="AC16" s="21">
        <f t="shared" si="7"/>
        <v>0</v>
      </c>
      <c r="AD16" s="263"/>
      <c r="AE16" s="263"/>
      <c r="AF16" s="268"/>
      <c r="AG16" s="263"/>
      <c r="AH16" s="261"/>
      <c r="AI16" s="263"/>
      <c r="AJ16" s="261"/>
      <c r="AK16" s="263"/>
      <c r="AL16" s="261"/>
      <c r="AM16" s="249"/>
      <c r="AN16" s="249"/>
      <c r="AO16" s="251"/>
    </row>
    <row r="17" spans="1:41" x14ac:dyDescent="0.25">
      <c r="A17" s="283"/>
      <c r="B17" s="279"/>
      <c r="C17" s="281"/>
      <c r="D17" s="20" t="s">
        <v>60</v>
      </c>
      <c r="E17" s="20">
        <v>350</v>
      </c>
      <c r="F17" s="20"/>
      <c r="G17" s="20">
        <f>237</f>
        <v>237</v>
      </c>
      <c r="H17" s="20">
        <f t="shared" ref="H17" si="16">G17-E17</f>
        <v>-113</v>
      </c>
      <c r="I17" s="20">
        <v>237</v>
      </c>
      <c r="J17" s="20">
        <f>237</f>
        <v>237</v>
      </c>
      <c r="K17" s="20">
        <f t="shared" ref="K17" si="17">J17-G17</f>
        <v>0</v>
      </c>
      <c r="L17" s="20"/>
      <c r="M17" s="20"/>
      <c r="N17" s="20">
        <f t="shared" ref="N17" si="18">M17-J17</f>
        <v>-237</v>
      </c>
      <c r="O17" s="20"/>
      <c r="P17" s="20"/>
      <c r="Q17" s="20">
        <f t="shared" ref="Q17" si="19">P17-M17</f>
        <v>0</v>
      </c>
      <c r="R17" s="20"/>
      <c r="S17" s="20"/>
      <c r="T17" s="20">
        <f t="shared" ref="T17" si="20">S17-P17</f>
        <v>0</v>
      </c>
      <c r="U17" s="20"/>
      <c r="V17" s="20"/>
      <c r="W17" s="20">
        <f t="shared" ref="W17" si="21">V17-S17</f>
        <v>0</v>
      </c>
      <c r="X17" s="20"/>
      <c r="Y17" s="20"/>
      <c r="Z17" s="20">
        <f t="shared" ref="Z17" si="22">Y17-P17</f>
        <v>0</v>
      </c>
      <c r="AA17" s="20"/>
      <c r="AB17" s="20"/>
      <c r="AC17" s="21">
        <f t="shared" ref="AC17" si="23">AB17-Y17</f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" thickBot="1" x14ac:dyDescent="0.3">
      <c r="A18" s="283"/>
      <c r="B18" s="299"/>
      <c r="C18" s="281"/>
      <c r="D18" s="20" t="s">
        <v>61</v>
      </c>
      <c r="E18" s="20">
        <v>350</v>
      </c>
      <c r="F18" s="20"/>
      <c r="G18" s="20">
        <f>345</f>
        <v>345</v>
      </c>
      <c r="H18" s="20">
        <f t="shared" si="0"/>
        <v>-5</v>
      </c>
      <c r="I18" s="20">
        <v>345</v>
      </c>
      <c r="J18" s="20">
        <f>345</f>
        <v>345</v>
      </c>
      <c r="K18" s="20">
        <f t="shared" si="1"/>
        <v>0</v>
      </c>
      <c r="L18" s="20"/>
      <c r="M18" s="20"/>
      <c r="N18" s="20">
        <f t="shared" si="2"/>
        <v>-345</v>
      </c>
      <c r="O18" s="20"/>
      <c r="P18" s="20"/>
      <c r="Q18" s="20">
        <f t="shared" si="3"/>
        <v>0</v>
      </c>
      <c r="R18" s="25"/>
      <c r="S18" s="25"/>
      <c r="T18" s="25">
        <f t="shared" si="4"/>
        <v>0</v>
      </c>
      <c r="U18" s="25"/>
      <c r="V18" s="25"/>
      <c r="W18" s="25">
        <f t="shared" si="5"/>
        <v>0</v>
      </c>
      <c r="X18" s="20"/>
      <c r="Y18" s="20"/>
      <c r="Z18" s="20">
        <f t="shared" si="6"/>
        <v>0</v>
      </c>
      <c r="AA18" s="20"/>
      <c r="AB18" s="20"/>
      <c r="AC18" s="21">
        <f t="shared" si="7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83"/>
      <c r="B19" s="272" t="s">
        <v>34</v>
      </c>
      <c r="C19" s="273"/>
      <c r="D19" s="274"/>
      <c r="E19" s="23">
        <f>+SUM(E6:E18)</f>
        <v>4962</v>
      </c>
      <c r="F19" s="23">
        <f>+SUM(F6:F18)</f>
        <v>0</v>
      </c>
      <c r="G19" s="23">
        <f>SUM(G6:G18)</f>
        <v>4398</v>
      </c>
      <c r="H19" s="23">
        <f t="shared" ref="H19:AC19" si="24">+SUM(H6:H18)</f>
        <v>-564</v>
      </c>
      <c r="I19" s="23">
        <f t="shared" si="24"/>
        <v>1473</v>
      </c>
      <c r="J19" s="23">
        <f t="shared" si="24"/>
        <v>4398</v>
      </c>
      <c r="K19" s="23">
        <f t="shared" si="24"/>
        <v>0</v>
      </c>
      <c r="L19" s="23">
        <f t="shared" si="24"/>
        <v>308</v>
      </c>
      <c r="M19" s="23">
        <f t="shared" si="24"/>
        <v>2174</v>
      </c>
      <c r="N19" s="23">
        <f t="shared" si="24"/>
        <v>-2224</v>
      </c>
      <c r="O19" s="23">
        <f t="shared" si="24"/>
        <v>308</v>
      </c>
      <c r="P19" s="23">
        <f t="shared" si="24"/>
        <v>2174</v>
      </c>
      <c r="Q19" s="23">
        <f t="shared" si="24"/>
        <v>0</v>
      </c>
      <c r="R19" s="24">
        <f t="shared" si="24"/>
        <v>320</v>
      </c>
      <c r="S19" s="24">
        <f t="shared" si="24"/>
        <v>1910</v>
      </c>
      <c r="T19" s="24">
        <f t="shared" si="24"/>
        <v>-264</v>
      </c>
      <c r="U19" s="24">
        <f t="shared" si="24"/>
        <v>350</v>
      </c>
      <c r="V19" s="24">
        <f t="shared" si="24"/>
        <v>1740</v>
      </c>
      <c r="W19" s="24">
        <f t="shared" si="24"/>
        <v>-170</v>
      </c>
      <c r="X19" s="23">
        <f t="shared" si="24"/>
        <v>240</v>
      </c>
      <c r="Y19" s="23">
        <f t="shared" si="24"/>
        <v>790</v>
      </c>
      <c r="Z19" s="23">
        <f t="shared" si="24"/>
        <v>-1384</v>
      </c>
      <c r="AA19" s="23">
        <f t="shared" si="24"/>
        <v>240</v>
      </c>
      <c r="AB19" s="23">
        <f t="shared" si="24"/>
        <v>790</v>
      </c>
      <c r="AC19" s="15">
        <f t="shared" si="24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" thickBot="1" x14ac:dyDescent="0.3">
      <c r="A20" s="284"/>
      <c r="B20" s="275" t="s">
        <v>40</v>
      </c>
      <c r="C20" s="275"/>
      <c r="D20" s="276"/>
      <c r="E20" s="26">
        <f>E19</f>
        <v>4962</v>
      </c>
      <c r="F20" s="26">
        <f t="shared" ref="F20:AC20" si="25">F19</f>
        <v>0</v>
      </c>
      <c r="G20" s="26">
        <f t="shared" si="25"/>
        <v>4398</v>
      </c>
      <c r="H20" s="26">
        <f t="shared" si="25"/>
        <v>-564</v>
      </c>
      <c r="I20" s="26">
        <f t="shared" si="25"/>
        <v>1473</v>
      </c>
      <c r="J20" s="26">
        <f t="shared" si="25"/>
        <v>4398</v>
      </c>
      <c r="K20" s="26">
        <f t="shared" si="25"/>
        <v>0</v>
      </c>
      <c r="L20" s="26">
        <f t="shared" si="25"/>
        <v>308</v>
      </c>
      <c r="M20" s="26">
        <f t="shared" si="25"/>
        <v>2174</v>
      </c>
      <c r="N20" s="26">
        <f t="shared" si="25"/>
        <v>-2224</v>
      </c>
      <c r="O20" s="26">
        <f t="shared" si="25"/>
        <v>308</v>
      </c>
      <c r="P20" s="26">
        <f t="shared" si="25"/>
        <v>2174</v>
      </c>
      <c r="Q20" s="26">
        <f t="shared" si="25"/>
        <v>0</v>
      </c>
      <c r="R20" s="26">
        <f t="shared" si="25"/>
        <v>320</v>
      </c>
      <c r="S20" s="26">
        <f t="shared" si="25"/>
        <v>1910</v>
      </c>
      <c r="T20" s="26">
        <f t="shared" si="25"/>
        <v>-264</v>
      </c>
      <c r="U20" s="26">
        <f t="shared" si="25"/>
        <v>350</v>
      </c>
      <c r="V20" s="26">
        <f t="shared" si="25"/>
        <v>1740</v>
      </c>
      <c r="W20" s="26">
        <f t="shared" si="25"/>
        <v>-170</v>
      </c>
      <c r="X20" s="26">
        <f t="shared" si="25"/>
        <v>240</v>
      </c>
      <c r="Y20" s="26">
        <f t="shared" si="25"/>
        <v>790</v>
      </c>
      <c r="Z20" s="26">
        <f t="shared" si="25"/>
        <v>-1384</v>
      </c>
      <c r="AA20" s="26">
        <f t="shared" si="25"/>
        <v>240</v>
      </c>
      <c r="AB20" s="26">
        <f t="shared" si="25"/>
        <v>790</v>
      </c>
      <c r="AC20" s="26">
        <f t="shared" si="25"/>
        <v>0</v>
      </c>
      <c r="AD20" s="27">
        <f t="shared" ref="AD20:AL20" si="26">SUM(AD6:AD19)</f>
        <v>308</v>
      </c>
      <c r="AE20" s="27">
        <f t="shared" si="26"/>
        <v>2174</v>
      </c>
      <c r="AF20" s="28">
        <f t="shared" si="26"/>
        <v>24.192</v>
      </c>
      <c r="AG20" s="27">
        <f>SUM(AG6:AG19)</f>
        <v>26</v>
      </c>
      <c r="AH20" s="27">
        <f t="shared" si="26"/>
        <v>210</v>
      </c>
      <c r="AI20" s="27">
        <f t="shared" si="26"/>
        <v>14</v>
      </c>
      <c r="AJ20" s="27">
        <f t="shared" si="26"/>
        <v>96</v>
      </c>
      <c r="AK20" s="27">
        <f t="shared" si="26"/>
        <v>2</v>
      </c>
      <c r="AL20" s="27">
        <f t="shared" si="26"/>
        <v>14</v>
      </c>
      <c r="AM20" s="29">
        <f>L20*AF20/480/AG20</f>
        <v>0.59704615384615389</v>
      </c>
      <c r="AN20" s="30">
        <f>M20*AF20/480/AH20</f>
        <v>0.52176</v>
      </c>
      <c r="AO20" s="31"/>
    </row>
    <row r="21" spans="1:41" ht="18.75" customHeight="1" x14ac:dyDescent="0.25">
      <c r="A21" s="265" t="s">
        <v>32</v>
      </c>
      <c r="B21" s="147" t="s">
        <v>41</v>
      </c>
      <c r="C21" s="300" t="s">
        <v>37</v>
      </c>
      <c r="D21" s="34" t="s">
        <v>42</v>
      </c>
      <c r="E21" s="148">
        <v>1645</v>
      </c>
      <c r="F21" s="148"/>
      <c r="G21" s="148">
        <f>1433</f>
        <v>1433</v>
      </c>
      <c r="H21" s="148">
        <f t="shared" ref="H21:H23" si="27">G21-E21</f>
        <v>-212</v>
      </c>
      <c r="I21" s="148"/>
      <c r="J21" s="148">
        <f>100+200+300+350+400+83</f>
        <v>1433</v>
      </c>
      <c r="K21" s="148">
        <f t="shared" ref="K21:K23" si="28">J21-G21</f>
        <v>0</v>
      </c>
      <c r="L21" s="148"/>
      <c r="M21" s="148">
        <f>102+201+302+351-99-125-110+133+127+49+120+24+166+155+34</f>
        <v>1430</v>
      </c>
      <c r="N21" s="148">
        <f t="shared" ref="N21:N23" si="29">M21-J21</f>
        <v>-3</v>
      </c>
      <c r="O21" s="148"/>
      <c r="P21" s="148">
        <f>1075+166+155+34</f>
        <v>1430</v>
      </c>
      <c r="Q21" s="148">
        <f t="shared" ref="Q21:Q23" si="30">P21-M21</f>
        <v>0</v>
      </c>
      <c r="R21" s="148"/>
      <c r="S21" s="148">
        <f>970+260+50+150</f>
        <v>1430</v>
      </c>
      <c r="T21" s="35">
        <f t="shared" ref="T21:T23" si="31">S21-P21</f>
        <v>0</v>
      </c>
      <c r="U21" s="148">
        <v>150</v>
      </c>
      <c r="V21" s="148">
        <f>970+310+150</f>
        <v>1430</v>
      </c>
      <c r="W21" s="35">
        <f t="shared" ref="W21:W23" si="32">V21-S21</f>
        <v>0</v>
      </c>
      <c r="X21" s="148">
        <v>90</v>
      </c>
      <c r="Y21" s="148">
        <f>860+80+15+140+90</f>
        <v>1185</v>
      </c>
      <c r="Z21" s="148">
        <f t="shared" ref="Z21:Z23" si="33">Y21-P21</f>
        <v>-245</v>
      </c>
      <c r="AA21" s="148">
        <v>90</v>
      </c>
      <c r="AB21" s="148">
        <f>860+80+15+140+90</f>
        <v>1185</v>
      </c>
      <c r="AC21" s="33">
        <f t="shared" ref="AC21:AC23" si="34">AB21-Y21</f>
        <v>0</v>
      </c>
      <c r="AD21" s="267">
        <f>L24</f>
        <v>0</v>
      </c>
      <c r="AE21" s="263">
        <f>300+98+344+213+289+412+355+358+438+80</f>
        <v>2887</v>
      </c>
      <c r="AF21" s="268">
        <v>33.130000000000003</v>
      </c>
      <c r="AG21" s="263">
        <v>1</v>
      </c>
      <c r="AH21" s="261">
        <f>2+10+8+8+8+6+6+6+9+5+6+8+7+7+6+6+6+6+6+6+7+7+7+7+6+7+17+16+16+22+21+21+10+20+20+13+10+10+10+11+13</f>
        <v>403</v>
      </c>
      <c r="AI21" s="263"/>
      <c r="AJ21" s="261">
        <f>1+1+1+1+1+1+1+2+2+2+2+2+2+2+2+2+2+1+1+1+1+1+1+1+1+4+3+4+5+8+8+6+7+6+6+6+7+7+7</f>
        <v>119</v>
      </c>
      <c r="AK21" s="263"/>
      <c r="AL21" s="261">
        <f>1+1+1+1+1+1+1+1+1+1+1+1+1+1+1+1+2+2+2+2+2+1+1+1+1+1</f>
        <v>31</v>
      </c>
      <c r="AM21" s="249">
        <f>L24*AF21/480/AG21</f>
        <v>0</v>
      </c>
      <c r="AN21" s="249">
        <f>M24*AF21/480/AH21</f>
        <v>0.65818129652605462</v>
      </c>
      <c r="AO21" s="251"/>
    </row>
    <row r="22" spans="1:41" ht="18.75" customHeight="1" x14ac:dyDescent="0.25">
      <c r="A22" s="265"/>
      <c r="B22" s="36" t="s">
        <v>43</v>
      </c>
      <c r="C22" s="301"/>
      <c r="D22" s="38" t="s">
        <v>44</v>
      </c>
      <c r="E22" s="20">
        <v>1245</v>
      </c>
      <c r="F22" s="20"/>
      <c r="G22" s="20">
        <f>1237</f>
        <v>1237</v>
      </c>
      <c r="H22" s="20">
        <f t="shared" si="27"/>
        <v>-8</v>
      </c>
      <c r="I22" s="20"/>
      <c r="J22" s="20">
        <f>1237</f>
        <v>1237</v>
      </c>
      <c r="K22" s="20">
        <f t="shared" si="28"/>
        <v>0</v>
      </c>
      <c r="L22" s="20"/>
      <c r="M22" s="20">
        <f>300+99+125+110+98+101+59+41+12+93+57+100+35</f>
        <v>1230</v>
      </c>
      <c r="N22" s="20">
        <f t="shared" si="29"/>
        <v>-7</v>
      </c>
      <c r="O22" s="20"/>
      <c r="P22" s="20">
        <f>1038+57+100+35</f>
        <v>1230</v>
      </c>
      <c r="Q22" s="20">
        <f t="shared" si="30"/>
        <v>0</v>
      </c>
      <c r="R22" s="20"/>
      <c r="S22" s="20">
        <f>930+160+50+90</f>
        <v>1230</v>
      </c>
      <c r="T22" s="39">
        <f t="shared" si="31"/>
        <v>0</v>
      </c>
      <c r="U22" s="20">
        <v>90</v>
      </c>
      <c r="V22" s="20">
        <f>910+230+90</f>
        <v>1230</v>
      </c>
      <c r="W22" s="39">
        <f t="shared" si="32"/>
        <v>0</v>
      </c>
      <c r="X22" s="20">
        <f>1055-955</f>
        <v>100</v>
      </c>
      <c r="Y22" s="20">
        <f>750+75+40+90+100</f>
        <v>1055</v>
      </c>
      <c r="Z22" s="20">
        <f t="shared" si="33"/>
        <v>-175</v>
      </c>
      <c r="AA22" s="20">
        <v>100</v>
      </c>
      <c r="AB22" s="20">
        <f>750+75+40+90+100</f>
        <v>1055</v>
      </c>
      <c r="AC22" s="37">
        <f t="shared" si="34"/>
        <v>0</v>
      </c>
      <c r="AD22" s="263"/>
      <c r="AE22" s="263"/>
      <c r="AF22" s="268"/>
      <c r="AG22" s="263"/>
      <c r="AH22" s="261"/>
      <c r="AI22" s="263"/>
      <c r="AJ22" s="261"/>
      <c r="AK22" s="263"/>
      <c r="AL22" s="261"/>
      <c r="AM22" s="249"/>
      <c r="AN22" s="249"/>
      <c r="AO22" s="251"/>
    </row>
    <row r="23" spans="1:41" ht="18.75" customHeight="1" thickBot="1" x14ac:dyDescent="0.3">
      <c r="A23" s="265"/>
      <c r="B23" s="151" t="s">
        <v>45</v>
      </c>
      <c r="C23" s="302"/>
      <c r="D23" s="42" t="s">
        <v>46</v>
      </c>
      <c r="E23" s="25">
        <v>1300</v>
      </c>
      <c r="F23" s="25"/>
      <c r="G23" s="25">
        <f>1183</f>
        <v>1183</v>
      </c>
      <c r="H23" s="25">
        <f t="shared" si="27"/>
        <v>-117</v>
      </c>
      <c r="I23" s="25"/>
      <c r="J23" s="25">
        <f>520+663</f>
        <v>1183</v>
      </c>
      <c r="K23" s="25">
        <f t="shared" si="28"/>
        <v>0</v>
      </c>
      <c r="L23" s="25"/>
      <c r="M23" s="25">
        <f>110+27+199+280+238+135+183+11</f>
        <v>1183</v>
      </c>
      <c r="N23" s="25">
        <f t="shared" si="29"/>
        <v>0</v>
      </c>
      <c r="O23" s="25"/>
      <c r="P23" s="25">
        <f>854+135+183+11</f>
        <v>1183</v>
      </c>
      <c r="Q23" s="25">
        <f t="shared" si="30"/>
        <v>0</v>
      </c>
      <c r="R23" s="25"/>
      <c r="S23" s="25">
        <f>530+420+150+83</f>
        <v>1183</v>
      </c>
      <c r="T23" s="43">
        <f t="shared" si="31"/>
        <v>0</v>
      </c>
      <c r="U23" s="25">
        <v>83</v>
      </c>
      <c r="V23" s="25">
        <f>130+400+420+150+83</f>
        <v>1183</v>
      </c>
      <c r="W23" s="43">
        <f t="shared" si="32"/>
        <v>0</v>
      </c>
      <c r="X23" s="25">
        <v>190</v>
      </c>
      <c r="Y23" s="25">
        <f>100+190+190+320+190</f>
        <v>990</v>
      </c>
      <c r="Z23" s="25">
        <f t="shared" si="33"/>
        <v>-193</v>
      </c>
      <c r="AA23" s="25">
        <v>190</v>
      </c>
      <c r="AB23" s="25">
        <f>100+190+190+320+190</f>
        <v>990</v>
      </c>
      <c r="AC23" s="44">
        <f t="shared" si="34"/>
        <v>0</v>
      </c>
      <c r="AD23" s="263"/>
      <c r="AE23" s="263"/>
      <c r="AF23" s="268"/>
      <c r="AG23" s="263"/>
      <c r="AH23" s="261"/>
      <c r="AI23" s="263"/>
      <c r="AJ23" s="261"/>
      <c r="AK23" s="263"/>
      <c r="AL23" s="261"/>
      <c r="AM23" s="249"/>
      <c r="AN23" s="249"/>
      <c r="AO23" s="251"/>
    </row>
    <row r="24" spans="1:41" ht="18" thickBot="1" x14ac:dyDescent="0.3">
      <c r="A24" s="265"/>
      <c r="B24" s="253" t="s">
        <v>34</v>
      </c>
      <c r="C24" s="254"/>
      <c r="D24" s="255"/>
      <c r="E24" s="24">
        <f>+SUM(E21:E23)</f>
        <v>4190</v>
      </c>
      <c r="F24" s="24">
        <f t="shared" ref="F24:AC24" si="35">+SUM(F21:F23)</f>
        <v>0</v>
      </c>
      <c r="G24" s="24">
        <f t="shared" si="35"/>
        <v>3853</v>
      </c>
      <c r="H24" s="24">
        <f t="shared" si="35"/>
        <v>-337</v>
      </c>
      <c r="I24" s="24">
        <f t="shared" si="35"/>
        <v>0</v>
      </c>
      <c r="J24" s="24">
        <f t="shared" si="35"/>
        <v>3853</v>
      </c>
      <c r="K24" s="24">
        <f t="shared" si="35"/>
        <v>0</v>
      </c>
      <c r="L24" s="24">
        <f t="shared" si="35"/>
        <v>0</v>
      </c>
      <c r="M24" s="24">
        <f t="shared" si="35"/>
        <v>3843</v>
      </c>
      <c r="N24" s="24">
        <f t="shared" si="35"/>
        <v>-10</v>
      </c>
      <c r="O24" s="24">
        <f t="shared" si="35"/>
        <v>0</v>
      </c>
      <c r="P24" s="24">
        <f t="shared" si="35"/>
        <v>3843</v>
      </c>
      <c r="Q24" s="24">
        <f t="shared" si="35"/>
        <v>0</v>
      </c>
      <c r="R24" s="24">
        <f t="shared" si="35"/>
        <v>0</v>
      </c>
      <c r="S24" s="24">
        <f t="shared" si="35"/>
        <v>3843</v>
      </c>
      <c r="T24" s="24">
        <f t="shared" si="35"/>
        <v>0</v>
      </c>
      <c r="U24" s="24">
        <f t="shared" si="35"/>
        <v>323</v>
      </c>
      <c r="V24" s="24">
        <f t="shared" si="35"/>
        <v>3843</v>
      </c>
      <c r="W24" s="24">
        <f t="shared" si="35"/>
        <v>0</v>
      </c>
      <c r="X24" s="24">
        <f t="shared" si="35"/>
        <v>380</v>
      </c>
      <c r="Y24" s="24">
        <f t="shared" si="35"/>
        <v>3230</v>
      </c>
      <c r="Z24" s="24">
        <f t="shared" si="35"/>
        <v>-613</v>
      </c>
      <c r="AA24" s="24">
        <f t="shared" si="35"/>
        <v>380</v>
      </c>
      <c r="AB24" s="24">
        <f t="shared" si="35"/>
        <v>3230</v>
      </c>
      <c r="AC24" s="24">
        <f t="shared" si="35"/>
        <v>0</v>
      </c>
      <c r="AD24" s="264"/>
      <c r="AE24" s="264"/>
      <c r="AF24" s="269"/>
      <c r="AG24" s="264"/>
      <c r="AH24" s="262"/>
      <c r="AI24" s="264"/>
      <c r="AJ24" s="262"/>
      <c r="AK24" s="264"/>
      <c r="AL24" s="262"/>
      <c r="AM24" s="250"/>
      <c r="AN24" s="250"/>
      <c r="AO24" s="252"/>
    </row>
    <row r="25" spans="1:41" ht="18" customHeight="1" thickBot="1" x14ac:dyDescent="0.3">
      <c r="A25" s="266"/>
      <c r="B25" s="256" t="s">
        <v>40</v>
      </c>
      <c r="C25" s="256"/>
      <c r="D25" s="257"/>
      <c r="E25" s="26">
        <f>E24</f>
        <v>4190</v>
      </c>
      <c r="F25" s="26">
        <f t="shared" ref="F25:AC25" si="36">F24</f>
        <v>0</v>
      </c>
      <c r="G25" s="26">
        <f t="shared" si="36"/>
        <v>3853</v>
      </c>
      <c r="H25" s="26">
        <f t="shared" si="36"/>
        <v>-337</v>
      </c>
      <c r="I25" s="26">
        <f t="shared" si="36"/>
        <v>0</v>
      </c>
      <c r="J25" s="26">
        <f t="shared" si="36"/>
        <v>3853</v>
      </c>
      <c r="K25" s="26">
        <f t="shared" si="36"/>
        <v>0</v>
      </c>
      <c r="L25" s="26">
        <f t="shared" si="36"/>
        <v>0</v>
      </c>
      <c r="M25" s="26">
        <f t="shared" si="36"/>
        <v>3843</v>
      </c>
      <c r="N25" s="26">
        <f t="shared" si="36"/>
        <v>-10</v>
      </c>
      <c r="O25" s="26">
        <f t="shared" si="36"/>
        <v>0</v>
      </c>
      <c r="P25" s="26">
        <f t="shared" si="36"/>
        <v>3843</v>
      </c>
      <c r="Q25" s="26">
        <f t="shared" si="36"/>
        <v>0</v>
      </c>
      <c r="R25" s="26">
        <f t="shared" si="36"/>
        <v>0</v>
      </c>
      <c r="S25" s="26">
        <f t="shared" si="36"/>
        <v>3843</v>
      </c>
      <c r="T25" s="26">
        <f t="shared" si="36"/>
        <v>0</v>
      </c>
      <c r="U25" s="26">
        <f t="shared" si="36"/>
        <v>323</v>
      </c>
      <c r="V25" s="26">
        <f t="shared" si="36"/>
        <v>3843</v>
      </c>
      <c r="W25" s="26">
        <f t="shared" si="36"/>
        <v>0</v>
      </c>
      <c r="X25" s="26">
        <f t="shared" si="36"/>
        <v>380</v>
      </c>
      <c r="Y25" s="26">
        <f t="shared" si="36"/>
        <v>3230</v>
      </c>
      <c r="Z25" s="26">
        <f t="shared" si="36"/>
        <v>-613</v>
      </c>
      <c r="AA25" s="26">
        <f t="shared" si="36"/>
        <v>380</v>
      </c>
      <c r="AB25" s="26">
        <f t="shared" si="36"/>
        <v>3230</v>
      </c>
      <c r="AC25" s="26">
        <f t="shared" si="36"/>
        <v>0</v>
      </c>
      <c r="AD25" s="45">
        <f t="shared" ref="AD25:AL25" si="37">SUM(AD21:AD24)</f>
        <v>0</v>
      </c>
      <c r="AE25" s="45">
        <f t="shared" si="37"/>
        <v>2887</v>
      </c>
      <c r="AF25" s="46">
        <f t="shared" si="37"/>
        <v>33.130000000000003</v>
      </c>
      <c r="AG25" s="45">
        <f t="shared" si="37"/>
        <v>1</v>
      </c>
      <c r="AH25" s="45">
        <f t="shared" si="37"/>
        <v>403</v>
      </c>
      <c r="AI25" s="45">
        <f t="shared" si="37"/>
        <v>0</v>
      </c>
      <c r="AJ25" s="45">
        <f t="shared" si="37"/>
        <v>119</v>
      </c>
      <c r="AK25" s="45">
        <f t="shared" si="37"/>
        <v>0</v>
      </c>
      <c r="AL25" s="45">
        <f t="shared" si="37"/>
        <v>31</v>
      </c>
      <c r="AM25" s="47">
        <f>L25*AF25/480/AG25</f>
        <v>0</v>
      </c>
      <c r="AN25" s="48">
        <f>M25*AF25/480/AH25</f>
        <v>0.65818129652605462</v>
      </c>
      <c r="AO25" s="49"/>
    </row>
    <row r="26" spans="1:41" s="60" customFormat="1" ht="15.75" thickBot="1" x14ac:dyDescent="0.3">
      <c r="A26" s="50"/>
      <c r="B26" s="51"/>
      <c r="C26" s="51"/>
      <c r="D26" s="51"/>
      <c r="E26" s="51"/>
      <c r="F26" s="52"/>
      <c r="G26" s="51"/>
      <c r="H26" s="51"/>
      <c r="I26" s="145"/>
      <c r="J26" s="54"/>
      <c r="K26" s="51"/>
      <c r="L26" s="55"/>
      <c r="M26" s="51"/>
      <c r="N26" s="51"/>
      <c r="O26" s="56"/>
      <c r="P26" s="51"/>
      <c r="Q26" s="51"/>
      <c r="R26" s="55"/>
      <c r="S26" s="51"/>
      <c r="T26" s="51"/>
      <c r="U26" s="55"/>
      <c r="V26" s="51"/>
      <c r="W26" s="51"/>
      <c r="X26" s="55"/>
      <c r="Y26" s="51"/>
      <c r="Z26" s="51"/>
      <c r="AA26" s="55"/>
      <c r="AB26" s="51"/>
      <c r="AC26" s="51"/>
      <c r="AD26" s="144"/>
      <c r="AE26" s="58"/>
      <c r="AF26" s="51"/>
      <c r="AG26" s="144"/>
      <c r="AH26" s="58"/>
      <c r="AI26" s="144"/>
      <c r="AJ26" s="58"/>
      <c r="AK26" s="144"/>
      <c r="AL26" s="58"/>
      <c r="AM26" s="144"/>
      <c r="AN26" s="55"/>
      <c r="AO26" s="59"/>
    </row>
    <row r="27" spans="1:41" s="60" customFormat="1" ht="15.75" thickBot="1" x14ac:dyDescent="0.3">
      <c r="A27" s="258" t="s">
        <v>47</v>
      </c>
      <c r="B27" s="259"/>
      <c r="C27" s="259"/>
      <c r="D27" s="259"/>
      <c r="E27" s="260"/>
      <c r="F27" s="63">
        <f>F25+F20</f>
        <v>0</v>
      </c>
      <c r="G27" s="64"/>
      <c r="H27" s="64"/>
      <c r="I27" s="63">
        <f>I25+I20</f>
        <v>1473</v>
      </c>
      <c r="J27" s="64"/>
      <c r="K27" s="65">
        <f>K25+K20</f>
        <v>0</v>
      </c>
      <c r="L27" s="66">
        <f>L25+L20</f>
        <v>308</v>
      </c>
      <c r="M27" s="64"/>
      <c r="N27" s="65">
        <f>N25+N20</f>
        <v>-2234</v>
      </c>
      <c r="O27" s="66">
        <f>O25+O20</f>
        <v>308</v>
      </c>
      <c r="P27" s="64"/>
      <c r="Q27" s="65">
        <f>Q25+Q20</f>
        <v>0</v>
      </c>
      <c r="R27" s="66">
        <f>R25+R20</f>
        <v>320</v>
      </c>
      <c r="S27" s="64"/>
      <c r="T27" s="65">
        <f>T25+T20</f>
        <v>-264</v>
      </c>
      <c r="U27" s="66">
        <f>U25+U20</f>
        <v>673</v>
      </c>
      <c r="V27" s="64"/>
      <c r="W27" s="65">
        <f>W25+W20</f>
        <v>-170</v>
      </c>
      <c r="X27" s="66">
        <f>X25+X20</f>
        <v>620</v>
      </c>
      <c r="Y27" s="64"/>
      <c r="Z27" s="65">
        <f>Z25+Z20</f>
        <v>-1997</v>
      </c>
      <c r="AA27" s="66">
        <f>AA25+AA20</f>
        <v>620</v>
      </c>
      <c r="AB27" s="64"/>
      <c r="AC27" s="65">
        <f>AC25+AC20</f>
        <v>0</v>
      </c>
      <c r="AD27" s="67">
        <f>AD25+AD20</f>
        <v>308</v>
      </c>
      <c r="AE27" s="65">
        <f>AE25+AE20</f>
        <v>5061</v>
      </c>
      <c r="AF27" s="64"/>
      <c r="AG27" s="63">
        <f>AG25+AG20</f>
        <v>27</v>
      </c>
      <c r="AH27" s="68"/>
      <c r="AI27" s="63">
        <f>AI25+AI20</f>
        <v>14</v>
      </c>
      <c r="AJ27" s="68"/>
      <c r="AK27" s="63">
        <f>AK25+AK20</f>
        <v>2</v>
      </c>
      <c r="AL27" s="68"/>
      <c r="AM27" s="69">
        <f>SUM(AM25+AM20)/2</f>
        <v>0.29852307692307695</v>
      </c>
      <c r="AN27" s="69">
        <f>SUM(AN25+AN20)/2</f>
        <v>0.58997064826302736</v>
      </c>
      <c r="AO27" s="70"/>
    </row>
    <row r="28" spans="1:41" s="60" customFormat="1" ht="15" x14ac:dyDescent="0.25">
      <c r="O28" s="71"/>
    </row>
    <row r="29" spans="1:41" s="60" customFormat="1" ht="15" x14ac:dyDescent="0.25">
      <c r="O29" s="71"/>
      <c r="W29" s="60" t="s">
        <v>5</v>
      </c>
      <c r="Z29" s="60" t="s">
        <v>5</v>
      </c>
      <c r="AC29" s="60" t="s">
        <v>5</v>
      </c>
    </row>
  </sheetData>
  <mergeCells count="60"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  <mergeCell ref="AM4:AN4"/>
    <mergeCell ref="AO4:AO5"/>
    <mergeCell ref="A6:A20"/>
    <mergeCell ref="B6:B9"/>
    <mergeCell ref="C6:C18"/>
    <mergeCell ref="AD6:AD19"/>
    <mergeCell ref="AE6:AE19"/>
    <mergeCell ref="AF6:AF19"/>
    <mergeCell ref="AG6:AG19"/>
    <mergeCell ref="AH6:AH19"/>
    <mergeCell ref="X4:Z4"/>
    <mergeCell ref="AA4:AC4"/>
    <mergeCell ref="AD4:AE4"/>
    <mergeCell ref="AG4:AH4"/>
    <mergeCell ref="AI4:AJ4"/>
    <mergeCell ref="AK4:AL4"/>
    <mergeCell ref="AO6:AO19"/>
    <mergeCell ref="B14:B18"/>
    <mergeCell ref="B19:D19"/>
    <mergeCell ref="B20:D20"/>
    <mergeCell ref="A21:A25"/>
    <mergeCell ref="C21:C23"/>
    <mergeCell ref="AD21:AD24"/>
    <mergeCell ref="AE21:AE24"/>
    <mergeCell ref="AF21:AF24"/>
    <mergeCell ref="AG21:AG24"/>
    <mergeCell ref="AI6:AI19"/>
    <mergeCell ref="AJ6:AJ19"/>
    <mergeCell ref="AK6:AK19"/>
    <mergeCell ref="AL6:AL19"/>
    <mergeCell ref="AM6:AM19"/>
    <mergeCell ref="AN6:AN19"/>
    <mergeCell ref="B10:B13"/>
    <mergeCell ref="AH21:AH24"/>
    <mergeCell ref="AI21:AI24"/>
    <mergeCell ref="AJ21:AJ24"/>
    <mergeCell ref="AK21:AK24"/>
    <mergeCell ref="AN21:AN24"/>
    <mergeCell ref="AO21:AO24"/>
    <mergeCell ref="B24:D24"/>
    <mergeCell ref="B25:D25"/>
    <mergeCell ref="A27:E27"/>
    <mergeCell ref="AL21:AL24"/>
    <mergeCell ref="AM21:AM24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27" max="5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6" sqref="A6:A28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5.7109375" style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6.14062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5.42578125" style="1" bestFit="1" customWidth="1"/>
    <col min="18" max="18" width="7.85546875" style="1" customWidth="1"/>
    <col min="19" max="19" width="8.85546875" style="1" customWidth="1"/>
    <col min="20" max="20" width="7.42578125" style="1" bestFit="1" customWidth="1"/>
    <col min="21" max="21" width="8.42578125" style="1" customWidth="1"/>
    <col min="22" max="22" width="7.85546875" style="1" customWidth="1"/>
    <col min="23" max="23" width="7.425781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45369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51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154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157" t="s">
        <v>26</v>
      </c>
      <c r="G5" s="9" t="s">
        <v>27</v>
      </c>
      <c r="H5" s="10" t="s">
        <v>28</v>
      </c>
      <c r="I5" s="154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158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154" t="s">
        <v>26</v>
      </c>
      <c r="AE5" s="9" t="s">
        <v>27</v>
      </c>
      <c r="AF5" s="157" t="s">
        <v>26</v>
      </c>
      <c r="AG5" s="157" t="s">
        <v>26</v>
      </c>
      <c r="AH5" s="9" t="s">
        <v>27</v>
      </c>
      <c r="AI5" s="157" t="s">
        <v>26</v>
      </c>
      <c r="AJ5" s="15" t="s">
        <v>27</v>
      </c>
      <c r="AK5" s="157" t="s">
        <v>26</v>
      </c>
      <c r="AL5" s="9" t="s">
        <v>27</v>
      </c>
      <c r="AM5" s="154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156">
        <v>680</v>
      </c>
      <c r="F6" s="156"/>
      <c r="G6" s="156">
        <f>680</f>
        <v>680</v>
      </c>
      <c r="H6" s="156">
        <f t="shared" ref="H6:H18" si="0">G6-E6</f>
        <v>0</v>
      </c>
      <c r="I6" s="156"/>
      <c r="J6" s="156">
        <f>428+252</f>
        <v>680</v>
      </c>
      <c r="K6" s="156">
        <f t="shared" ref="K6:K18" si="1">J6-G6</f>
        <v>0</v>
      </c>
      <c r="L6" s="156">
        <f>592-586</f>
        <v>6</v>
      </c>
      <c r="M6" s="156">
        <f>62+144+4+9+26+75+226+36+4+6</f>
        <v>592</v>
      </c>
      <c r="N6" s="156">
        <f t="shared" ref="N6:N18" si="2">M6-J6</f>
        <v>-88</v>
      </c>
      <c r="O6" s="156">
        <v>6</v>
      </c>
      <c r="P6" s="119">
        <f>546+36+4+6</f>
        <v>592</v>
      </c>
      <c r="Q6" s="156">
        <f t="shared" ref="Q6:Q18" si="3">P6-M6</f>
        <v>0</v>
      </c>
      <c r="R6" s="18"/>
      <c r="S6" s="18">
        <f>210+330+40</f>
        <v>580</v>
      </c>
      <c r="T6" s="18">
        <f t="shared" ref="T6:T18" si="4">S6-P6</f>
        <v>-12</v>
      </c>
      <c r="U6" s="18"/>
      <c r="V6" s="18">
        <f>200+340+40</f>
        <v>580</v>
      </c>
      <c r="W6" s="18">
        <f t="shared" ref="W6:W18" si="5">V6-S6</f>
        <v>0</v>
      </c>
      <c r="X6" s="156"/>
      <c r="Y6" s="156">
        <f>175+10</f>
        <v>185</v>
      </c>
      <c r="Z6" s="156">
        <f t="shared" ref="Z6:Z18" si="6">Y6-P6</f>
        <v>-407</v>
      </c>
      <c r="AA6" s="156"/>
      <c r="AB6" s="156">
        <f>175+10</f>
        <v>185</v>
      </c>
      <c r="AC6" s="19">
        <f t="shared" ref="AC6:AC18" si="7">AB6-Y6</f>
        <v>0</v>
      </c>
      <c r="AD6" s="267">
        <f>L19</f>
        <v>374</v>
      </c>
      <c r="AE6" s="267">
        <f>62+144+4+20+190+196+47+175+261+297+182+288+308+374</f>
        <v>2548</v>
      </c>
      <c r="AF6" s="282">
        <v>24.192</v>
      </c>
      <c r="AG6" s="267">
        <v>20</v>
      </c>
      <c r="AH6" s="277">
        <f>6+8+6+10+10+10+20+6+22+13+22+8+10+9+11+13+26+20</f>
        <v>230</v>
      </c>
      <c r="AI6" s="267">
        <v>12</v>
      </c>
      <c r="AJ6" s="277">
        <f>1+2+2+2+3+3+5+4+5+5+11+11+7+7+7+7+14+12</f>
        <v>108</v>
      </c>
      <c r="AK6" s="267">
        <v>1</v>
      </c>
      <c r="AL6" s="277">
        <f>1+1+1+1+1+1+1+1+1+1+1+1+2+1</f>
        <v>15</v>
      </c>
      <c r="AM6" s="270">
        <f>L19*AF6/480/AG6</f>
        <v>0.9424800000000001</v>
      </c>
      <c r="AN6" s="270">
        <f>M19*AF6/480/AH6</f>
        <v>0.55834434782608688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>
        <v>5</v>
      </c>
      <c r="M7" s="20">
        <f>20+117+9+13+48+110+29+97+43+5</f>
        <v>491</v>
      </c>
      <c r="N7" s="20">
        <f t="shared" si="2"/>
        <v>-108</v>
      </c>
      <c r="O7" s="20">
        <v>5</v>
      </c>
      <c r="P7" s="20">
        <f>292+29+122+43+5</f>
        <v>491</v>
      </c>
      <c r="Q7" s="20">
        <f t="shared" si="3"/>
        <v>0</v>
      </c>
      <c r="R7" s="20"/>
      <c r="S7" s="20">
        <f>160+140+90+90</f>
        <v>480</v>
      </c>
      <c r="T7" s="20">
        <f t="shared" si="4"/>
        <v>-11</v>
      </c>
      <c r="U7" s="20"/>
      <c r="V7" s="20">
        <f>150+240+90</f>
        <v>480</v>
      </c>
      <c r="W7" s="20">
        <f t="shared" si="5"/>
        <v>0</v>
      </c>
      <c r="X7" s="20"/>
      <c r="Y7" s="20">
        <f>130+10+160</f>
        <v>300</v>
      </c>
      <c r="Z7" s="20">
        <f t="shared" si="6"/>
        <v>-191</v>
      </c>
      <c r="AA7" s="20"/>
      <c r="AB7" s="20">
        <f>130+10+160</f>
        <v>300</v>
      </c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>
        <v>3</v>
      </c>
      <c r="M8" s="20">
        <f>73+187+25+59+76+42+58+4+3</f>
        <v>527</v>
      </c>
      <c r="N8" s="20">
        <f t="shared" si="2"/>
        <v>-150</v>
      </c>
      <c r="O8" s="20">
        <v>3</v>
      </c>
      <c r="P8" s="20">
        <f>420+42+58+4+3</f>
        <v>527</v>
      </c>
      <c r="Q8" s="20">
        <f t="shared" si="3"/>
        <v>0</v>
      </c>
      <c r="R8" s="20"/>
      <c r="S8" s="20">
        <f>250+150+50+50</f>
        <v>500</v>
      </c>
      <c r="T8" s="20">
        <f t="shared" si="4"/>
        <v>-27</v>
      </c>
      <c r="U8" s="20"/>
      <c r="V8" s="20">
        <f>250+200+50</f>
        <v>500</v>
      </c>
      <c r="W8" s="20">
        <f t="shared" si="5"/>
        <v>0</v>
      </c>
      <c r="X8" s="20"/>
      <c r="Y8" s="20">
        <f>180+45+80</f>
        <v>305</v>
      </c>
      <c r="Z8" s="20">
        <f t="shared" si="6"/>
        <v>-222</v>
      </c>
      <c r="AA8" s="20"/>
      <c r="AB8" s="20">
        <f>180+45+80</f>
        <v>305</v>
      </c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>
        <v>5</v>
      </c>
      <c r="M9" s="20">
        <f>42+27+5</f>
        <v>74</v>
      </c>
      <c r="N9" s="20">
        <f t="shared" si="2"/>
        <v>-32</v>
      </c>
      <c r="O9" s="20">
        <v>5</v>
      </c>
      <c r="P9" s="20">
        <f>42+27+5</f>
        <v>74</v>
      </c>
      <c r="Q9" s="20">
        <f t="shared" si="3"/>
        <v>0</v>
      </c>
      <c r="R9" s="20"/>
      <c r="S9" s="20">
        <f>10</f>
        <v>10</v>
      </c>
      <c r="T9" s="20">
        <f t="shared" si="4"/>
        <v>-64</v>
      </c>
      <c r="U9" s="20"/>
      <c r="V9" s="20"/>
      <c r="W9" s="20">
        <f t="shared" si="5"/>
        <v>-10</v>
      </c>
      <c r="X9" s="20"/>
      <c r="Y9" s="20"/>
      <c r="Z9" s="20">
        <f t="shared" si="6"/>
        <v>-74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303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>
        <v>20</v>
      </c>
      <c r="M10" s="20">
        <f>37+134+20</f>
        <v>191</v>
      </c>
      <c r="N10" s="20">
        <f t="shared" si="2"/>
        <v>-32</v>
      </c>
      <c r="O10" s="20">
        <v>20</v>
      </c>
      <c r="P10" s="20">
        <f>37+134+20</f>
        <v>191</v>
      </c>
      <c r="Q10" s="20">
        <f t="shared" si="3"/>
        <v>0</v>
      </c>
      <c r="R10" s="20"/>
      <c r="S10" s="20">
        <f>170</f>
        <v>170</v>
      </c>
      <c r="T10" s="20">
        <f t="shared" si="4"/>
        <v>-21</v>
      </c>
      <c r="U10" s="20"/>
      <c r="V10" s="20">
        <f>170</f>
        <v>170</v>
      </c>
      <c r="W10" s="20">
        <f t="shared" si="5"/>
        <v>0</v>
      </c>
      <c r="X10" s="20"/>
      <c r="Y10" s="20"/>
      <c r="Z10" s="20">
        <f t="shared" si="6"/>
        <v>-191</v>
      </c>
      <c r="AA10" s="20"/>
      <c r="AB10" s="20"/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>
        <v>55</v>
      </c>
      <c r="M11" s="20">
        <f>172+55</f>
        <v>227</v>
      </c>
      <c r="N11" s="20">
        <f t="shared" si="2"/>
        <v>0</v>
      </c>
      <c r="O11" s="20">
        <v>55</v>
      </c>
      <c r="P11" s="20">
        <f>172+55</f>
        <v>227</v>
      </c>
      <c r="Q11" s="20">
        <f t="shared" si="3"/>
        <v>0</v>
      </c>
      <c r="R11" s="20"/>
      <c r="S11" s="20">
        <f>160</f>
        <v>160</v>
      </c>
      <c r="T11" s="20">
        <f t="shared" si="4"/>
        <v>-67</v>
      </c>
      <c r="U11" s="20"/>
      <c r="V11" s="20">
        <f>10</f>
        <v>10</v>
      </c>
      <c r="W11" s="20">
        <f t="shared" si="5"/>
        <v>-150</v>
      </c>
      <c r="X11" s="20"/>
      <c r="Y11" s="20"/>
      <c r="Z11" s="20">
        <f t="shared" si="6"/>
        <v>-227</v>
      </c>
      <c r="AA11" s="20"/>
      <c r="AB11" s="20"/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>
        <v>20</v>
      </c>
      <c r="M12" s="20">
        <f>156+20</f>
        <v>176</v>
      </c>
      <c r="N12" s="20">
        <f t="shared" si="2"/>
        <v>-66</v>
      </c>
      <c r="O12" s="20">
        <v>20</v>
      </c>
      <c r="P12" s="20">
        <f>156+20</f>
        <v>176</v>
      </c>
      <c r="Q12" s="20">
        <f t="shared" si="3"/>
        <v>0</v>
      </c>
      <c r="R12" s="20"/>
      <c r="S12" s="20">
        <f>10</f>
        <v>10</v>
      </c>
      <c r="T12" s="20">
        <f t="shared" si="4"/>
        <v>-166</v>
      </c>
      <c r="U12" s="20"/>
      <c r="V12" s="20"/>
      <c r="W12" s="20">
        <f t="shared" si="5"/>
        <v>-10</v>
      </c>
      <c r="X12" s="20"/>
      <c r="Y12" s="20"/>
      <c r="Z12" s="20">
        <f t="shared" si="6"/>
        <v>-176</v>
      </c>
      <c r="AA12" s="20"/>
      <c r="AB12" s="20"/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x14ac:dyDescent="0.25">
      <c r="A13" s="283"/>
      <c r="B13" s="298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>
        <f>118-10</f>
        <v>108</v>
      </c>
      <c r="M13" s="20">
        <f>10+108</f>
        <v>118</v>
      </c>
      <c r="N13" s="20">
        <f t="shared" si="2"/>
        <v>-53</v>
      </c>
      <c r="O13" s="20">
        <v>108</v>
      </c>
      <c r="P13" s="20">
        <f>10+108</f>
        <v>118</v>
      </c>
      <c r="Q13" s="20">
        <f t="shared" si="3"/>
        <v>0</v>
      </c>
      <c r="R13" s="20"/>
      <c r="S13" s="20"/>
      <c r="T13" s="20">
        <f t="shared" si="4"/>
        <v>-118</v>
      </c>
      <c r="U13" s="20"/>
      <c r="V13" s="20"/>
      <c r="W13" s="20">
        <f t="shared" si="5"/>
        <v>0</v>
      </c>
      <c r="X13" s="20"/>
      <c r="Y13" s="20"/>
      <c r="Z13" s="20">
        <f t="shared" si="6"/>
        <v>-118</v>
      </c>
      <c r="AA13" s="20"/>
      <c r="AB13" s="20"/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x14ac:dyDescent="0.25">
      <c r="A14" s="283"/>
      <c r="B14" s="279" t="s">
        <v>57</v>
      </c>
      <c r="C14" s="281"/>
      <c r="D14" s="20" t="s">
        <v>58</v>
      </c>
      <c r="E14" s="20">
        <v>350</v>
      </c>
      <c r="F14" s="20"/>
      <c r="G14" s="20">
        <f>328</f>
        <v>328</v>
      </c>
      <c r="H14" s="20">
        <f t="shared" si="0"/>
        <v>-22</v>
      </c>
      <c r="I14" s="20"/>
      <c r="J14" s="20">
        <f>328</f>
        <v>328</v>
      </c>
      <c r="K14" s="20">
        <f t="shared" si="1"/>
        <v>0</v>
      </c>
      <c r="L14" s="20"/>
      <c r="M14" s="20"/>
      <c r="N14" s="20">
        <f t="shared" si="2"/>
        <v>-328</v>
      </c>
      <c r="O14" s="20"/>
      <c r="P14" s="20"/>
      <c r="Q14" s="20">
        <f t="shared" si="3"/>
        <v>0</v>
      </c>
      <c r="R14" s="18"/>
      <c r="S14" s="18"/>
      <c r="T14" s="18">
        <f t="shared" si="4"/>
        <v>0</v>
      </c>
      <c r="U14" s="18"/>
      <c r="V14" s="18"/>
      <c r="W14" s="18">
        <f t="shared" si="5"/>
        <v>0</v>
      </c>
      <c r="X14" s="20"/>
      <c r="Y14" s="20"/>
      <c r="Z14" s="20">
        <f t="shared" si="6"/>
        <v>0</v>
      </c>
      <c r="AA14" s="20"/>
      <c r="AB14" s="20"/>
      <c r="AC14" s="21">
        <f t="shared" si="7"/>
        <v>0</v>
      </c>
      <c r="AD14" s="263"/>
      <c r="AE14" s="263"/>
      <c r="AF14" s="268"/>
      <c r="AG14" s="263"/>
      <c r="AH14" s="261"/>
      <c r="AI14" s="263"/>
      <c r="AJ14" s="261"/>
      <c r="AK14" s="263"/>
      <c r="AL14" s="261"/>
      <c r="AM14" s="249"/>
      <c r="AN14" s="249"/>
      <c r="AO14" s="251"/>
    </row>
    <row r="15" spans="1:41" x14ac:dyDescent="0.25">
      <c r="A15" s="283"/>
      <c r="B15" s="279"/>
      <c r="C15" s="281"/>
      <c r="D15" s="20" t="s">
        <v>33</v>
      </c>
      <c r="E15" s="20">
        <v>375</v>
      </c>
      <c r="F15" s="20"/>
      <c r="G15" s="20">
        <f>350</f>
        <v>350</v>
      </c>
      <c r="H15" s="20">
        <f t="shared" si="0"/>
        <v>-25</v>
      </c>
      <c r="I15" s="20"/>
      <c r="J15" s="20">
        <f>350</f>
        <v>350</v>
      </c>
      <c r="K15" s="20">
        <f t="shared" si="1"/>
        <v>0</v>
      </c>
      <c r="L15" s="20">
        <v>152</v>
      </c>
      <c r="M15" s="20">
        <f>152</f>
        <v>152</v>
      </c>
      <c r="N15" s="20">
        <f t="shared" si="2"/>
        <v>-198</v>
      </c>
      <c r="O15" s="20">
        <v>152</v>
      </c>
      <c r="P15" s="20">
        <f>152</f>
        <v>152</v>
      </c>
      <c r="Q15" s="20">
        <f t="shared" si="3"/>
        <v>0</v>
      </c>
      <c r="R15" s="20"/>
      <c r="S15" s="20"/>
      <c r="T15" s="20">
        <f t="shared" si="4"/>
        <v>-152</v>
      </c>
      <c r="U15" s="20"/>
      <c r="V15" s="20"/>
      <c r="W15" s="20">
        <f t="shared" si="5"/>
        <v>0</v>
      </c>
      <c r="X15" s="20"/>
      <c r="Y15" s="20"/>
      <c r="Z15" s="20">
        <f t="shared" si="6"/>
        <v>-152</v>
      </c>
      <c r="AA15" s="20"/>
      <c r="AB15" s="20"/>
      <c r="AC15" s="21">
        <f t="shared" si="7"/>
        <v>0</v>
      </c>
      <c r="AD15" s="263"/>
      <c r="AE15" s="263"/>
      <c r="AF15" s="268"/>
      <c r="AG15" s="263"/>
      <c r="AH15" s="261"/>
      <c r="AI15" s="263"/>
      <c r="AJ15" s="261"/>
      <c r="AK15" s="263"/>
      <c r="AL15" s="261"/>
      <c r="AM15" s="249"/>
      <c r="AN15" s="249"/>
      <c r="AO15" s="251"/>
    </row>
    <row r="16" spans="1:41" x14ac:dyDescent="0.25">
      <c r="A16" s="283"/>
      <c r="B16" s="279"/>
      <c r="C16" s="281"/>
      <c r="D16" s="20" t="s">
        <v>59</v>
      </c>
      <c r="E16" s="20">
        <v>375</v>
      </c>
      <c r="F16" s="20"/>
      <c r="G16" s="20">
        <f>213</f>
        <v>213</v>
      </c>
      <c r="H16" s="20">
        <f t="shared" si="0"/>
        <v>-162</v>
      </c>
      <c r="I16" s="20"/>
      <c r="J16" s="20">
        <f>213</f>
        <v>213</v>
      </c>
      <c r="K16" s="20">
        <f t="shared" si="1"/>
        <v>0</v>
      </c>
      <c r="L16" s="20"/>
      <c r="M16" s="20"/>
      <c r="N16" s="20">
        <f t="shared" si="2"/>
        <v>-213</v>
      </c>
      <c r="O16" s="20"/>
      <c r="P16" s="20"/>
      <c r="Q16" s="20">
        <f t="shared" si="3"/>
        <v>0</v>
      </c>
      <c r="R16" s="20"/>
      <c r="S16" s="20"/>
      <c r="T16" s="20">
        <f t="shared" si="4"/>
        <v>0</v>
      </c>
      <c r="U16" s="20"/>
      <c r="V16" s="20"/>
      <c r="W16" s="20">
        <f t="shared" si="5"/>
        <v>0</v>
      </c>
      <c r="X16" s="20"/>
      <c r="Y16" s="20"/>
      <c r="Z16" s="20">
        <f t="shared" si="6"/>
        <v>0</v>
      </c>
      <c r="AA16" s="20"/>
      <c r="AB16" s="20"/>
      <c r="AC16" s="21">
        <f t="shared" si="7"/>
        <v>0</v>
      </c>
      <c r="AD16" s="263"/>
      <c r="AE16" s="263"/>
      <c r="AF16" s="268"/>
      <c r="AG16" s="263"/>
      <c r="AH16" s="261"/>
      <c r="AI16" s="263"/>
      <c r="AJ16" s="261"/>
      <c r="AK16" s="263"/>
      <c r="AL16" s="261"/>
      <c r="AM16" s="249"/>
      <c r="AN16" s="249"/>
      <c r="AO16" s="251"/>
    </row>
    <row r="17" spans="1:41" x14ac:dyDescent="0.25">
      <c r="A17" s="283"/>
      <c r="B17" s="279"/>
      <c r="C17" s="281"/>
      <c r="D17" s="20" t="s">
        <v>60</v>
      </c>
      <c r="E17" s="20">
        <v>350</v>
      </c>
      <c r="F17" s="20"/>
      <c r="G17" s="20">
        <f>237</f>
        <v>237</v>
      </c>
      <c r="H17" s="20">
        <f t="shared" si="0"/>
        <v>-113</v>
      </c>
      <c r="I17" s="20"/>
      <c r="J17" s="20">
        <f>237</f>
        <v>237</v>
      </c>
      <c r="K17" s="20">
        <f t="shared" si="1"/>
        <v>0</v>
      </c>
      <c r="L17" s="20"/>
      <c r="M17" s="20"/>
      <c r="N17" s="20">
        <f t="shared" si="2"/>
        <v>-237</v>
      </c>
      <c r="O17" s="20"/>
      <c r="P17" s="20"/>
      <c r="Q17" s="20">
        <f t="shared" si="3"/>
        <v>0</v>
      </c>
      <c r="R17" s="20"/>
      <c r="S17" s="20"/>
      <c r="T17" s="20">
        <f t="shared" si="4"/>
        <v>0</v>
      </c>
      <c r="U17" s="20"/>
      <c r="V17" s="20"/>
      <c r="W17" s="20">
        <f t="shared" si="5"/>
        <v>0</v>
      </c>
      <c r="X17" s="20"/>
      <c r="Y17" s="20"/>
      <c r="Z17" s="20">
        <f t="shared" si="6"/>
        <v>0</v>
      </c>
      <c r="AA17" s="20"/>
      <c r="AB17" s="20"/>
      <c r="AC17" s="21">
        <f t="shared" si="7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" thickBot="1" x14ac:dyDescent="0.3">
      <c r="A18" s="283"/>
      <c r="B18" s="299"/>
      <c r="C18" s="281"/>
      <c r="D18" s="20" t="s">
        <v>61</v>
      </c>
      <c r="E18" s="20">
        <v>350</v>
      </c>
      <c r="F18" s="20"/>
      <c r="G18" s="20">
        <f>345</f>
        <v>345</v>
      </c>
      <c r="H18" s="20">
        <f t="shared" si="0"/>
        <v>-5</v>
      </c>
      <c r="I18" s="20"/>
      <c r="J18" s="20">
        <f>345</f>
        <v>345</v>
      </c>
      <c r="K18" s="20">
        <f t="shared" si="1"/>
        <v>0</v>
      </c>
      <c r="L18" s="20"/>
      <c r="M18" s="20"/>
      <c r="N18" s="20">
        <f t="shared" si="2"/>
        <v>-345</v>
      </c>
      <c r="O18" s="20"/>
      <c r="P18" s="20"/>
      <c r="Q18" s="20">
        <f t="shared" si="3"/>
        <v>0</v>
      </c>
      <c r="R18" s="25"/>
      <c r="S18" s="25"/>
      <c r="T18" s="25">
        <f t="shared" si="4"/>
        <v>0</v>
      </c>
      <c r="U18" s="25"/>
      <c r="V18" s="25"/>
      <c r="W18" s="25">
        <f t="shared" si="5"/>
        <v>0</v>
      </c>
      <c r="X18" s="20"/>
      <c r="Y18" s="20"/>
      <c r="Z18" s="20">
        <f t="shared" si="6"/>
        <v>0</v>
      </c>
      <c r="AA18" s="20"/>
      <c r="AB18" s="20"/>
      <c r="AC18" s="21">
        <f t="shared" si="7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83"/>
      <c r="B19" s="272" t="s">
        <v>34</v>
      </c>
      <c r="C19" s="273"/>
      <c r="D19" s="274"/>
      <c r="E19" s="23">
        <f>+SUM(E6:E18)</f>
        <v>4962</v>
      </c>
      <c r="F19" s="23">
        <f>+SUM(F6:F18)</f>
        <v>0</v>
      </c>
      <c r="G19" s="23">
        <f>SUM(G6:G18)</f>
        <v>4398</v>
      </c>
      <c r="H19" s="23">
        <f t="shared" ref="H19:AC19" si="8">+SUM(H6:H18)</f>
        <v>-564</v>
      </c>
      <c r="I19" s="23">
        <f t="shared" si="8"/>
        <v>0</v>
      </c>
      <c r="J19" s="23">
        <f t="shared" si="8"/>
        <v>4398</v>
      </c>
      <c r="K19" s="23">
        <f t="shared" si="8"/>
        <v>0</v>
      </c>
      <c r="L19" s="23">
        <f t="shared" si="8"/>
        <v>374</v>
      </c>
      <c r="M19" s="23">
        <f t="shared" si="8"/>
        <v>2548</v>
      </c>
      <c r="N19" s="23">
        <f t="shared" si="8"/>
        <v>-1850</v>
      </c>
      <c r="O19" s="23">
        <f t="shared" si="8"/>
        <v>374</v>
      </c>
      <c r="P19" s="23">
        <f t="shared" si="8"/>
        <v>2548</v>
      </c>
      <c r="Q19" s="23">
        <f t="shared" si="8"/>
        <v>0</v>
      </c>
      <c r="R19" s="24">
        <f t="shared" si="8"/>
        <v>0</v>
      </c>
      <c r="S19" s="24">
        <f t="shared" si="8"/>
        <v>1910</v>
      </c>
      <c r="T19" s="24">
        <f t="shared" si="8"/>
        <v>-638</v>
      </c>
      <c r="U19" s="24">
        <f t="shared" si="8"/>
        <v>0</v>
      </c>
      <c r="V19" s="24">
        <f t="shared" si="8"/>
        <v>1740</v>
      </c>
      <c r="W19" s="24">
        <f t="shared" si="8"/>
        <v>-170</v>
      </c>
      <c r="X19" s="23">
        <f t="shared" si="8"/>
        <v>0</v>
      </c>
      <c r="Y19" s="23">
        <f t="shared" si="8"/>
        <v>790</v>
      </c>
      <c r="Z19" s="23">
        <f t="shared" si="8"/>
        <v>-1758</v>
      </c>
      <c r="AA19" s="23">
        <f t="shared" si="8"/>
        <v>0</v>
      </c>
      <c r="AB19" s="23">
        <f t="shared" si="8"/>
        <v>790</v>
      </c>
      <c r="AC19" s="15">
        <f t="shared" si="8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.75" customHeight="1" x14ac:dyDescent="0.25">
      <c r="A20" s="283"/>
      <c r="B20" s="297" t="s">
        <v>62</v>
      </c>
      <c r="C20" s="280" t="s">
        <v>63</v>
      </c>
      <c r="D20" s="16" t="s">
        <v>33</v>
      </c>
      <c r="E20" s="156">
        <v>155</v>
      </c>
      <c r="F20" s="156">
        <v>130</v>
      </c>
      <c r="G20" s="156">
        <f>130</f>
        <v>130</v>
      </c>
      <c r="H20" s="156">
        <f t="shared" ref="H20:H26" si="9">G20-E20</f>
        <v>-25</v>
      </c>
      <c r="I20" s="156">
        <v>100</v>
      </c>
      <c r="J20" s="156">
        <f>100</f>
        <v>100</v>
      </c>
      <c r="K20" s="156">
        <f t="shared" ref="K20:K26" si="10">J20-G20</f>
        <v>-30</v>
      </c>
      <c r="L20" s="156"/>
      <c r="M20" s="156"/>
      <c r="N20" s="156">
        <f t="shared" ref="N20:N26" si="11">M20-J20</f>
        <v>-100</v>
      </c>
      <c r="O20" s="156"/>
      <c r="P20" s="119"/>
      <c r="Q20" s="156">
        <f t="shared" ref="Q20:Q26" si="12">P20-M20</f>
        <v>0</v>
      </c>
      <c r="R20" s="18"/>
      <c r="S20" s="18"/>
      <c r="T20" s="18">
        <f t="shared" ref="T20:T26" si="13">S20-P20</f>
        <v>0</v>
      </c>
      <c r="U20" s="18"/>
      <c r="V20" s="18"/>
      <c r="W20" s="18">
        <f t="shared" ref="W20:W26" si="14">V20-S20</f>
        <v>0</v>
      </c>
      <c r="X20" s="156"/>
      <c r="Y20" s="156"/>
      <c r="Z20" s="156">
        <f t="shared" ref="Z20:Z26" si="15">Y20-P20</f>
        <v>0</v>
      </c>
      <c r="AA20" s="156"/>
      <c r="AB20" s="156"/>
      <c r="AC20" s="19">
        <f t="shared" ref="AC20:AC26" si="16">AB20-Y20</f>
        <v>0</v>
      </c>
      <c r="AD20" s="267">
        <f>L27</f>
        <v>0</v>
      </c>
      <c r="AE20" s="267"/>
      <c r="AF20" s="282">
        <v>38.121000000000002</v>
      </c>
      <c r="AG20" s="267">
        <v>5</v>
      </c>
      <c r="AH20" s="277">
        <f>5</f>
        <v>5</v>
      </c>
      <c r="AI20" s="267">
        <v>2</v>
      </c>
      <c r="AJ20" s="277">
        <f>2</f>
        <v>2</v>
      </c>
      <c r="AK20" s="267">
        <v>1</v>
      </c>
      <c r="AL20" s="277">
        <f>1</f>
        <v>1</v>
      </c>
      <c r="AM20" s="270">
        <f>L27*AF20/480/AG20</f>
        <v>0</v>
      </c>
      <c r="AN20" s="270">
        <f>M27*AF20/480/AH20</f>
        <v>0</v>
      </c>
      <c r="AO20" s="271"/>
    </row>
    <row r="21" spans="1:41" x14ac:dyDescent="0.25">
      <c r="A21" s="283"/>
      <c r="B21" s="279"/>
      <c r="C21" s="281"/>
      <c r="D21" s="20" t="s">
        <v>64</v>
      </c>
      <c r="E21" s="20">
        <v>155</v>
      </c>
      <c r="F21" s="20">
        <v>124</v>
      </c>
      <c r="G21" s="20">
        <f>124</f>
        <v>124</v>
      </c>
      <c r="H21" s="20">
        <f t="shared" si="9"/>
        <v>-31</v>
      </c>
      <c r="I21" s="20"/>
      <c r="J21" s="20"/>
      <c r="K21" s="20">
        <f t="shared" si="10"/>
        <v>-124</v>
      </c>
      <c r="L21" s="20"/>
      <c r="M21" s="20"/>
      <c r="N21" s="20">
        <f t="shared" si="11"/>
        <v>0</v>
      </c>
      <c r="O21" s="20"/>
      <c r="P21" s="20"/>
      <c r="Q21" s="20">
        <f t="shared" si="12"/>
        <v>0</v>
      </c>
      <c r="R21" s="20"/>
      <c r="S21" s="20"/>
      <c r="T21" s="20">
        <f t="shared" si="13"/>
        <v>0</v>
      </c>
      <c r="U21" s="20"/>
      <c r="V21" s="20"/>
      <c r="W21" s="20">
        <f t="shared" si="14"/>
        <v>0</v>
      </c>
      <c r="X21" s="20"/>
      <c r="Y21" s="20"/>
      <c r="Z21" s="20">
        <f t="shared" si="15"/>
        <v>0</v>
      </c>
      <c r="AA21" s="20"/>
      <c r="AB21" s="20"/>
      <c r="AC21" s="21">
        <f t="shared" si="16"/>
        <v>0</v>
      </c>
      <c r="AD21" s="263"/>
      <c r="AE21" s="263"/>
      <c r="AF21" s="268"/>
      <c r="AG21" s="263"/>
      <c r="AH21" s="261"/>
      <c r="AI21" s="263"/>
      <c r="AJ21" s="261"/>
      <c r="AK21" s="263"/>
      <c r="AL21" s="261"/>
      <c r="AM21" s="249"/>
      <c r="AN21" s="249"/>
      <c r="AO21" s="251"/>
    </row>
    <row r="22" spans="1:41" x14ac:dyDescent="0.25">
      <c r="A22" s="283"/>
      <c r="B22" s="279"/>
      <c r="C22" s="281"/>
      <c r="D22" s="20" t="s">
        <v>65</v>
      </c>
      <c r="E22" s="20">
        <v>155</v>
      </c>
      <c r="F22" s="20">
        <v>116</v>
      </c>
      <c r="G22" s="20">
        <f>116</f>
        <v>116</v>
      </c>
      <c r="H22" s="20">
        <f t="shared" si="9"/>
        <v>-39</v>
      </c>
      <c r="I22" s="20"/>
      <c r="J22" s="20"/>
      <c r="K22" s="20">
        <f t="shared" si="10"/>
        <v>-116</v>
      </c>
      <c r="L22" s="20"/>
      <c r="M22" s="20"/>
      <c r="N22" s="20">
        <f t="shared" si="11"/>
        <v>0</v>
      </c>
      <c r="O22" s="20"/>
      <c r="P22" s="20"/>
      <c r="Q22" s="20">
        <f t="shared" si="12"/>
        <v>0</v>
      </c>
      <c r="R22" s="20"/>
      <c r="S22" s="20"/>
      <c r="T22" s="20">
        <f t="shared" si="13"/>
        <v>0</v>
      </c>
      <c r="U22" s="20"/>
      <c r="V22" s="20"/>
      <c r="W22" s="20">
        <f t="shared" si="14"/>
        <v>0</v>
      </c>
      <c r="X22" s="20"/>
      <c r="Y22" s="20"/>
      <c r="Z22" s="20">
        <f t="shared" si="15"/>
        <v>0</v>
      </c>
      <c r="AA22" s="20"/>
      <c r="AB22" s="20"/>
      <c r="AC22" s="21">
        <f t="shared" si="16"/>
        <v>0</v>
      </c>
      <c r="AD22" s="263"/>
      <c r="AE22" s="263"/>
      <c r="AF22" s="268"/>
      <c r="AG22" s="263"/>
      <c r="AH22" s="261"/>
      <c r="AI22" s="263"/>
      <c r="AJ22" s="261"/>
      <c r="AK22" s="263"/>
      <c r="AL22" s="261"/>
      <c r="AM22" s="249"/>
      <c r="AN22" s="249"/>
      <c r="AO22" s="251"/>
    </row>
    <row r="23" spans="1:41" x14ac:dyDescent="0.25">
      <c r="A23" s="283"/>
      <c r="B23" s="279"/>
      <c r="C23" s="281"/>
      <c r="D23" s="20" t="s">
        <v>66</v>
      </c>
      <c r="E23" s="20">
        <v>137</v>
      </c>
      <c r="F23" s="20">
        <v>124</v>
      </c>
      <c r="G23" s="20">
        <f>124</f>
        <v>124</v>
      </c>
      <c r="H23" s="20">
        <f t="shared" si="9"/>
        <v>-13</v>
      </c>
      <c r="I23" s="20"/>
      <c r="J23" s="20"/>
      <c r="K23" s="20">
        <f t="shared" si="10"/>
        <v>-124</v>
      </c>
      <c r="L23" s="20"/>
      <c r="M23" s="20"/>
      <c r="N23" s="20">
        <f t="shared" si="11"/>
        <v>0</v>
      </c>
      <c r="O23" s="20"/>
      <c r="P23" s="20"/>
      <c r="Q23" s="20">
        <f t="shared" si="12"/>
        <v>0</v>
      </c>
      <c r="R23" s="20"/>
      <c r="S23" s="20"/>
      <c r="T23" s="20">
        <f t="shared" si="13"/>
        <v>0</v>
      </c>
      <c r="U23" s="20"/>
      <c r="V23" s="20"/>
      <c r="W23" s="20">
        <f t="shared" si="14"/>
        <v>0</v>
      </c>
      <c r="X23" s="20"/>
      <c r="Y23" s="20"/>
      <c r="Z23" s="20">
        <f t="shared" si="15"/>
        <v>0</v>
      </c>
      <c r="AA23" s="20"/>
      <c r="AB23" s="20"/>
      <c r="AC23" s="21">
        <f t="shared" si="16"/>
        <v>0</v>
      </c>
      <c r="AD23" s="263"/>
      <c r="AE23" s="263"/>
      <c r="AF23" s="268"/>
      <c r="AG23" s="263"/>
      <c r="AH23" s="261"/>
      <c r="AI23" s="263"/>
      <c r="AJ23" s="261"/>
      <c r="AK23" s="263"/>
      <c r="AL23" s="261"/>
      <c r="AM23" s="249"/>
      <c r="AN23" s="249"/>
      <c r="AO23" s="251"/>
    </row>
    <row r="24" spans="1:41" x14ac:dyDescent="0.25">
      <c r="A24" s="283"/>
      <c r="B24" s="279"/>
      <c r="C24" s="281"/>
      <c r="D24" s="20" t="s">
        <v>67</v>
      </c>
      <c r="E24" s="20">
        <v>155</v>
      </c>
      <c r="F24" s="20">
        <v>146</v>
      </c>
      <c r="G24" s="20">
        <f>146</f>
        <v>146</v>
      </c>
      <c r="H24" s="20">
        <f t="shared" ref="H24" si="17">G24-E24</f>
        <v>-9</v>
      </c>
      <c r="I24" s="20"/>
      <c r="J24" s="20"/>
      <c r="K24" s="20">
        <f t="shared" ref="K24" si="18">J24-G24</f>
        <v>-146</v>
      </c>
      <c r="L24" s="20"/>
      <c r="M24" s="20"/>
      <c r="N24" s="20">
        <f t="shared" ref="N24" si="19">M24-J24</f>
        <v>0</v>
      </c>
      <c r="O24" s="20"/>
      <c r="P24" s="20"/>
      <c r="Q24" s="20">
        <f t="shared" ref="Q24" si="20">P24-M24</f>
        <v>0</v>
      </c>
      <c r="R24" s="20"/>
      <c r="S24" s="20"/>
      <c r="T24" s="20">
        <f t="shared" ref="T24" si="21">S24-P24</f>
        <v>0</v>
      </c>
      <c r="U24" s="20"/>
      <c r="V24" s="20"/>
      <c r="W24" s="20">
        <f t="shared" ref="W24" si="22">V24-S24</f>
        <v>0</v>
      </c>
      <c r="X24" s="20"/>
      <c r="Y24" s="20"/>
      <c r="Z24" s="20">
        <f t="shared" ref="Z24" si="23">Y24-P24</f>
        <v>0</v>
      </c>
      <c r="AA24" s="20"/>
      <c r="AB24" s="20"/>
      <c r="AC24" s="21">
        <f t="shared" ref="AC24" si="24">AB24-Y24</f>
        <v>0</v>
      </c>
      <c r="AD24" s="263"/>
      <c r="AE24" s="263"/>
      <c r="AF24" s="268"/>
      <c r="AG24" s="263"/>
      <c r="AH24" s="261"/>
      <c r="AI24" s="263"/>
      <c r="AJ24" s="261"/>
      <c r="AK24" s="263"/>
      <c r="AL24" s="261"/>
      <c r="AM24" s="249"/>
      <c r="AN24" s="249"/>
      <c r="AO24" s="251"/>
    </row>
    <row r="25" spans="1:41" x14ac:dyDescent="0.25">
      <c r="A25" s="283"/>
      <c r="B25" s="279"/>
      <c r="C25" s="281"/>
      <c r="D25" s="20" t="s">
        <v>68</v>
      </c>
      <c r="E25" s="20">
        <v>155</v>
      </c>
      <c r="F25" s="20"/>
      <c r="G25" s="20"/>
      <c r="H25" s="20">
        <f t="shared" si="9"/>
        <v>-155</v>
      </c>
      <c r="I25" s="20"/>
      <c r="J25" s="20"/>
      <c r="K25" s="20">
        <f t="shared" si="10"/>
        <v>0</v>
      </c>
      <c r="L25" s="20"/>
      <c r="M25" s="20"/>
      <c r="N25" s="20">
        <f t="shared" si="11"/>
        <v>0</v>
      </c>
      <c r="O25" s="20"/>
      <c r="P25" s="20"/>
      <c r="Q25" s="20">
        <f t="shared" si="12"/>
        <v>0</v>
      </c>
      <c r="R25" s="20"/>
      <c r="S25" s="20"/>
      <c r="T25" s="20">
        <f t="shared" si="13"/>
        <v>0</v>
      </c>
      <c r="U25" s="20"/>
      <c r="V25" s="20"/>
      <c r="W25" s="20">
        <f t="shared" si="14"/>
        <v>0</v>
      </c>
      <c r="X25" s="20"/>
      <c r="Y25" s="20"/>
      <c r="Z25" s="20">
        <f t="shared" si="15"/>
        <v>0</v>
      </c>
      <c r="AA25" s="20"/>
      <c r="AB25" s="20"/>
      <c r="AC25" s="21">
        <f t="shared" si="16"/>
        <v>0</v>
      </c>
      <c r="AD25" s="263"/>
      <c r="AE25" s="263"/>
      <c r="AF25" s="268"/>
      <c r="AG25" s="263"/>
      <c r="AH25" s="261"/>
      <c r="AI25" s="263"/>
      <c r="AJ25" s="261"/>
      <c r="AK25" s="263"/>
      <c r="AL25" s="261"/>
      <c r="AM25" s="249"/>
      <c r="AN25" s="249"/>
      <c r="AO25" s="251"/>
    </row>
    <row r="26" spans="1:41" ht="18" thickBot="1" x14ac:dyDescent="0.3">
      <c r="A26" s="283"/>
      <c r="B26" s="298"/>
      <c r="C26" s="281"/>
      <c r="D26" s="20" t="s">
        <v>60</v>
      </c>
      <c r="E26" s="20">
        <v>125</v>
      </c>
      <c r="F26" s="20"/>
      <c r="G26" s="20"/>
      <c r="H26" s="20">
        <f t="shared" si="9"/>
        <v>-125</v>
      </c>
      <c r="I26" s="20"/>
      <c r="J26" s="20"/>
      <c r="K26" s="20">
        <f t="shared" si="10"/>
        <v>0</v>
      </c>
      <c r="L26" s="20"/>
      <c r="M26" s="20"/>
      <c r="N26" s="20">
        <f t="shared" si="11"/>
        <v>0</v>
      </c>
      <c r="O26" s="20"/>
      <c r="P26" s="20"/>
      <c r="Q26" s="20">
        <f t="shared" si="12"/>
        <v>0</v>
      </c>
      <c r="R26" s="22"/>
      <c r="S26" s="22"/>
      <c r="T26" s="22">
        <f t="shared" si="13"/>
        <v>0</v>
      </c>
      <c r="U26" s="22"/>
      <c r="V26" s="22"/>
      <c r="W26" s="22">
        <f t="shared" si="14"/>
        <v>0</v>
      </c>
      <c r="X26" s="20"/>
      <c r="Y26" s="20"/>
      <c r="Z26" s="20">
        <f t="shared" si="15"/>
        <v>0</v>
      </c>
      <c r="AA26" s="20"/>
      <c r="AB26" s="20"/>
      <c r="AC26" s="21">
        <f t="shared" si="16"/>
        <v>0</v>
      </c>
      <c r="AD26" s="263"/>
      <c r="AE26" s="263"/>
      <c r="AF26" s="268"/>
      <c r="AG26" s="263"/>
      <c r="AH26" s="261"/>
      <c r="AI26" s="263"/>
      <c r="AJ26" s="261"/>
      <c r="AK26" s="263"/>
      <c r="AL26" s="261"/>
      <c r="AM26" s="249"/>
      <c r="AN26" s="249"/>
      <c r="AO26" s="251"/>
    </row>
    <row r="27" spans="1:41" ht="18" thickBot="1" x14ac:dyDescent="0.3">
      <c r="A27" s="283"/>
      <c r="B27" s="272" t="s">
        <v>34</v>
      </c>
      <c r="C27" s="273"/>
      <c r="D27" s="274"/>
      <c r="E27" s="23">
        <f>+SUM(E20:E26)</f>
        <v>1037</v>
      </c>
      <c r="F27" s="23">
        <f>+SUM(F20:F26)</f>
        <v>640</v>
      </c>
      <c r="G27" s="23">
        <f>SUM(G20:G26)</f>
        <v>640</v>
      </c>
      <c r="H27" s="23">
        <f t="shared" ref="H27:AC27" si="25">+SUM(H20:H26)</f>
        <v>-397</v>
      </c>
      <c r="I27" s="23">
        <f t="shared" si="25"/>
        <v>100</v>
      </c>
      <c r="J27" s="23">
        <f t="shared" si="25"/>
        <v>100</v>
      </c>
      <c r="K27" s="23">
        <f t="shared" si="25"/>
        <v>-540</v>
      </c>
      <c r="L27" s="23">
        <f t="shared" si="25"/>
        <v>0</v>
      </c>
      <c r="M27" s="23">
        <f t="shared" si="25"/>
        <v>0</v>
      </c>
      <c r="N27" s="23">
        <f t="shared" si="25"/>
        <v>-100</v>
      </c>
      <c r="O27" s="23">
        <f t="shared" si="25"/>
        <v>0</v>
      </c>
      <c r="P27" s="23">
        <f t="shared" si="25"/>
        <v>0</v>
      </c>
      <c r="Q27" s="23">
        <f t="shared" si="25"/>
        <v>0</v>
      </c>
      <c r="R27" s="24">
        <f t="shared" si="25"/>
        <v>0</v>
      </c>
      <c r="S27" s="24">
        <f t="shared" si="25"/>
        <v>0</v>
      </c>
      <c r="T27" s="24">
        <f t="shared" si="25"/>
        <v>0</v>
      </c>
      <c r="U27" s="24">
        <f t="shared" si="25"/>
        <v>0</v>
      </c>
      <c r="V27" s="24">
        <f t="shared" si="25"/>
        <v>0</v>
      </c>
      <c r="W27" s="24">
        <f t="shared" si="25"/>
        <v>0</v>
      </c>
      <c r="X27" s="23">
        <f t="shared" si="25"/>
        <v>0</v>
      </c>
      <c r="Y27" s="23">
        <f t="shared" si="25"/>
        <v>0</v>
      </c>
      <c r="Z27" s="23">
        <f t="shared" si="25"/>
        <v>0</v>
      </c>
      <c r="AA27" s="23">
        <f t="shared" si="25"/>
        <v>0</v>
      </c>
      <c r="AB27" s="23">
        <f t="shared" si="25"/>
        <v>0</v>
      </c>
      <c r="AC27" s="15">
        <f t="shared" si="25"/>
        <v>0</v>
      </c>
      <c r="AD27" s="264"/>
      <c r="AE27" s="264"/>
      <c r="AF27" s="269"/>
      <c r="AG27" s="264"/>
      <c r="AH27" s="262"/>
      <c r="AI27" s="264"/>
      <c r="AJ27" s="262"/>
      <c r="AK27" s="264"/>
      <c r="AL27" s="262"/>
      <c r="AM27" s="250"/>
      <c r="AN27" s="250"/>
      <c r="AO27" s="252"/>
    </row>
    <row r="28" spans="1:41" ht="18" thickBot="1" x14ac:dyDescent="0.3">
      <c r="A28" s="284"/>
      <c r="B28" s="275" t="s">
        <v>40</v>
      </c>
      <c r="C28" s="275"/>
      <c r="D28" s="276"/>
      <c r="E28" s="26">
        <f>E19+E27</f>
        <v>5999</v>
      </c>
      <c r="F28" s="26">
        <f t="shared" ref="F28:AC28" si="26">F19+F27</f>
        <v>640</v>
      </c>
      <c r="G28" s="26">
        <f t="shared" si="26"/>
        <v>5038</v>
      </c>
      <c r="H28" s="26">
        <f t="shared" si="26"/>
        <v>-961</v>
      </c>
      <c r="I28" s="26">
        <f t="shared" si="26"/>
        <v>100</v>
      </c>
      <c r="J28" s="26">
        <f t="shared" si="26"/>
        <v>4498</v>
      </c>
      <c r="K28" s="26">
        <f t="shared" si="26"/>
        <v>-540</v>
      </c>
      <c r="L28" s="26">
        <f t="shared" si="26"/>
        <v>374</v>
      </c>
      <c r="M28" s="26">
        <f t="shared" si="26"/>
        <v>2548</v>
      </c>
      <c r="N28" s="26">
        <f t="shared" si="26"/>
        <v>-1950</v>
      </c>
      <c r="O28" s="26">
        <f t="shared" si="26"/>
        <v>374</v>
      </c>
      <c r="P28" s="26">
        <f t="shared" si="26"/>
        <v>2548</v>
      </c>
      <c r="Q28" s="26">
        <f t="shared" si="26"/>
        <v>0</v>
      </c>
      <c r="R28" s="26">
        <f t="shared" si="26"/>
        <v>0</v>
      </c>
      <c r="S28" s="26">
        <f t="shared" si="26"/>
        <v>1910</v>
      </c>
      <c r="T28" s="26">
        <f t="shared" si="26"/>
        <v>-638</v>
      </c>
      <c r="U28" s="26">
        <f t="shared" si="26"/>
        <v>0</v>
      </c>
      <c r="V28" s="26">
        <f t="shared" si="26"/>
        <v>1740</v>
      </c>
      <c r="W28" s="26">
        <f t="shared" si="26"/>
        <v>-170</v>
      </c>
      <c r="X28" s="26">
        <f t="shared" si="26"/>
        <v>0</v>
      </c>
      <c r="Y28" s="26">
        <f t="shared" si="26"/>
        <v>790</v>
      </c>
      <c r="Z28" s="26">
        <f t="shared" si="26"/>
        <v>-1758</v>
      </c>
      <c r="AA28" s="26">
        <f t="shared" si="26"/>
        <v>0</v>
      </c>
      <c r="AB28" s="26">
        <f t="shared" si="26"/>
        <v>790</v>
      </c>
      <c r="AC28" s="26">
        <f t="shared" si="26"/>
        <v>0</v>
      </c>
      <c r="AD28" s="27">
        <f>SUM(AD6:AD27)</f>
        <v>374</v>
      </c>
      <c r="AE28" s="27">
        <f>SUM(AE6:AE27)</f>
        <v>2548</v>
      </c>
      <c r="AF28" s="27">
        <f>SUM(AF6:AF27)/2</f>
        <v>31.156500000000001</v>
      </c>
      <c r="AG28" s="27">
        <f t="shared" ref="AG28:AL28" si="27">SUM(AG6:AG27)</f>
        <v>25</v>
      </c>
      <c r="AH28" s="27">
        <f t="shared" si="27"/>
        <v>235</v>
      </c>
      <c r="AI28" s="27">
        <f t="shared" si="27"/>
        <v>14</v>
      </c>
      <c r="AJ28" s="27">
        <f t="shared" si="27"/>
        <v>110</v>
      </c>
      <c r="AK28" s="27">
        <f t="shared" si="27"/>
        <v>2</v>
      </c>
      <c r="AL28" s="27">
        <f t="shared" si="27"/>
        <v>16</v>
      </c>
      <c r="AM28" s="29">
        <f>L28*AF28/480/AG28</f>
        <v>0.97104425000000005</v>
      </c>
      <c r="AN28" s="30">
        <f>M28*AF28/480/AH28</f>
        <v>0.70378335106382983</v>
      </c>
      <c r="AO28" s="31"/>
    </row>
    <row r="29" spans="1:41" ht="18.75" customHeight="1" x14ac:dyDescent="0.25">
      <c r="A29" s="265" t="s">
        <v>32</v>
      </c>
      <c r="B29" s="155" t="s">
        <v>41</v>
      </c>
      <c r="C29" s="300" t="s">
        <v>37</v>
      </c>
      <c r="D29" s="34" t="s">
        <v>42</v>
      </c>
      <c r="E29" s="156">
        <v>1645</v>
      </c>
      <c r="F29" s="156"/>
      <c r="G29" s="156">
        <f>1433</f>
        <v>1433</v>
      </c>
      <c r="H29" s="156">
        <f t="shared" ref="H29:H31" si="28">G29-E29</f>
        <v>-212</v>
      </c>
      <c r="I29" s="156"/>
      <c r="J29" s="156">
        <f>100+200+300+350+400+83</f>
        <v>1433</v>
      </c>
      <c r="K29" s="156">
        <f t="shared" ref="K29:K31" si="29">J29-G29</f>
        <v>0</v>
      </c>
      <c r="L29" s="156"/>
      <c r="M29" s="156">
        <f>102+201+302+351-99-125-110+133+127+49+120+24+166+155+34</f>
        <v>1430</v>
      </c>
      <c r="N29" s="156">
        <f t="shared" ref="N29:N31" si="30">M29-J29</f>
        <v>-3</v>
      </c>
      <c r="O29" s="156"/>
      <c r="P29" s="156">
        <f>1075+166+155+34</f>
        <v>1430</v>
      </c>
      <c r="Q29" s="156">
        <f t="shared" ref="Q29:Q31" si="31">P29-M29</f>
        <v>0</v>
      </c>
      <c r="R29" s="156"/>
      <c r="S29" s="156">
        <f>970+260+50+150</f>
        <v>1430</v>
      </c>
      <c r="T29" s="35">
        <f t="shared" ref="T29:T31" si="32">S29-P29</f>
        <v>0</v>
      </c>
      <c r="U29" s="156"/>
      <c r="V29" s="156">
        <f>970+310+150</f>
        <v>1430</v>
      </c>
      <c r="W29" s="35">
        <f t="shared" ref="W29:W31" si="33">V29-S29</f>
        <v>0</v>
      </c>
      <c r="X29" s="156"/>
      <c r="Y29" s="156">
        <f>860+80+15+140+90</f>
        <v>1185</v>
      </c>
      <c r="Z29" s="156">
        <f t="shared" ref="Z29:Z31" si="34">Y29-P29</f>
        <v>-245</v>
      </c>
      <c r="AA29" s="156"/>
      <c r="AB29" s="156">
        <f>860+80+15+140+90</f>
        <v>1185</v>
      </c>
      <c r="AC29" s="33">
        <f t="shared" ref="AC29:AC31" si="35">AB29-Y29</f>
        <v>0</v>
      </c>
      <c r="AD29" s="267">
        <f>L32</f>
        <v>0</v>
      </c>
      <c r="AE29" s="263">
        <f>300+98+344+213+289+412+355+358+438+80</f>
        <v>2887</v>
      </c>
      <c r="AF29" s="268">
        <v>33.130000000000003</v>
      </c>
      <c r="AG29" s="263">
        <v>1</v>
      </c>
      <c r="AH29" s="261">
        <f>2+10+8+8+8+6+6+6+9+5+6+8+7+7+6+6+6+6+6+6+7+7+7+7+6+7+17+16+16+22+21+21+10+20+20+13+10+10+10+11+13</f>
        <v>403</v>
      </c>
      <c r="AI29" s="263"/>
      <c r="AJ29" s="261">
        <f>1+1+1+1+1+1+1+2+2+2+2+2+2+2+2+2+2+1+1+1+1+1+1+1+1+4+3+4+5+8+8+6+7+6+6+6+7+7+7</f>
        <v>119</v>
      </c>
      <c r="AK29" s="263"/>
      <c r="AL29" s="261">
        <f>1+1+1+1+1+1+1+1+1+1+1+1+1+1+1+1+2+2+2+2+2+1+1+1+1+1</f>
        <v>31</v>
      </c>
      <c r="AM29" s="249">
        <f>L32*AF29/480/AG29</f>
        <v>0</v>
      </c>
      <c r="AN29" s="249">
        <f>M32*AF29/480/AH29</f>
        <v>0.65818129652605462</v>
      </c>
      <c r="AO29" s="251"/>
    </row>
    <row r="30" spans="1:41" ht="18.75" customHeight="1" x14ac:dyDescent="0.25">
      <c r="A30" s="265"/>
      <c r="B30" s="36" t="s">
        <v>43</v>
      </c>
      <c r="C30" s="301"/>
      <c r="D30" s="38" t="s">
        <v>44</v>
      </c>
      <c r="E30" s="20">
        <v>1245</v>
      </c>
      <c r="F30" s="20"/>
      <c r="G30" s="20">
        <f>1237</f>
        <v>1237</v>
      </c>
      <c r="H30" s="20">
        <f t="shared" si="28"/>
        <v>-8</v>
      </c>
      <c r="I30" s="20"/>
      <c r="J30" s="20">
        <f>1237</f>
        <v>1237</v>
      </c>
      <c r="K30" s="20">
        <f t="shared" si="29"/>
        <v>0</v>
      </c>
      <c r="L30" s="20"/>
      <c r="M30" s="20">
        <f>300+99+125+110+98+101+59+41+12+93+57+100+35</f>
        <v>1230</v>
      </c>
      <c r="N30" s="20">
        <f t="shared" si="30"/>
        <v>-7</v>
      </c>
      <c r="O30" s="20"/>
      <c r="P30" s="20">
        <f>1038+57+100+35</f>
        <v>1230</v>
      </c>
      <c r="Q30" s="20">
        <f t="shared" si="31"/>
        <v>0</v>
      </c>
      <c r="R30" s="20"/>
      <c r="S30" s="20">
        <f>930+160+50+90</f>
        <v>1230</v>
      </c>
      <c r="T30" s="39">
        <f t="shared" si="32"/>
        <v>0</v>
      </c>
      <c r="U30" s="20"/>
      <c r="V30" s="20">
        <f>910+230+90</f>
        <v>1230</v>
      </c>
      <c r="W30" s="39">
        <f t="shared" si="33"/>
        <v>0</v>
      </c>
      <c r="X30" s="20"/>
      <c r="Y30" s="20">
        <f>750+75+40+90+100</f>
        <v>1055</v>
      </c>
      <c r="Z30" s="20">
        <f t="shared" si="34"/>
        <v>-175</v>
      </c>
      <c r="AA30" s="20"/>
      <c r="AB30" s="20">
        <f>750+75+40+90+100</f>
        <v>1055</v>
      </c>
      <c r="AC30" s="37">
        <f t="shared" si="35"/>
        <v>0</v>
      </c>
      <c r="AD30" s="263"/>
      <c r="AE30" s="263"/>
      <c r="AF30" s="268"/>
      <c r="AG30" s="263"/>
      <c r="AH30" s="261"/>
      <c r="AI30" s="263"/>
      <c r="AJ30" s="261"/>
      <c r="AK30" s="263"/>
      <c r="AL30" s="261"/>
      <c r="AM30" s="249"/>
      <c r="AN30" s="249"/>
      <c r="AO30" s="251"/>
    </row>
    <row r="31" spans="1:41" ht="18.75" customHeight="1" thickBot="1" x14ac:dyDescent="0.3">
      <c r="A31" s="265"/>
      <c r="B31" s="159" t="s">
        <v>45</v>
      </c>
      <c r="C31" s="302"/>
      <c r="D31" s="42" t="s">
        <v>46</v>
      </c>
      <c r="E31" s="25">
        <v>1300</v>
      </c>
      <c r="F31" s="25"/>
      <c r="G31" s="25">
        <f>1183</f>
        <v>1183</v>
      </c>
      <c r="H31" s="25">
        <f t="shared" si="28"/>
        <v>-117</v>
      </c>
      <c r="I31" s="25"/>
      <c r="J31" s="25">
        <f>520+663</f>
        <v>1183</v>
      </c>
      <c r="K31" s="25">
        <f t="shared" si="29"/>
        <v>0</v>
      </c>
      <c r="L31" s="25"/>
      <c r="M31" s="25">
        <f>110+27+199+280+238+135+183+11</f>
        <v>1183</v>
      </c>
      <c r="N31" s="25">
        <f t="shared" si="30"/>
        <v>0</v>
      </c>
      <c r="O31" s="25"/>
      <c r="P31" s="25">
        <f>854+135+183+11</f>
        <v>1183</v>
      </c>
      <c r="Q31" s="25">
        <f t="shared" si="31"/>
        <v>0</v>
      </c>
      <c r="R31" s="25"/>
      <c r="S31" s="25">
        <f>530+420+150+83</f>
        <v>1183</v>
      </c>
      <c r="T31" s="43">
        <f t="shared" si="32"/>
        <v>0</v>
      </c>
      <c r="U31" s="25"/>
      <c r="V31" s="25">
        <f>130+400+420+150+83</f>
        <v>1183</v>
      </c>
      <c r="W31" s="43">
        <f t="shared" si="33"/>
        <v>0</v>
      </c>
      <c r="X31" s="25"/>
      <c r="Y31" s="25">
        <f>100+190+190+320+190</f>
        <v>990</v>
      </c>
      <c r="Z31" s="25">
        <f t="shared" si="34"/>
        <v>-193</v>
      </c>
      <c r="AA31" s="25"/>
      <c r="AB31" s="25">
        <f>100+190+190+320+190</f>
        <v>990</v>
      </c>
      <c r="AC31" s="44">
        <f t="shared" si="35"/>
        <v>0</v>
      </c>
      <c r="AD31" s="263"/>
      <c r="AE31" s="263"/>
      <c r="AF31" s="268"/>
      <c r="AG31" s="263"/>
      <c r="AH31" s="261"/>
      <c r="AI31" s="263"/>
      <c r="AJ31" s="261"/>
      <c r="AK31" s="263"/>
      <c r="AL31" s="261"/>
      <c r="AM31" s="249"/>
      <c r="AN31" s="249"/>
      <c r="AO31" s="251"/>
    </row>
    <row r="32" spans="1:41" ht="18" thickBot="1" x14ac:dyDescent="0.3">
      <c r="A32" s="265"/>
      <c r="B32" s="253" t="s">
        <v>34</v>
      </c>
      <c r="C32" s="254"/>
      <c r="D32" s="255"/>
      <c r="E32" s="24">
        <f>+SUM(E29:E31)</f>
        <v>4190</v>
      </c>
      <c r="F32" s="24">
        <f t="shared" ref="F32:AC32" si="36">+SUM(F29:F31)</f>
        <v>0</v>
      </c>
      <c r="G32" s="24">
        <f t="shared" si="36"/>
        <v>3853</v>
      </c>
      <c r="H32" s="24">
        <f t="shared" si="36"/>
        <v>-337</v>
      </c>
      <c r="I32" s="24">
        <f t="shared" si="36"/>
        <v>0</v>
      </c>
      <c r="J32" s="24">
        <f t="shared" si="36"/>
        <v>3853</v>
      </c>
      <c r="K32" s="24">
        <f t="shared" si="36"/>
        <v>0</v>
      </c>
      <c r="L32" s="24">
        <f t="shared" si="36"/>
        <v>0</v>
      </c>
      <c r="M32" s="24">
        <f t="shared" si="36"/>
        <v>3843</v>
      </c>
      <c r="N32" s="24">
        <f t="shared" si="36"/>
        <v>-10</v>
      </c>
      <c r="O32" s="24">
        <f t="shared" si="36"/>
        <v>0</v>
      </c>
      <c r="P32" s="24">
        <f t="shared" si="36"/>
        <v>3843</v>
      </c>
      <c r="Q32" s="24">
        <f t="shared" si="36"/>
        <v>0</v>
      </c>
      <c r="R32" s="24">
        <f t="shared" si="36"/>
        <v>0</v>
      </c>
      <c r="S32" s="24">
        <f t="shared" si="36"/>
        <v>3843</v>
      </c>
      <c r="T32" s="24">
        <f t="shared" si="36"/>
        <v>0</v>
      </c>
      <c r="U32" s="24">
        <f t="shared" si="36"/>
        <v>0</v>
      </c>
      <c r="V32" s="24">
        <f t="shared" si="36"/>
        <v>3843</v>
      </c>
      <c r="W32" s="24">
        <f t="shared" si="36"/>
        <v>0</v>
      </c>
      <c r="X32" s="24">
        <f t="shared" si="36"/>
        <v>0</v>
      </c>
      <c r="Y32" s="24">
        <f t="shared" si="36"/>
        <v>3230</v>
      </c>
      <c r="Z32" s="24">
        <f t="shared" si="36"/>
        <v>-613</v>
      </c>
      <c r="AA32" s="24">
        <f t="shared" si="36"/>
        <v>0</v>
      </c>
      <c r="AB32" s="24">
        <f t="shared" si="36"/>
        <v>3230</v>
      </c>
      <c r="AC32" s="24">
        <f t="shared" si="36"/>
        <v>0</v>
      </c>
      <c r="AD32" s="264"/>
      <c r="AE32" s="264"/>
      <c r="AF32" s="269"/>
      <c r="AG32" s="264"/>
      <c r="AH32" s="262"/>
      <c r="AI32" s="264"/>
      <c r="AJ32" s="262"/>
      <c r="AK32" s="264"/>
      <c r="AL32" s="262"/>
      <c r="AM32" s="250"/>
      <c r="AN32" s="250"/>
      <c r="AO32" s="252"/>
    </row>
    <row r="33" spans="1:41" ht="18" customHeight="1" thickBot="1" x14ac:dyDescent="0.3">
      <c r="A33" s="266"/>
      <c r="B33" s="256" t="s">
        <v>40</v>
      </c>
      <c r="C33" s="256"/>
      <c r="D33" s="257"/>
      <c r="E33" s="26">
        <f>E32</f>
        <v>4190</v>
      </c>
      <c r="F33" s="26">
        <f t="shared" ref="F33:AC33" si="37">F32</f>
        <v>0</v>
      </c>
      <c r="G33" s="26">
        <f t="shared" si="37"/>
        <v>3853</v>
      </c>
      <c r="H33" s="26">
        <f t="shared" si="37"/>
        <v>-337</v>
      </c>
      <c r="I33" s="26">
        <f t="shared" si="37"/>
        <v>0</v>
      </c>
      <c r="J33" s="26">
        <f t="shared" si="37"/>
        <v>3853</v>
      </c>
      <c r="K33" s="26">
        <f t="shared" si="37"/>
        <v>0</v>
      </c>
      <c r="L33" s="26">
        <f t="shared" si="37"/>
        <v>0</v>
      </c>
      <c r="M33" s="26">
        <f t="shared" si="37"/>
        <v>3843</v>
      </c>
      <c r="N33" s="26">
        <f t="shared" si="37"/>
        <v>-10</v>
      </c>
      <c r="O33" s="26">
        <f t="shared" si="37"/>
        <v>0</v>
      </c>
      <c r="P33" s="26">
        <f t="shared" si="37"/>
        <v>3843</v>
      </c>
      <c r="Q33" s="26">
        <f t="shared" si="37"/>
        <v>0</v>
      </c>
      <c r="R33" s="26">
        <f t="shared" si="37"/>
        <v>0</v>
      </c>
      <c r="S33" s="26">
        <f t="shared" si="37"/>
        <v>3843</v>
      </c>
      <c r="T33" s="26">
        <f t="shared" si="37"/>
        <v>0</v>
      </c>
      <c r="U33" s="26">
        <f t="shared" si="37"/>
        <v>0</v>
      </c>
      <c r="V33" s="26">
        <f t="shared" si="37"/>
        <v>3843</v>
      </c>
      <c r="W33" s="26">
        <f t="shared" si="37"/>
        <v>0</v>
      </c>
      <c r="X33" s="26">
        <f t="shared" si="37"/>
        <v>0</v>
      </c>
      <c r="Y33" s="26">
        <f t="shared" si="37"/>
        <v>3230</v>
      </c>
      <c r="Z33" s="26">
        <f t="shared" si="37"/>
        <v>-613</v>
      </c>
      <c r="AA33" s="26">
        <f t="shared" si="37"/>
        <v>0</v>
      </c>
      <c r="AB33" s="26">
        <f t="shared" si="37"/>
        <v>3230</v>
      </c>
      <c r="AC33" s="26">
        <f t="shared" si="37"/>
        <v>0</v>
      </c>
      <c r="AD33" s="45">
        <f t="shared" ref="AD33:AL33" si="38">SUM(AD29:AD32)</f>
        <v>0</v>
      </c>
      <c r="AE33" s="45">
        <f t="shared" si="38"/>
        <v>2887</v>
      </c>
      <c r="AF33" s="46">
        <f t="shared" si="38"/>
        <v>33.130000000000003</v>
      </c>
      <c r="AG33" s="45">
        <f t="shared" si="38"/>
        <v>1</v>
      </c>
      <c r="AH33" s="45">
        <f t="shared" si="38"/>
        <v>403</v>
      </c>
      <c r="AI33" s="45">
        <f t="shared" si="38"/>
        <v>0</v>
      </c>
      <c r="AJ33" s="45">
        <f t="shared" si="38"/>
        <v>119</v>
      </c>
      <c r="AK33" s="45">
        <f t="shared" si="38"/>
        <v>0</v>
      </c>
      <c r="AL33" s="45">
        <f t="shared" si="38"/>
        <v>31</v>
      </c>
      <c r="AM33" s="47">
        <f>L33*AF33/480/AG33</f>
        <v>0</v>
      </c>
      <c r="AN33" s="48">
        <f>M33*AF33/480/AH33</f>
        <v>0.65818129652605462</v>
      </c>
      <c r="AO33" s="49"/>
    </row>
    <row r="34" spans="1:41" s="60" customFormat="1" ht="15.75" thickBot="1" x14ac:dyDescent="0.3">
      <c r="A34" s="50"/>
      <c r="B34" s="51"/>
      <c r="C34" s="51"/>
      <c r="D34" s="51"/>
      <c r="E34" s="51"/>
      <c r="F34" s="52"/>
      <c r="G34" s="51"/>
      <c r="H34" s="51"/>
      <c r="I34" s="153"/>
      <c r="J34" s="54"/>
      <c r="K34" s="51"/>
      <c r="L34" s="55"/>
      <c r="M34" s="51"/>
      <c r="N34" s="51"/>
      <c r="O34" s="56"/>
      <c r="P34" s="51"/>
      <c r="Q34" s="51"/>
      <c r="R34" s="55"/>
      <c r="S34" s="51"/>
      <c r="T34" s="51"/>
      <c r="U34" s="55"/>
      <c r="V34" s="51"/>
      <c r="W34" s="51"/>
      <c r="X34" s="55"/>
      <c r="Y34" s="51"/>
      <c r="Z34" s="51"/>
      <c r="AA34" s="55"/>
      <c r="AB34" s="51"/>
      <c r="AC34" s="51"/>
      <c r="AD34" s="152"/>
      <c r="AE34" s="58"/>
      <c r="AF34" s="51"/>
      <c r="AG34" s="152"/>
      <c r="AH34" s="58"/>
      <c r="AI34" s="152"/>
      <c r="AJ34" s="58"/>
      <c r="AK34" s="152"/>
      <c r="AL34" s="58"/>
      <c r="AM34" s="152"/>
      <c r="AN34" s="55"/>
      <c r="AO34" s="59"/>
    </row>
    <row r="35" spans="1:41" s="60" customFormat="1" ht="15.75" thickBot="1" x14ac:dyDescent="0.3">
      <c r="A35" s="258" t="s">
        <v>47</v>
      </c>
      <c r="B35" s="259"/>
      <c r="C35" s="259"/>
      <c r="D35" s="259"/>
      <c r="E35" s="260"/>
      <c r="F35" s="63">
        <f>F33+F28</f>
        <v>640</v>
      </c>
      <c r="G35" s="64"/>
      <c r="H35" s="64"/>
      <c r="I35" s="63">
        <f>I33+I28</f>
        <v>100</v>
      </c>
      <c r="J35" s="64"/>
      <c r="K35" s="65">
        <f>K33+K28</f>
        <v>-540</v>
      </c>
      <c r="L35" s="66">
        <f>L33+L28</f>
        <v>374</v>
      </c>
      <c r="M35" s="64"/>
      <c r="N35" s="65">
        <f>N33+N28</f>
        <v>-1960</v>
      </c>
      <c r="O35" s="66">
        <f>O33+O28</f>
        <v>374</v>
      </c>
      <c r="P35" s="64"/>
      <c r="Q35" s="65">
        <f>Q33+Q28</f>
        <v>0</v>
      </c>
      <c r="R35" s="66">
        <f>R33+R28</f>
        <v>0</v>
      </c>
      <c r="S35" s="64"/>
      <c r="T35" s="65">
        <f>T33+T28</f>
        <v>-638</v>
      </c>
      <c r="U35" s="66">
        <f>U33+U28</f>
        <v>0</v>
      </c>
      <c r="V35" s="64"/>
      <c r="W35" s="65">
        <f>W33+W28</f>
        <v>-170</v>
      </c>
      <c r="X35" s="66">
        <f>X33+X28</f>
        <v>0</v>
      </c>
      <c r="Y35" s="64"/>
      <c r="Z35" s="65">
        <f>Z33+Z28</f>
        <v>-2371</v>
      </c>
      <c r="AA35" s="66">
        <f>AA33+AA28</f>
        <v>0</v>
      </c>
      <c r="AB35" s="64"/>
      <c r="AC35" s="65">
        <f>AC33+AC28</f>
        <v>0</v>
      </c>
      <c r="AD35" s="67">
        <f>AD33+AD28</f>
        <v>374</v>
      </c>
      <c r="AE35" s="65">
        <f>AE33+AE28</f>
        <v>5435</v>
      </c>
      <c r="AF35" s="64"/>
      <c r="AG35" s="63">
        <f>AG33+AG28</f>
        <v>26</v>
      </c>
      <c r="AH35" s="68"/>
      <c r="AI35" s="63">
        <f>AI33+AI28</f>
        <v>14</v>
      </c>
      <c r="AJ35" s="68"/>
      <c r="AK35" s="63">
        <f>AK33+AK28</f>
        <v>2</v>
      </c>
      <c r="AL35" s="68"/>
      <c r="AM35" s="69">
        <f>SUM(AM33+AM28)/2</f>
        <v>0.48552212500000003</v>
      </c>
      <c r="AN35" s="69">
        <f>SUM(AN33+AN28)/2</f>
        <v>0.68098232379494217</v>
      </c>
      <c r="AO35" s="70"/>
    </row>
    <row r="36" spans="1:41" s="60" customFormat="1" ht="15" x14ac:dyDescent="0.25">
      <c r="O36" s="71"/>
    </row>
    <row r="37" spans="1:41" s="60" customFormat="1" ht="15" x14ac:dyDescent="0.25">
      <c r="O37" s="71"/>
      <c r="W37" s="60" t="s">
        <v>5</v>
      </c>
      <c r="Z37" s="60" t="s">
        <v>5</v>
      </c>
      <c r="AC37" s="60" t="s">
        <v>5</v>
      </c>
    </row>
  </sheetData>
  <mergeCells count="75"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  <mergeCell ref="AM4:AN4"/>
    <mergeCell ref="AO4:AO5"/>
    <mergeCell ref="A6:A28"/>
    <mergeCell ref="B6:B9"/>
    <mergeCell ref="C6:C18"/>
    <mergeCell ref="AD6:AD19"/>
    <mergeCell ref="AE6:AE19"/>
    <mergeCell ref="AF6:AF19"/>
    <mergeCell ref="AG6:AG19"/>
    <mergeCell ref="AH6:AH19"/>
    <mergeCell ref="X4:Z4"/>
    <mergeCell ref="AA4:AC4"/>
    <mergeCell ref="AD4:AE4"/>
    <mergeCell ref="AG4:AH4"/>
    <mergeCell ref="AI4:AJ4"/>
    <mergeCell ref="AK4:AL4"/>
    <mergeCell ref="AO6:AO19"/>
    <mergeCell ref="B10:B13"/>
    <mergeCell ref="B14:B18"/>
    <mergeCell ref="B19:D19"/>
    <mergeCell ref="B28:D28"/>
    <mergeCell ref="AI6:AI19"/>
    <mergeCell ref="AJ6:AJ19"/>
    <mergeCell ref="AK6:AK19"/>
    <mergeCell ref="AL6:AL19"/>
    <mergeCell ref="AM6:AM19"/>
    <mergeCell ref="AN6:AN19"/>
    <mergeCell ref="AN20:AN27"/>
    <mergeCell ref="AO20:AO27"/>
    <mergeCell ref="B27:D27"/>
    <mergeCell ref="AH20:AH27"/>
    <mergeCell ref="AI20:AI27"/>
    <mergeCell ref="A35:E35"/>
    <mergeCell ref="AG29:AG32"/>
    <mergeCell ref="AH29:AH32"/>
    <mergeCell ref="AI29:AI32"/>
    <mergeCell ref="AJ29:AJ32"/>
    <mergeCell ref="A29:A33"/>
    <mergeCell ref="C29:C31"/>
    <mergeCell ref="AD29:AD32"/>
    <mergeCell ref="AE29:AE32"/>
    <mergeCell ref="AF29:AF32"/>
    <mergeCell ref="AM29:AM32"/>
    <mergeCell ref="AN29:AN32"/>
    <mergeCell ref="AO29:AO32"/>
    <mergeCell ref="B32:D32"/>
    <mergeCell ref="B33:D33"/>
    <mergeCell ref="AK29:AK32"/>
    <mergeCell ref="AL29:AL32"/>
    <mergeCell ref="AJ20:AJ27"/>
    <mergeCell ref="AK20:AK27"/>
    <mergeCell ref="AL20:AL27"/>
    <mergeCell ref="AM20:AM27"/>
    <mergeCell ref="B20:B26"/>
    <mergeCell ref="C20:C26"/>
    <mergeCell ref="AD20:AD27"/>
    <mergeCell ref="AE20:AE27"/>
    <mergeCell ref="AF20:AF27"/>
    <mergeCell ref="AG20:AG27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35" max="55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X33" sqref="X33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5.7109375" style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6.14062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5.42578125" style="1" bestFit="1" customWidth="1"/>
    <col min="18" max="18" width="7.85546875" style="1" customWidth="1"/>
    <col min="19" max="19" width="8.85546875" style="1" customWidth="1"/>
    <col min="20" max="20" width="7.42578125" style="1" bestFit="1" customWidth="1"/>
    <col min="21" max="21" width="8.42578125" style="1" customWidth="1"/>
    <col min="22" max="22" width="7.85546875" style="1" customWidth="1"/>
    <col min="23" max="23" width="7.425781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45370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52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162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160" t="s">
        <v>26</v>
      </c>
      <c r="G5" s="9" t="s">
        <v>27</v>
      </c>
      <c r="H5" s="10" t="s">
        <v>28</v>
      </c>
      <c r="I5" s="162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161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162" t="s">
        <v>26</v>
      </c>
      <c r="AE5" s="9" t="s">
        <v>27</v>
      </c>
      <c r="AF5" s="160" t="s">
        <v>26</v>
      </c>
      <c r="AG5" s="160" t="s">
        <v>26</v>
      </c>
      <c r="AH5" s="9" t="s">
        <v>27</v>
      </c>
      <c r="AI5" s="160" t="s">
        <v>26</v>
      </c>
      <c r="AJ5" s="15" t="s">
        <v>27</v>
      </c>
      <c r="AK5" s="160" t="s">
        <v>26</v>
      </c>
      <c r="AL5" s="9" t="s">
        <v>27</v>
      </c>
      <c r="AM5" s="162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164">
        <v>680</v>
      </c>
      <c r="F6" s="164"/>
      <c r="G6" s="164">
        <f>680</f>
        <v>680</v>
      </c>
      <c r="H6" s="164">
        <f t="shared" ref="H6:H18" si="0">G6-E6</f>
        <v>0</v>
      </c>
      <c r="I6" s="164"/>
      <c r="J6" s="164">
        <f>428+252</f>
        <v>680</v>
      </c>
      <c r="K6" s="164">
        <f t="shared" ref="K6:K18" si="1">J6-G6</f>
        <v>0</v>
      </c>
      <c r="L6" s="164">
        <v>7</v>
      </c>
      <c r="M6" s="164">
        <f>62+144+4+9+26+75+226+36+4+6+7</f>
        <v>599</v>
      </c>
      <c r="N6" s="164">
        <f t="shared" ref="N6:N18" si="2">M6-J6</f>
        <v>-81</v>
      </c>
      <c r="O6" s="164">
        <v>7</v>
      </c>
      <c r="P6" s="119">
        <f>546+36+4+6+7</f>
        <v>599</v>
      </c>
      <c r="Q6" s="164">
        <f t="shared" ref="Q6:Q18" si="3">P6-M6</f>
        <v>0</v>
      </c>
      <c r="R6" s="18">
        <v>12</v>
      </c>
      <c r="S6" s="18">
        <f>210+330+40+12</f>
        <v>592</v>
      </c>
      <c r="T6" s="18">
        <f t="shared" ref="T6:T18" si="4">S6-P6</f>
        <v>-7</v>
      </c>
      <c r="U6" s="18"/>
      <c r="V6" s="18">
        <f>200+340+40</f>
        <v>580</v>
      </c>
      <c r="W6" s="18">
        <f t="shared" ref="W6:W18" si="5">V6-S6</f>
        <v>-12</v>
      </c>
      <c r="X6" s="164">
        <v>40</v>
      </c>
      <c r="Y6" s="164">
        <f>175+10+40</f>
        <v>225</v>
      </c>
      <c r="Z6" s="164">
        <f t="shared" ref="Z6:Z18" si="6">Y6-P6</f>
        <v>-374</v>
      </c>
      <c r="AA6" s="164">
        <v>40</v>
      </c>
      <c r="AB6" s="164">
        <f>175+10+40</f>
        <v>225</v>
      </c>
      <c r="AC6" s="19">
        <f t="shared" ref="AC6:AC18" si="7">AB6-Y6</f>
        <v>0</v>
      </c>
      <c r="AD6" s="267">
        <f>L19</f>
        <v>343</v>
      </c>
      <c r="AE6" s="267">
        <f>62+144+4+20+190+196+47+175+261+297+182+288+308+374+343</f>
        <v>2891</v>
      </c>
      <c r="AF6" s="282">
        <v>24.192</v>
      </c>
      <c r="AG6" s="267">
        <v>20</v>
      </c>
      <c r="AH6" s="277">
        <f>6+8+6+10+10+10+20+6+22+13+22+8+10+9+11+13+26+20+20</f>
        <v>250</v>
      </c>
      <c r="AI6" s="267">
        <v>12</v>
      </c>
      <c r="AJ6" s="277">
        <f>1+2+2+2+3+3+5+4+5+5+11+11+7+7+7+7+14+12+12</f>
        <v>120</v>
      </c>
      <c r="AK6" s="267">
        <v>1</v>
      </c>
      <c r="AL6" s="277">
        <f>1+1+1+1+1+1+1+1+1+1+1+1+2+1+1</f>
        <v>16</v>
      </c>
      <c r="AM6" s="270">
        <f>L19*AF6/480/AG6</f>
        <v>0.86435999999999991</v>
      </c>
      <c r="AN6" s="270">
        <f>M19*AF6/480/AH6</f>
        <v>0.58282560000000005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>
        <f>518-491</f>
        <v>27</v>
      </c>
      <c r="M7" s="20">
        <f>20+117+9+13+48+110+29+97+43+5+27</f>
        <v>518</v>
      </c>
      <c r="N7" s="20">
        <f t="shared" si="2"/>
        <v>-81</v>
      </c>
      <c r="O7" s="20">
        <v>27</v>
      </c>
      <c r="P7" s="20">
        <f>292+29+122+43+5+27</f>
        <v>518</v>
      </c>
      <c r="Q7" s="20">
        <f t="shared" si="3"/>
        <v>0</v>
      </c>
      <c r="R7" s="20">
        <v>11</v>
      </c>
      <c r="S7" s="20">
        <f>160+140+90+90+11</f>
        <v>491</v>
      </c>
      <c r="T7" s="20">
        <f t="shared" si="4"/>
        <v>-27</v>
      </c>
      <c r="U7" s="20"/>
      <c r="V7" s="20">
        <f>150+240+90</f>
        <v>480</v>
      </c>
      <c r="W7" s="20">
        <f t="shared" si="5"/>
        <v>-11</v>
      </c>
      <c r="X7" s="20">
        <v>125</v>
      </c>
      <c r="Y7" s="20">
        <f>130+10+160+125</f>
        <v>425</v>
      </c>
      <c r="Z7" s="20">
        <f t="shared" si="6"/>
        <v>-93</v>
      </c>
      <c r="AA7" s="20">
        <v>125</v>
      </c>
      <c r="AB7" s="20">
        <f>130+10+160+125</f>
        <v>425</v>
      </c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>
        <v>5</v>
      </c>
      <c r="M8" s="20">
        <f>73+187+25+59+76+42+58+4+3+5</f>
        <v>532</v>
      </c>
      <c r="N8" s="20">
        <f t="shared" si="2"/>
        <v>-145</v>
      </c>
      <c r="O8" s="20">
        <v>5</v>
      </c>
      <c r="P8" s="20">
        <f>420+42+58+4+3+5</f>
        <v>532</v>
      </c>
      <c r="Q8" s="20">
        <f t="shared" si="3"/>
        <v>0</v>
      </c>
      <c r="R8" s="20">
        <v>25</v>
      </c>
      <c r="S8" s="20">
        <f>250+150+50+50+25</f>
        <v>525</v>
      </c>
      <c r="T8" s="20">
        <f t="shared" si="4"/>
        <v>-7</v>
      </c>
      <c r="U8" s="20"/>
      <c r="V8" s="20">
        <f>250+200+50</f>
        <v>500</v>
      </c>
      <c r="W8" s="20">
        <f t="shared" si="5"/>
        <v>-25</v>
      </c>
      <c r="X8" s="20">
        <v>130</v>
      </c>
      <c r="Y8" s="20">
        <f>180+45+80+130</f>
        <v>435</v>
      </c>
      <c r="Z8" s="20">
        <f t="shared" si="6"/>
        <v>-97</v>
      </c>
      <c r="AA8" s="20">
        <v>130</v>
      </c>
      <c r="AB8" s="20">
        <f>180+45+80+130</f>
        <v>435</v>
      </c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>
        <v>5</v>
      </c>
      <c r="M9" s="20">
        <f>42+27+5+5</f>
        <v>79</v>
      </c>
      <c r="N9" s="20">
        <f t="shared" si="2"/>
        <v>-27</v>
      </c>
      <c r="O9" s="20">
        <v>5</v>
      </c>
      <c r="P9" s="20">
        <f>42+27+5+5</f>
        <v>79</v>
      </c>
      <c r="Q9" s="20">
        <f t="shared" si="3"/>
        <v>0</v>
      </c>
      <c r="R9" s="20">
        <v>14</v>
      </c>
      <c r="S9" s="20">
        <f>10+14</f>
        <v>24</v>
      </c>
      <c r="T9" s="20">
        <f t="shared" si="4"/>
        <v>-55</v>
      </c>
      <c r="U9" s="20"/>
      <c r="V9" s="20"/>
      <c r="W9" s="20">
        <f t="shared" si="5"/>
        <v>-24</v>
      </c>
      <c r="X9" s="20"/>
      <c r="Y9" s="20"/>
      <c r="Z9" s="20">
        <f t="shared" si="6"/>
        <v>-79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303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>
        <f>203-191</f>
        <v>12</v>
      </c>
      <c r="M10" s="20">
        <f>37+134+20+12</f>
        <v>203</v>
      </c>
      <c r="N10" s="20">
        <f t="shared" si="2"/>
        <v>-20</v>
      </c>
      <c r="O10" s="20">
        <v>12</v>
      </c>
      <c r="P10" s="20">
        <f>37+134+20+12</f>
        <v>203</v>
      </c>
      <c r="Q10" s="20">
        <f t="shared" si="3"/>
        <v>0</v>
      </c>
      <c r="R10" s="20">
        <v>20</v>
      </c>
      <c r="S10" s="20">
        <f>170+20</f>
        <v>190</v>
      </c>
      <c r="T10" s="20">
        <f t="shared" si="4"/>
        <v>-13</v>
      </c>
      <c r="U10" s="20">
        <v>150</v>
      </c>
      <c r="V10" s="20">
        <f>160</f>
        <v>160</v>
      </c>
      <c r="W10" s="20">
        <f t="shared" si="5"/>
        <v>-30</v>
      </c>
      <c r="X10" s="20"/>
      <c r="Y10" s="20"/>
      <c r="Z10" s="20">
        <f t="shared" si="6"/>
        <v>-203</v>
      </c>
      <c r="AA10" s="20"/>
      <c r="AB10" s="20"/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>
        <f>172+55</f>
        <v>227</v>
      </c>
      <c r="N11" s="20">
        <f t="shared" si="2"/>
        <v>0</v>
      </c>
      <c r="O11" s="20"/>
      <c r="P11" s="20">
        <f>172+55</f>
        <v>227</v>
      </c>
      <c r="Q11" s="20">
        <f t="shared" si="3"/>
        <v>0</v>
      </c>
      <c r="R11" s="20">
        <v>60</v>
      </c>
      <c r="S11" s="20">
        <f>160+60</f>
        <v>220</v>
      </c>
      <c r="T11" s="20">
        <f t="shared" si="4"/>
        <v>-7</v>
      </c>
      <c r="U11" s="20">
        <v>210</v>
      </c>
      <c r="V11" s="20">
        <f>10+210</f>
        <v>220</v>
      </c>
      <c r="W11" s="20">
        <f t="shared" si="5"/>
        <v>0</v>
      </c>
      <c r="X11" s="20"/>
      <c r="Y11" s="20"/>
      <c r="Z11" s="20">
        <f t="shared" si="6"/>
        <v>-227</v>
      </c>
      <c r="AA11" s="20"/>
      <c r="AB11" s="20"/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>
        <v>12</v>
      </c>
      <c r="M12" s="20">
        <f>156+20+12</f>
        <v>188</v>
      </c>
      <c r="N12" s="20">
        <f t="shared" si="2"/>
        <v>-54</v>
      </c>
      <c r="O12" s="20">
        <v>12</v>
      </c>
      <c r="P12" s="20">
        <f>156+20+12</f>
        <v>188</v>
      </c>
      <c r="Q12" s="20">
        <f t="shared" si="3"/>
        <v>0</v>
      </c>
      <c r="R12" s="20">
        <f>181-10</f>
        <v>171</v>
      </c>
      <c r="S12" s="20">
        <f>10+171</f>
        <v>181</v>
      </c>
      <c r="T12" s="20">
        <f t="shared" si="4"/>
        <v>-7</v>
      </c>
      <c r="U12" s="20">
        <v>160</v>
      </c>
      <c r="V12" s="20">
        <f>170</f>
        <v>170</v>
      </c>
      <c r="W12" s="20">
        <f t="shared" si="5"/>
        <v>-11</v>
      </c>
      <c r="X12" s="20"/>
      <c r="Y12" s="20"/>
      <c r="Z12" s="20">
        <f t="shared" si="6"/>
        <v>-188</v>
      </c>
      <c r="AA12" s="20"/>
      <c r="AB12" s="20"/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x14ac:dyDescent="0.25">
      <c r="A13" s="283"/>
      <c r="B13" s="298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>
        <v>4</v>
      </c>
      <c r="M13" s="20">
        <f>10+108+4</f>
        <v>122</v>
      </c>
      <c r="N13" s="20">
        <f t="shared" si="2"/>
        <v>-49</v>
      </c>
      <c r="O13" s="20">
        <v>4</v>
      </c>
      <c r="P13" s="20">
        <f>10+108+4</f>
        <v>122</v>
      </c>
      <c r="Q13" s="20">
        <f t="shared" si="3"/>
        <v>0</v>
      </c>
      <c r="R13" s="20">
        <v>10</v>
      </c>
      <c r="S13" s="20">
        <f>10</f>
        <v>10</v>
      </c>
      <c r="T13" s="20">
        <f t="shared" si="4"/>
        <v>-112</v>
      </c>
      <c r="U13" s="20">
        <v>10</v>
      </c>
      <c r="V13" s="20">
        <f>10</f>
        <v>10</v>
      </c>
      <c r="W13" s="20">
        <f t="shared" si="5"/>
        <v>0</v>
      </c>
      <c r="X13" s="20"/>
      <c r="Y13" s="20"/>
      <c r="Z13" s="20">
        <f t="shared" si="6"/>
        <v>-122</v>
      </c>
      <c r="AA13" s="20"/>
      <c r="AB13" s="20"/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x14ac:dyDescent="0.25">
      <c r="A14" s="283"/>
      <c r="B14" s="279" t="s">
        <v>57</v>
      </c>
      <c r="C14" s="281"/>
      <c r="D14" s="20" t="s">
        <v>58</v>
      </c>
      <c r="E14" s="20">
        <v>350</v>
      </c>
      <c r="F14" s="20"/>
      <c r="G14" s="20">
        <f>328</f>
        <v>328</v>
      </c>
      <c r="H14" s="20">
        <f t="shared" si="0"/>
        <v>-22</v>
      </c>
      <c r="I14" s="20"/>
      <c r="J14" s="20">
        <f>328</f>
        <v>328</v>
      </c>
      <c r="K14" s="20">
        <f t="shared" si="1"/>
        <v>0</v>
      </c>
      <c r="L14" s="20">
        <v>151</v>
      </c>
      <c r="M14" s="20">
        <f>151</f>
        <v>151</v>
      </c>
      <c r="N14" s="20">
        <f t="shared" si="2"/>
        <v>-177</v>
      </c>
      <c r="O14" s="20">
        <v>151</v>
      </c>
      <c r="P14" s="20">
        <f>151</f>
        <v>151</v>
      </c>
      <c r="Q14" s="20">
        <f t="shared" si="3"/>
        <v>0</v>
      </c>
      <c r="R14" s="18"/>
      <c r="S14" s="18"/>
      <c r="T14" s="18">
        <f t="shared" si="4"/>
        <v>-151</v>
      </c>
      <c r="U14" s="18"/>
      <c r="V14" s="18"/>
      <c r="W14" s="18">
        <f t="shared" si="5"/>
        <v>0</v>
      </c>
      <c r="X14" s="20"/>
      <c r="Y14" s="20"/>
      <c r="Z14" s="20">
        <f t="shared" si="6"/>
        <v>-151</v>
      </c>
      <c r="AA14" s="20"/>
      <c r="AB14" s="20"/>
      <c r="AC14" s="21">
        <f t="shared" si="7"/>
        <v>0</v>
      </c>
      <c r="AD14" s="263"/>
      <c r="AE14" s="263"/>
      <c r="AF14" s="268"/>
      <c r="AG14" s="263"/>
      <c r="AH14" s="261"/>
      <c r="AI14" s="263"/>
      <c r="AJ14" s="261"/>
      <c r="AK14" s="263"/>
      <c r="AL14" s="261"/>
      <c r="AM14" s="249"/>
      <c r="AN14" s="249"/>
      <c r="AO14" s="251"/>
    </row>
    <row r="15" spans="1:41" x14ac:dyDescent="0.25">
      <c r="A15" s="283"/>
      <c r="B15" s="279"/>
      <c r="C15" s="281"/>
      <c r="D15" s="20" t="s">
        <v>33</v>
      </c>
      <c r="E15" s="20">
        <v>375</v>
      </c>
      <c r="F15" s="20"/>
      <c r="G15" s="20">
        <f>350</f>
        <v>350</v>
      </c>
      <c r="H15" s="20">
        <f t="shared" si="0"/>
        <v>-25</v>
      </c>
      <c r="I15" s="20"/>
      <c r="J15" s="20">
        <f>350</f>
        <v>350</v>
      </c>
      <c r="K15" s="20">
        <f t="shared" si="1"/>
        <v>0</v>
      </c>
      <c r="L15" s="20">
        <f>272-152</f>
        <v>120</v>
      </c>
      <c r="M15" s="20">
        <f>152+120</f>
        <v>272</v>
      </c>
      <c r="N15" s="20">
        <f t="shared" si="2"/>
        <v>-78</v>
      </c>
      <c r="O15" s="20">
        <v>120</v>
      </c>
      <c r="P15" s="20">
        <f>152+120</f>
        <v>272</v>
      </c>
      <c r="Q15" s="20">
        <f t="shared" si="3"/>
        <v>0</v>
      </c>
      <c r="R15" s="20"/>
      <c r="S15" s="20"/>
      <c r="T15" s="20">
        <f t="shared" si="4"/>
        <v>-272</v>
      </c>
      <c r="U15" s="20"/>
      <c r="V15" s="20"/>
      <c r="W15" s="20">
        <f t="shared" si="5"/>
        <v>0</v>
      </c>
      <c r="X15" s="20"/>
      <c r="Y15" s="20"/>
      <c r="Z15" s="20">
        <f t="shared" si="6"/>
        <v>-272</v>
      </c>
      <c r="AA15" s="20"/>
      <c r="AB15" s="20"/>
      <c r="AC15" s="21">
        <f t="shared" si="7"/>
        <v>0</v>
      </c>
      <c r="AD15" s="263"/>
      <c r="AE15" s="263"/>
      <c r="AF15" s="268"/>
      <c r="AG15" s="263"/>
      <c r="AH15" s="261"/>
      <c r="AI15" s="263"/>
      <c r="AJ15" s="261"/>
      <c r="AK15" s="263"/>
      <c r="AL15" s="261"/>
      <c r="AM15" s="249"/>
      <c r="AN15" s="249"/>
      <c r="AO15" s="251"/>
    </row>
    <row r="16" spans="1:41" x14ac:dyDescent="0.25">
      <c r="A16" s="283"/>
      <c r="B16" s="279"/>
      <c r="C16" s="281"/>
      <c r="D16" s="20" t="s">
        <v>59</v>
      </c>
      <c r="E16" s="20">
        <v>375</v>
      </c>
      <c r="F16" s="20"/>
      <c r="G16" s="20">
        <f>213</f>
        <v>213</v>
      </c>
      <c r="H16" s="20">
        <f t="shared" si="0"/>
        <v>-162</v>
      </c>
      <c r="I16" s="20"/>
      <c r="J16" s="20">
        <f>213</f>
        <v>213</v>
      </c>
      <c r="K16" s="20">
        <f t="shared" si="1"/>
        <v>0</v>
      </c>
      <c r="L16" s="20"/>
      <c r="M16" s="20"/>
      <c r="N16" s="20">
        <f t="shared" si="2"/>
        <v>-213</v>
      </c>
      <c r="O16" s="20"/>
      <c r="P16" s="20"/>
      <c r="Q16" s="20">
        <f t="shared" si="3"/>
        <v>0</v>
      </c>
      <c r="R16" s="20"/>
      <c r="S16" s="20"/>
      <c r="T16" s="20">
        <f t="shared" si="4"/>
        <v>0</v>
      </c>
      <c r="U16" s="20"/>
      <c r="V16" s="20"/>
      <c r="W16" s="20">
        <f t="shared" si="5"/>
        <v>0</v>
      </c>
      <c r="X16" s="20"/>
      <c r="Y16" s="20"/>
      <c r="Z16" s="20">
        <f t="shared" si="6"/>
        <v>0</v>
      </c>
      <c r="AA16" s="20"/>
      <c r="AB16" s="20"/>
      <c r="AC16" s="21">
        <f t="shared" si="7"/>
        <v>0</v>
      </c>
      <c r="AD16" s="263"/>
      <c r="AE16" s="263"/>
      <c r="AF16" s="268"/>
      <c r="AG16" s="263"/>
      <c r="AH16" s="261"/>
      <c r="AI16" s="263"/>
      <c r="AJ16" s="261"/>
      <c r="AK16" s="263"/>
      <c r="AL16" s="261"/>
      <c r="AM16" s="249"/>
      <c r="AN16" s="249"/>
      <c r="AO16" s="251"/>
    </row>
    <row r="17" spans="1:41" x14ac:dyDescent="0.25">
      <c r="A17" s="283"/>
      <c r="B17" s="279"/>
      <c r="C17" s="281"/>
      <c r="D17" s="20" t="s">
        <v>60</v>
      </c>
      <c r="E17" s="20">
        <v>350</v>
      </c>
      <c r="F17" s="20"/>
      <c r="G17" s="20">
        <f>237</f>
        <v>237</v>
      </c>
      <c r="H17" s="20">
        <f t="shared" si="0"/>
        <v>-113</v>
      </c>
      <c r="I17" s="20"/>
      <c r="J17" s="20">
        <f>237</f>
        <v>237</v>
      </c>
      <c r="K17" s="20">
        <f t="shared" si="1"/>
        <v>0</v>
      </c>
      <c r="L17" s="20"/>
      <c r="M17" s="20"/>
      <c r="N17" s="20">
        <f t="shared" si="2"/>
        <v>-237</v>
      </c>
      <c r="O17" s="20"/>
      <c r="P17" s="20"/>
      <c r="Q17" s="20">
        <f t="shared" si="3"/>
        <v>0</v>
      </c>
      <c r="R17" s="20"/>
      <c r="S17" s="20"/>
      <c r="T17" s="20">
        <f t="shared" si="4"/>
        <v>0</v>
      </c>
      <c r="U17" s="20"/>
      <c r="V17" s="20"/>
      <c r="W17" s="20">
        <f t="shared" si="5"/>
        <v>0</v>
      </c>
      <c r="X17" s="20"/>
      <c r="Y17" s="20"/>
      <c r="Z17" s="20">
        <f t="shared" si="6"/>
        <v>0</v>
      </c>
      <c r="AA17" s="20"/>
      <c r="AB17" s="20"/>
      <c r="AC17" s="21">
        <f t="shared" si="7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" thickBot="1" x14ac:dyDescent="0.3">
      <c r="A18" s="283"/>
      <c r="B18" s="299"/>
      <c r="C18" s="281"/>
      <c r="D18" s="20" t="s">
        <v>61</v>
      </c>
      <c r="E18" s="20">
        <v>350</v>
      </c>
      <c r="F18" s="20"/>
      <c r="G18" s="20">
        <f>345</f>
        <v>345</v>
      </c>
      <c r="H18" s="20">
        <f t="shared" si="0"/>
        <v>-5</v>
      </c>
      <c r="I18" s="20"/>
      <c r="J18" s="20">
        <f>345</f>
        <v>345</v>
      </c>
      <c r="K18" s="20">
        <f t="shared" si="1"/>
        <v>0</v>
      </c>
      <c r="L18" s="20"/>
      <c r="M18" s="20"/>
      <c r="N18" s="20">
        <f t="shared" si="2"/>
        <v>-345</v>
      </c>
      <c r="O18" s="20"/>
      <c r="P18" s="20"/>
      <c r="Q18" s="20">
        <f t="shared" si="3"/>
        <v>0</v>
      </c>
      <c r="R18" s="25"/>
      <c r="S18" s="25"/>
      <c r="T18" s="25">
        <f t="shared" si="4"/>
        <v>0</v>
      </c>
      <c r="U18" s="25"/>
      <c r="V18" s="25"/>
      <c r="W18" s="25">
        <f t="shared" si="5"/>
        <v>0</v>
      </c>
      <c r="X18" s="20"/>
      <c r="Y18" s="20"/>
      <c r="Z18" s="20">
        <f t="shared" si="6"/>
        <v>0</v>
      </c>
      <c r="AA18" s="20"/>
      <c r="AB18" s="20"/>
      <c r="AC18" s="21">
        <f t="shared" si="7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83"/>
      <c r="B19" s="272" t="s">
        <v>34</v>
      </c>
      <c r="C19" s="273"/>
      <c r="D19" s="274"/>
      <c r="E19" s="23">
        <f>+SUM(E6:E18)</f>
        <v>4962</v>
      </c>
      <c r="F19" s="23">
        <f>+SUM(F6:F18)</f>
        <v>0</v>
      </c>
      <c r="G19" s="23">
        <f>SUM(G6:G18)</f>
        <v>4398</v>
      </c>
      <c r="H19" s="23">
        <f t="shared" ref="H19:AC19" si="8">+SUM(H6:H18)</f>
        <v>-564</v>
      </c>
      <c r="I19" s="23">
        <f t="shared" si="8"/>
        <v>0</v>
      </c>
      <c r="J19" s="23">
        <f t="shared" si="8"/>
        <v>4398</v>
      </c>
      <c r="K19" s="23">
        <f t="shared" si="8"/>
        <v>0</v>
      </c>
      <c r="L19" s="23">
        <f t="shared" si="8"/>
        <v>343</v>
      </c>
      <c r="M19" s="23">
        <f t="shared" si="8"/>
        <v>2891</v>
      </c>
      <c r="N19" s="23">
        <f t="shared" si="8"/>
        <v>-1507</v>
      </c>
      <c r="O19" s="23">
        <f t="shared" si="8"/>
        <v>343</v>
      </c>
      <c r="P19" s="23">
        <f t="shared" si="8"/>
        <v>2891</v>
      </c>
      <c r="Q19" s="23">
        <f t="shared" si="8"/>
        <v>0</v>
      </c>
      <c r="R19" s="24">
        <f t="shared" si="8"/>
        <v>323</v>
      </c>
      <c r="S19" s="24">
        <f t="shared" si="8"/>
        <v>2233</v>
      </c>
      <c r="T19" s="24">
        <f t="shared" si="8"/>
        <v>-658</v>
      </c>
      <c r="U19" s="24">
        <f t="shared" si="8"/>
        <v>530</v>
      </c>
      <c r="V19" s="24">
        <f t="shared" si="8"/>
        <v>2120</v>
      </c>
      <c r="W19" s="24">
        <f t="shared" si="8"/>
        <v>-113</v>
      </c>
      <c r="X19" s="23">
        <f t="shared" si="8"/>
        <v>295</v>
      </c>
      <c r="Y19" s="23">
        <f t="shared" si="8"/>
        <v>1085</v>
      </c>
      <c r="Z19" s="23">
        <f t="shared" si="8"/>
        <v>-1806</v>
      </c>
      <c r="AA19" s="23">
        <f t="shared" si="8"/>
        <v>295</v>
      </c>
      <c r="AB19" s="23">
        <f t="shared" si="8"/>
        <v>1085</v>
      </c>
      <c r="AC19" s="15">
        <f t="shared" si="8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.75" customHeight="1" x14ac:dyDescent="0.25">
      <c r="A20" s="283"/>
      <c r="B20" s="297" t="s">
        <v>62</v>
      </c>
      <c r="C20" s="280" t="s">
        <v>63</v>
      </c>
      <c r="D20" s="16" t="s">
        <v>33</v>
      </c>
      <c r="E20" s="164">
        <v>155</v>
      </c>
      <c r="F20" s="164">
        <v>8</v>
      </c>
      <c r="G20" s="164">
        <f>130+8</f>
        <v>138</v>
      </c>
      <c r="H20" s="164">
        <f t="shared" ref="H20:H26" si="9">G20-E20</f>
        <v>-17</v>
      </c>
      <c r="I20" s="164">
        <v>30</v>
      </c>
      <c r="J20" s="164">
        <f>100+30</f>
        <v>130</v>
      </c>
      <c r="K20" s="164">
        <f t="shared" ref="K20:K26" si="10">J20-G20</f>
        <v>-8</v>
      </c>
      <c r="L20" s="164"/>
      <c r="M20" s="164"/>
      <c r="N20" s="164">
        <f t="shared" ref="N20:N26" si="11">M20-J20</f>
        <v>-130</v>
      </c>
      <c r="O20" s="164"/>
      <c r="P20" s="119"/>
      <c r="Q20" s="164">
        <f t="shared" ref="Q20:Q26" si="12">P20-M20</f>
        <v>0</v>
      </c>
      <c r="R20" s="18"/>
      <c r="S20" s="18"/>
      <c r="T20" s="18">
        <f t="shared" ref="T20:T26" si="13">S20-P20</f>
        <v>0</v>
      </c>
      <c r="U20" s="18"/>
      <c r="V20" s="18"/>
      <c r="W20" s="18">
        <f t="shared" ref="W20:W26" si="14">V20-S20</f>
        <v>0</v>
      </c>
      <c r="X20" s="164"/>
      <c r="Y20" s="164"/>
      <c r="Z20" s="164">
        <f t="shared" ref="Z20:Z26" si="15">Y20-P20</f>
        <v>0</v>
      </c>
      <c r="AA20" s="164"/>
      <c r="AB20" s="164"/>
      <c r="AC20" s="19">
        <f t="shared" ref="AC20:AC26" si="16">AB20-Y20</f>
        <v>0</v>
      </c>
      <c r="AD20" s="267">
        <f>L27</f>
        <v>0</v>
      </c>
      <c r="AE20" s="267"/>
      <c r="AF20" s="282">
        <v>38.121000000000002</v>
      </c>
      <c r="AG20" s="267">
        <v>5</v>
      </c>
      <c r="AH20" s="277">
        <f>5+5</f>
        <v>10</v>
      </c>
      <c r="AI20" s="267">
        <v>2</v>
      </c>
      <c r="AJ20" s="277">
        <f>2+2</f>
        <v>4</v>
      </c>
      <c r="AK20" s="267">
        <v>1</v>
      </c>
      <c r="AL20" s="277">
        <f>1+1</f>
        <v>2</v>
      </c>
      <c r="AM20" s="270">
        <f>L27*AF20/480/AG20</f>
        <v>0</v>
      </c>
      <c r="AN20" s="270">
        <f>M27*AF20/480/AH20</f>
        <v>0</v>
      </c>
      <c r="AO20" s="271"/>
    </row>
    <row r="21" spans="1:41" x14ac:dyDescent="0.25">
      <c r="A21" s="283"/>
      <c r="B21" s="279"/>
      <c r="C21" s="281"/>
      <c r="D21" s="20" t="s">
        <v>64</v>
      </c>
      <c r="E21" s="20">
        <v>155</v>
      </c>
      <c r="F21" s="20">
        <v>17</v>
      </c>
      <c r="G21" s="20">
        <f>124+17</f>
        <v>141</v>
      </c>
      <c r="H21" s="20">
        <f t="shared" si="9"/>
        <v>-14</v>
      </c>
      <c r="I21" s="20"/>
      <c r="J21" s="20"/>
      <c r="K21" s="20">
        <f t="shared" si="10"/>
        <v>-141</v>
      </c>
      <c r="L21" s="20"/>
      <c r="M21" s="20"/>
      <c r="N21" s="20">
        <f t="shared" si="11"/>
        <v>0</v>
      </c>
      <c r="O21" s="20"/>
      <c r="P21" s="20"/>
      <c r="Q21" s="20">
        <f t="shared" si="12"/>
        <v>0</v>
      </c>
      <c r="R21" s="20"/>
      <c r="S21" s="20"/>
      <c r="T21" s="20">
        <f t="shared" si="13"/>
        <v>0</v>
      </c>
      <c r="U21" s="20"/>
      <c r="V21" s="20"/>
      <c r="W21" s="20">
        <f t="shared" si="14"/>
        <v>0</v>
      </c>
      <c r="X21" s="20"/>
      <c r="Y21" s="20"/>
      <c r="Z21" s="20">
        <f t="shared" si="15"/>
        <v>0</v>
      </c>
      <c r="AA21" s="20"/>
      <c r="AB21" s="20"/>
      <c r="AC21" s="21">
        <f t="shared" si="16"/>
        <v>0</v>
      </c>
      <c r="AD21" s="263"/>
      <c r="AE21" s="263"/>
      <c r="AF21" s="268"/>
      <c r="AG21" s="263"/>
      <c r="AH21" s="261"/>
      <c r="AI21" s="263"/>
      <c r="AJ21" s="261"/>
      <c r="AK21" s="263"/>
      <c r="AL21" s="261"/>
      <c r="AM21" s="249"/>
      <c r="AN21" s="249"/>
      <c r="AO21" s="251"/>
    </row>
    <row r="22" spans="1:41" x14ac:dyDescent="0.25">
      <c r="A22" s="283"/>
      <c r="B22" s="279"/>
      <c r="C22" s="281"/>
      <c r="D22" s="20" t="s">
        <v>65</v>
      </c>
      <c r="E22" s="20">
        <v>155</v>
      </c>
      <c r="F22" s="20">
        <v>9</v>
      </c>
      <c r="G22" s="20">
        <f>116+9</f>
        <v>125</v>
      </c>
      <c r="H22" s="20">
        <f t="shared" si="9"/>
        <v>-30</v>
      </c>
      <c r="I22" s="20">
        <v>116</v>
      </c>
      <c r="J22" s="20">
        <f>116</f>
        <v>116</v>
      </c>
      <c r="K22" s="20">
        <f t="shared" si="10"/>
        <v>-9</v>
      </c>
      <c r="L22" s="20"/>
      <c r="M22" s="20"/>
      <c r="N22" s="20">
        <f t="shared" si="11"/>
        <v>-116</v>
      </c>
      <c r="O22" s="20"/>
      <c r="P22" s="20"/>
      <c r="Q22" s="20">
        <f t="shared" si="12"/>
        <v>0</v>
      </c>
      <c r="R22" s="20"/>
      <c r="S22" s="20"/>
      <c r="T22" s="20">
        <f t="shared" si="13"/>
        <v>0</v>
      </c>
      <c r="U22" s="20"/>
      <c r="V22" s="20"/>
      <c r="W22" s="20">
        <f t="shared" si="14"/>
        <v>0</v>
      </c>
      <c r="X22" s="20"/>
      <c r="Y22" s="20"/>
      <c r="Z22" s="20">
        <f t="shared" si="15"/>
        <v>0</v>
      </c>
      <c r="AA22" s="20"/>
      <c r="AB22" s="20"/>
      <c r="AC22" s="21">
        <f t="shared" si="16"/>
        <v>0</v>
      </c>
      <c r="AD22" s="263"/>
      <c r="AE22" s="263"/>
      <c r="AF22" s="268"/>
      <c r="AG22" s="263"/>
      <c r="AH22" s="261"/>
      <c r="AI22" s="263"/>
      <c r="AJ22" s="261"/>
      <c r="AK22" s="263"/>
      <c r="AL22" s="261"/>
      <c r="AM22" s="249"/>
      <c r="AN22" s="249"/>
      <c r="AO22" s="251"/>
    </row>
    <row r="23" spans="1:41" x14ac:dyDescent="0.25">
      <c r="A23" s="283"/>
      <c r="B23" s="279"/>
      <c r="C23" s="281"/>
      <c r="D23" s="20" t="s">
        <v>66</v>
      </c>
      <c r="E23" s="20">
        <v>137</v>
      </c>
      <c r="F23" s="20"/>
      <c r="G23" s="20">
        <f>124</f>
        <v>124</v>
      </c>
      <c r="H23" s="20">
        <f t="shared" si="9"/>
        <v>-13</v>
      </c>
      <c r="I23" s="20"/>
      <c r="J23" s="20"/>
      <c r="K23" s="20">
        <f t="shared" si="10"/>
        <v>-124</v>
      </c>
      <c r="L23" s="20"/>
      <c r="M23" s="20"/>
      <c r="N23" s="20">
        <f t="shared" si="11"/>
        <v>0</v>
      </c>
      <c r="O23" s="20"/>
      <c r="P23" s="20"/>
      <c r="Q23" s="20">
        <f t="shared" si="12"/>
        <v>0</v>
      </c>
      <c r="R23" s="20"/>
      <c r="S23" s="20"/>
      <c r="T23" s="20">
        <f t="shared" si="13"/>
        <v>0</v>
      </c>
      <c r="U23" s="20"/>
      <c r="V23" s="20"/>
      <c r="W23" s="20">
        <f t="shared" si="14"/>
        <v>0</v>
      </c>
      <c r="X23" s="20"/>
      <c r="Y23" s="20"/>
      <c r="Z23" s="20">
        <f t="shared" si="15"/>
        <v>0</v>
      </c>
      <c r="AA23" s="20"/>
      <c r="AB23" s="20"/>
      <c r="AC23" s="21">
        <f t="shared" si="16"/>
        <v>0</v>
      </c>
      <c r="AD23" s="263"/>
      <c r="AE23" s="263"/>
      <c r="AF23" s="268"/>
      <c r="AG23" s="263"/>
      <c r="AH23" s="261"/>
      <c r="AI23" s="263"/>
      <c r="AJ23" s="261"/>
      <c r="AK23" s="263"/>
      <c r="AL23" s="261"/>
      <c r="AM23" s="249"/>
      <c r="AN23" s="249"/>
      <c r="AO23" s="251"/>
    </row>
    <row r="24" spans="1:41" x14ac:dyDescent="0.25">
      <c r="A24" s="283"/>
      <c r="B24" s="279"/>
      <c r="C24" s="281"/>
      <c r="D24" s="20" t="s">
        <v>67</v>
      </c>
      <c r="E24" s="20">
        <v>155</v>
      </c>
      <c r="F24" s="20"/>
      <c r="G24" s="20">
        <f>146</f>
        <v>146</v>
      </c>
      <c r="H24" s="20">
        <f t="shared" si="9"/>
        <v>-9</v>
      </c>
      <c r="I24" s="20"/>
      <c r="J24" s="20"/>
      <c r="K24" s="20">
        <f t="shared" si="10"/>
        <v>-146</v>
      </c>
      <c r="L24" s="20"/>
      <c r="M24" s="20"/>
      <c r="N24" s="20">
        <f t="shared" si="11"/>
        <v>0</v>
      </c>
      <c r="O24" s="20"/>
      <c r="P24" s="20"/>
      <c r="Q24" s="20">
        <f t="shared" si="12"/>
        <v>0</v>
      </c>
      <c r="R24" s="20"/>
      <c r="S24" s="20"/>
      <c r="T24" s="20">
        <f t="shared" si="13"/>
        <v>0</v>
      </c>
      <c r="U24" s="20"/>
      <c r="V24" s="20"/>
      <c r="W24" s="20">
        <f t="shared" si="14"/>
        <v>0</v>
      </c>
      <c r="X24" s="20"/>
      <c r="Y24" s="20"/>
      <c r="Z24" s="20">
        <f t="shared" si="15"/>
        <v>0</v>
      </c>
      <c r="AA24" s="20"/>
      <c r="AB24" s="20"/>
      <c r="AC24" s="21">
        <f t="shared" si="16"/>
        <v>0</v>
      </c>
      <c r="AD24" s="263"/>
      <c r="AE24" s="263"/>
      <c r="AF24" s="268"/>
      <c r="AG24" s="263"/>
      <c r="AH24" s="261"/>
      <c r="AI24" s="263"/>
      <c r="AJ24" s="261"/>
      <c r="AK24" s="263"/>
      <c r="AL24" s="261"/>
      <c r="AM24" s="249"/>
      <c r="AN24" s="249"/>
      <c r="AO24" s="251"/>
    </row>
    <row r="25" spans="1:41" x14ac:dyDescent="0.25">
      <c r="A25" s="283"/>
      <c r="B25" s="279"/>
      <c r="C25" s="281"/>
      <c r="D25" s="20" t="s">
        <v>68</v>
      </c>
      <c r="E25" s="20">
        <v>155</v>
      </c>
      <c r="F25" s="20"/>
      <c r="G25" s="20"/>
      <c r="H25" s="20">
        <f t="shared" si="9"/>
        <v>-155</v>
      </c>
      <c r="I25" s="20"/>
      <c r="J25" s="20"/>
      <c r="K25" s="20">
        <f t="shared" si="10"/>
        <v>0</v>
      </c>
      <c r="L25" s="20"/>
      <c r="M25" s="20"/>
      <c r="N25" s="20">
        <f t="shared" si="11"/>
        <v>0</v>
      </c>
      <c r="O25" s="20"/>
      <c r="P25" s="20"/>
      <c r="Q25" s="20">
        <f t="shared" si="12"/>
        <v>0</v>
      </c>
      <c r="R25" s="20"/>
      <c r="S25" s="20"/>
      <c r="T25" s="20">
        <f t="shared" si="13"/>
        <v>0</v>
      </c>
      <c r="U25" s="20"/>
      <c r="V25" s="20"/>
      <c r="W25" s="20">
        <f t="shared" si="14"/>
        <v>0</v>
      </c>
      <c r="X25" s="20"/>
      <c r="Y25" s="20"/>
      <c r="Z25" s="20">
        <f t="shared" si="15"/>
        <v>0</v>
      </c>
      <c r="AA25" s="20"/>
      <c r="AB25" s="20"/>
      <c r="AC25" s="21">
        <f t="shared" si="16"/>
        <v>0</v>
      </c>
      <c r="AD25" s="263"/>
      <c r="AE25" s="263"/>
      <c r="AF25" s="268"/>
      <c r="AG25" s="263"/>
      <c r="AH25" s="261"/>
      <c r="AI25" s="263"/>
      <c r="AJ25" s="261"/>
      <c r="AK25" s="263"/>
      <c r="AL25" s="261"/>
      <c r="AM25" s="249"/>
      <c r="AN25" s="249"/>
      <c r="AO25" s="251"/>
    </row>
    <row r="26" spans="1:41" ht="18" thickBot="1" x14ac:dyDescent="0.3">
      <c r="A26" s="283"/>
      <c r="B26" s="298"/>
      <c r="C26" s="281"/>
      <c r="D26" s="20" t="s">
        <v>60</v>
      </c>
      <c r="E26" s="20">
        <v>125</v>
      </c>
      <c r="F26" s="20">
        <v>116</v>
      </c>
      <c r="G26" s="20">
        <f>116</f>
        <v>116</v>
      </c>
      <c r="H26" s="20">
        <f t="shared" si="9"/>
        <v>-9</v>
      </c>
      <c r="I26" s="20"/>
      <c r="J26" s="20"/>
      <c r="K26" s="20">
        <f t="shared" si="10"/>
        <v>-116</v>
      </c>
      <c r="L26" s="20"/>
      <c r="M26" s="20"/>
      <c r="N26" s="20">
        <f t="shared" si="11"/>
        <v>0</v>
      </c>
      <c r="O26" s="20"/>
      <c r="P26" s="20"/>
      <c r="Q26" s="20">
        <f t="shared" si="12"/>
        <v>0</v>
      </c>
      <c r="R26" s="22"/>
      <c r="S26" s="22"/>
      <c r="T26" s="22">
        <f t="shared" si="13"/>
        <v>0</v>
      </c>
      <c r="U26" s="22"/>
      <c r="V26" s="22"/>
      <c r="W26" s="22">
        <f t="shared" si="14"/>
        <v>0</v>
      </c>
      <c r="X26" s="20"/>
      <c r="Y26" s="20"/>
      <c r="Z26" s="20">
        <f t="shared" si="15"/>
        <v>0</v>
      </c>
      <c r="AA26" s="20"/>
      <c r="AB26" s="20"/>
      <c r="AC26" s="21">
        <f t="shared" si="16"/>
        <v>0</v>
      </c>
      <c r="AD26" s="263"/>
      <c r="AE26" s="263"/>
      <c r="AF26" s="268"/>
      <c r="AG26" s="263"/>
      <c r="AH26" s="261"/>
      <c r="AI26" s="263"/>
      <c r="AJ26" s="261"/>
      <c r="AK26" s="263"/>
      <c r="AL26" s="261"/>
      <c r="AM26" s="249"/>
      <c r="AN26" s="249"/>
      <c r="AO26" s="251"/>
    </row>
    <row r="27" spans="1:41" ht="18" thickBot="1" x14ac:dyDescent="0.3">
      <c r="A27" s="283"/>
      <c r="B27" s="272" t="s">
        <v>34</v>
      </c>
      <c r="C27" s="273"/>
      <c r="D27" s="274"/>
      <c r="E27" s="23">
        <f>+SUM(E20:E26)</f>
        <v>1037</v>
      </c>
      <c r="F27" s="23">
        <f>+SUM(F20:F26)</f>
        <v>150</v>
      </c>
      <c r="G27" s="23">
        <f>SUM(G20:G26)</f>
        <v>790</v>
      </c>
      <c r="H27" s="23">
        <f t="shared" ref="H27:AC27" si="17">+SUM(H20:H26)</f>
        <v>-247</v>
      </c>
      <c r="I27" s="23">
        <f t="shared" si="17"/>
        <v>146</v>
      </c>
      <c r="J27" s="23">
        <f t="shared" si="17"/>
        <v>246</v>
      </c>
      <c r="K27" s="23">
        <f t="shared" si="17"/>
        <v>-544</v>
      </c>
      <c r="L27" s="23">
        <f t="shared" si="17"/>
        <v>0</v>
      </c>
      <c r="M27" s="23">
        <f t="shared" si="17"/>
        <v>0</v>
      </c>
      <c r="N27" s="23">
        <f t="shared" si="17"/>
        <v>-246</v>
      </c>
      <c r="O27" s="23">
        <f t="shared" si="17"/>
        <v>0</v>
      </c>
      <c r="P27" s="23">
        <f t="shared" si="17"/>
        <v>0</v>
      </c>
      <c r="Q27" s="23">
        <f t="shared" si="17"/>
        <v>0</v>
      </c>
      <c r="R27" s="24">
        <f t="shared" si="17"/>
        <v>0</v>
      </c>
      <c r="S27" s="24">
        <f t="shared" si="17"/>
        <v>0</v>
      </c>
      <c r="T27" s="24">
        <f t="shared" si="17"/>
        <v>0</v>
      </c>
      <c r="U27" s="24">
        <f t="shared" si="17"/>
        <v>0</v>
      </c>
      <c r="V27" s="24">
        <f t="shared" si="17"/>
        <v>0</v>
      </c>
      <c r="W27" s="24">
        <f t="shared" si="17"/>
        <v>0</v>
      </c>
      <c r="X27" s="23">
        <f t="shared" si="17"/>
        <v>0</v>
      </c>
      <c r="Y27" s="23">
        <f t="shared" si="17"/>
        <v>0</v>
      </c>
      <c r="Z27" s="23">
        <f t="shared" si="17"/>
        <v>0</v>
      </c>
      <c r="AA27" s="23">
        <f t="shared" si="17"/>
        <v>0</v>
      </c>
      <c r="AB27" s="23">
        <f t="shared" si="17"/>
        <v>0</v>
      </c>
      <c r="AC27" s="15">
        <f t="shared" si="17"/>
        <v>0</v>
      </c>
      <c r="AD27" s="264"/>
      <c r="AE27" s="264"/>
      <c r="AF27" s="269"/>
      <c r="AG27" s="264"/>
      <c r="AH27" s="262"/>
      <c r="AI27" s="264"/>
      <c r="AJ27" s="262"/>
      <c r="AK27" s="264"/>
      <c r="AL27" s="262"/>
      <c r="AM27" s="250"/>
      <c r="AN27" s="250"/>
      <c r="AO27" s="252"/>
    </row>
    <row r="28" spans="1:41" ht="18" thickBot="1" x14ac:dyDescent="0.3">
      <c r="A28" s="284"/>
      <c r="B28" s="275" t="s">
        <v>40</v>
      </c>
      <c r="C28" s="275"/>
      <c r="D28" s="276"/>
      <c r="E28" s="26">
        <f>E19+E27</f>
        <v>5999</v>
      </c>
      <c r="F28" s="26">
        <f t="shared" ref="F28:AC28" si="18">F19+F27</f>
        <v>150</v>
      </c>
      <c r="G28" s="26">
        <f t="shared" si="18"/>
        <v>5188</v>
      </c>
      <c r="H28" s="26">
        <f t="shared" si="18"/>
        <v>-811</v>
      </c>
      <c r="I28" s="26">
        <f t="shared" si="18"/>
        <v>146</v>
      </c>
      <c r="J28" s="26">
        <f t="shared" si="18"/>
        <v>4644</v>
      </c>
      <c r="K28" s="26">
        <f t="shared" si="18"/>
        <v>-544</v>
      </c>
      <c r="L28" s="26">
        <f t="shared" si="18"/>
        <v>343</v>
      </c>
      <c r="M28" s="26">
        <f t="shared" si="18"/>
        <v>2891</v>
      </c>
      <c r="N28" s="26">
        <f t="shared" si="18"/>
        <v>-1753</v>
      </c>
      <c r="O28" s="26">
        <f t="shared" si="18"/>
        <v>343</v>
      </c>
      <c r="P28" s="26">
        <f t="shared" si="18"/>
        <v>2891</v>
      </c>
      <c r="Q28" s="26">
        <f t="shared" si="18"/>
        <v>0</v>
      </c>
      <c r="R28" s="26">
        <f t="shared" si="18"/>
        <v>323</v>
      </c>
      <c r="S28" s="26">
        <f t="shared" si="18"/>
        <v>2233</v>
      </c>
      <c r="T28" s="26">
        <f t="shared" si="18"/>
        <v>-658</v>
      </c>
      <c r="U28" s="26">
        <f t="shared" si="18"/>
        <v>530</v>
      </c>
      <c r="V28" s="26">
        <f t="shared" si="18"/>
        <v>2120</v>
      </c>
      <c r="W28" s="26">
        <f t="shared" si="18"/>
        <v>-113</v>
      </c>
      <c r="X28" s="26">
        <f t="shared" si="18"/>
        <v>295</v>
      </c>
      <c r="Y28" s="26">
        <f t="shared" si="18"/>
        <v>1085</v>
      </c>
      <c r="Z28" s="26">
        <f t="shared" si="18"/>
        <v>-1806</v>
      </c>
      <c r="AA28" s="26">
        <f t="shared" si="18"/>
        <v>295</v>
      </c>
      <c r="AB28" s="26">
        <f t="shared" si="18"/>
        <v>1085</v>
      </c>
      <c r="AC28" s="26">
        <f t="shared" si="18"/>
        <v>0</v>
      </c>
      <c r="AD28" s="27">
        <f>SUM(AD6:AD27)</f>
        <v>343</v>
      </c>
      <c r="AE28" s="27">
        <f>SUM(AE6:AE27)</f>
        <v>2891</v>
      </c>
      <c r="AF28" s="27">
        <f>SUM(AF6:AF27)/2</f>
        <v>31.156500000000001</v>
      </c>
      <c r="AG28" s="27">
        <f t="shared" ref="AG28:AL28" si="19">SUM(AG6:AG27)</f>
        <v>25</v>
      </c>
      <c r="AH28" s="27">
        <f t="shared" si="19"/>
        <v>260</v>
      </c>
      <c r="AI28" s="27">
        <f t="shared" si="19"/>
        <v>14</v>
      </c>
      <c r="AJ28" s="27">
        <f t="shared" si="19"/>
        <v>124</v>
      </c>
      <c r="AK28" s="27">
        <f t="shared" si="19"/>
        <v>2</v>
      </c>
      <c r="AL28" s="27">
        <f t="shared" si="19"/>
        <v>18</v>
      </c>
      <c r="AM28" s="29">
        <f>L28*AF28/480/AG28</f>
        <v>0.89055662499999999</v>
      </c>
      <c r="AN28" s="30">
        <f>M28*AF28/480/AH28</f>
        <v>0.72174231971153846</v>
      </c>
      <c r="AO28" s="31"/>
    </row>
    <row r="29" spans="1:41" ht="18.75" customHeight="1" x14ac:dyDescent="0.25">
      <c r="A29" s="265" t="s">
        <v>32</v>
      </c>
      <c r="B29" s="163" t="s">
        <v>41</v>
      </c>
      <c r="C29" s="300" t="s">
        <v>37</v>
      </c>
      <c r="D29" s="34" t="s">
        <v>42</v>
      </c>
      <c r="E29" s="164">
        <v>1645</v>
      </c>
      <c r="F29" s="164"/>
      <c r="G29" s="164">
        <f>1433</f>
        <v>1433</v>
      </c>
      <c r="H29" s="164">
        <f t="shared" ref="H29:H31" si="20">G29-E29</f>
        <v>-212</v>
      </c>
      <c r="I29" s="164"/>
      <c r="J29" s="164">
        <f>100+200+300+350+400+83</f>
        <v>1433</v>
      </c>
      <c r="K29" s="164">
        <f t="shared" ref="K29:K31" si="21">J29-G29</f>
        <v>0</v>
      </c>
      <c r="L29" s="164"/>
      <c r="M29" s="164">
        <f>102+201+302+351-99-125-110+133+127+49+120+24+166+155+34</f>
        <v>1430</v>
      </c>
      <c r="N29" s="164">
        <f t="shared" ref="N29:N31" si="22">M29-J29</f>
        <v>-3</v>
      </c>
      <c r="O29" s="164"/>
      <c r="P29" s="164">
        <f>1075+166+155+34</f>
        <v>1430</v>
      </c>
      <c r="Q29" s="164">
        <f t="shared" ref="Q29:Q31" si="23">P29-M29</f>
        <v>0</v>
      </c>
      <c r="R29" s="164"/>
      <c r="S29" s="164">
        <f>970+260+50+150</f>
        <v>1430</v>
      </c>
      <c r="T29" s="35">
        <f t="shared" ref="T29:T31" si="24">S29-P29</f>
        <v>0</v>
      </c>
      <c r="U29" s="164"/>
      <c r="V29" s="164">
        <f>970+310+150</f>
        <v>1430</v>
      </c>
      <c r="W29" s="35">
        <f t="shared" ref="W29:W31" si="25">V29-S29</f>
        <v>0</v>
      </c>
      <c r="X29" s="164">
        <v>100</v>
      </c>
      <c r="Y29" s="164">
        <f>860+80+15+140+90+100</f>
        <v>1285</v>
      </c>
      <c r="Z29" s="164">
        <f t="shared" ref="Z29:Z31" si="26">Y29-P29</f>
        <v>-145</v>
      </c>
      <c r="AA29" s="164">
        <v>100</v>
      </c>
      <c r="AB29" s="164">
        <f>860+80+15+140+90+100</f>
        <v>1285</v>
      </c>
      <c r="AC29" s="33">
        <f t="shared" ref="AC29:AC31" si="27">AB29-Y29</f>
        <v>0</v>
      </c>
      <c r="AD29" s="267">
        <f>L32</f>
        <v>0</v>
      </c>
      <c r="AE29" s="263">
        <f>300+98+344+213+289+412+355+358+438+80</f>
        <v>2887</v>
      </c>
      <c r="AF29" s="268">
        <v>33.130000000000003</v>
      </c>
      <c r="AG29" s="263">
        <v>1</v>
      </c>
      <c r="AH29" s="261">
        <f>2+10+8+8+8+6+6+6+9+5+6+8+7+7+6+6+6+6+6+6+7+7+7+7+6+7+17+16+16+22+21+21+10+20+20+13+10+10+10+11+13</f>
        <v>403</v>
      </c>
      <c r="AI29" s="263"/>
      <c r="AJ29" s="261">
        <f>1+1+1+1+1+1+1+2+2+2+2+2+2+2+2+2+2+1+1+1+1+1+1+1+1+4+3+4+5+8+8+6+7+6+6+6+7+7+7</f>
        <v>119</v>
      </c>
      <c r="AK29" s="263"/>
      <c r="AL29" s="261">
        <f>1+1+1+1+1+1+1+1+1+1+1+1+1+1+1+1+2+2+2+2+2+1+1+1+1+1</f>
        <v>31</v>
      </c>
      <c r="AM29" s="249">
        <f>L32*AF29/480/AG29</f>
        <v>0</v>
      </c>
      <c r="AN29" s="249">
        <f>M32*AF29/480/AH29</f>
        <v>0.65818129652605462</v>
      </c>
      <c r="AO29" s="251"/>
    </row>
    <row r="30" spans="1:41" ht="18.75" customHeight="1" x14ac:dyDescent="0.25">
      <c r="A30" s="265"/>
      <c r="B30" s="36" t="s">
        <v>43</v>
      </c>
      <c r="C30" s="301"/>
      <c r="D30" s="38" t="s">
        <v>44</v>
      </c>
      <c r="E30" s="20">
        <v>1245</v>
      </c>
      <c r="F30" s="20"/>
      <c r="G30" s="20">
        <f>1237</f>
        <v>1237</v>
      </c>
      <c r="H30" s="20">
        <f t="shared" si="20"/>
        <v>-8</v>
      </c>
      <c r="I30" s="20"/>
      <c r="J30" s="20">
        <f>1237</f>
        <v>1237</v>
      </c>
      <c r="K30" s="20">
        <f t="shared" si="21"/>
        <v>0</v>
      </c>
      <c r="L30" s="20"/>
      <c r="M30" s="20">
        <f>300+99+125+110+98+101+59+41+12+93+57+100+35</f>
        <v>1230</v>
      </c>
      <c r="N30" s="20">
        <f t="shared" si="22"/>
        <v>-7</v>
      </c>
      <c r="O30" s="20"/>
      <c r="P30" s="20">
        <f>1038+57+100+35</f>
        <v>1230</v>
      </c>
      <c r="Q30" s="20">
        <f t="shared" si="23"/>
        <v>0</v>
      </c>
      <c r="R30" s="20"/>
      <c r="S30" s="20">
        <f>930+160+50+90</f>
        <v>1230</v>
      </c>
      <c r="T30" s="39">
        <f t="shared" si="24"/>
        <v>0</v>
      </c>
      <c r="U30" s="20"/>
      <c r="V30" s="20">
        <f>910+230+90</f>
        <v>1230</v>
      </c>
      <c r="W30" s="39">
        <f t="shared" si="25"/>
        <v>0</v>
      </c>
      <c r="X30" s="20">
        <v>130</v>
      </c>
      <c r="Y30" s="20">
        <f>750+75+40+90+100+130</f>
        <v>1185</v>
      </c>
      <c r="Z30" s="20">
        <f t="shared" si="26"/>
        <v>-45</v>
      </c>
      <c r="AA30" s="20">
        <v>130</v>
      </c>
      <c r="AB30" s="20">
        <f>750+75+40+90+100+130</f>
        <v>1185</v>
      </c>
      <c r="AC30" s="37">
        <f t="shared" si="27"/>
        <v>0</v>
      </c>
      <c r="AD30" s="263"/>
      <c r="AE30" s="263"/>
      <c r="AF30" s="268"/>
      <c r="AG30" s="263"/>
      <c r="AH30" s="261"/>
      <c r="AI30" s="263"/>
      <c r="AJ30" s="261"/>
      <c r="AK30" s="263"/>
      <c r="AL30" s="261"/>
      <c r="AM30" s="249"/>
      <c r="AN30" s="249"/>
      <c r="AO30" s="251"/>
    </row>
    <row r="31" spans="1:41" ht="18.75" customHeight="1" thickBot="1" x14ac:dyDescent="0.3">
      <c r="A31" s="265"/>
      <c r="B31" s="167" t="s">
        <v>45</v>
      </c>
      <c r="C31" s="302"/>
      <c r="D31" s="42" t="s">
        <v>46</v>
      </c>
      <c r="E31" s="25">
        <v>1300</v>
      </c>
      <c r="F31" s="25"/>
      <c r="G31" s="25">
        <f>1183</f>
        <v>1183</v>
      </c>
      <c r="H31" s="25">
        <f t="shared" si="20"/>
        <v>-117</v>
      </c>
      <c r="I31" s="25"/>
      <c r="J31" s="25">
        <f>520+663</f>
        <v>1183</v>
      </c>
      <c r="K31" s="25">
        <f t="shared" si="21"/>
        <v>0</v>
      </c>
      <c r="L31" s="25"/>
      <c r="M31" s="25">
        <f>110+27+199+280+238+135+183+11</f>
        <v>1183</v>
      </c>
      <c r="N31" s="25">
        <f t="shared" si="22"/>
        <v>0</v>
      </c>
      <c r="O31" s="25"/>
      <c r="P31" s="25">
        <f>854+135+183+11</f>
        <v>1183</v>
      </c>
      <c r="Q31" s="25">
        <f t="shared" si="23"/>
        <v>0</v>
      </c>
      <c r="R31" s="25"/>
      <c r="S31" s="25">
        <f>530+420+150+83</f>
        <v>1183</v>
      </c>
      <c r="T31" s="43">
        <f t="shared" si="24"/>
        <v>0</v>
      </c>
      <c r="U31" s="25"/>
      <c r="V31" s="25">
        <f>130+400+420+150+83</f>
        <v>1183</v>
      </c>
      <c r="W31" s="43">
        <f t="shared" si="25"/>
        <v>0</v>
      </c>
      <c r="X31" s="25">
        <v>120</v>
      </c>
      <c r="Y31" s="25">
        <f>100+190+190+320+190+120</f>
        <v>1110</v>
      </c>
      <c r="Z31" s="25">
        <f t="shared" si="26"/>
        <v>-73</v>
      </c>
      <c r="AA31" s="25">
        <v>120</v>
      </c>
      <c r="AB31" s="25">
        <f>100+190+190+320+190+120</f>
        <v>1110</v>
      </c>
      <c r="AC31" s="44">
        <f t="shared" si="27"/>
        <v>0</v>
      </c>
      <c r="AD31" s="263"/>
      <c r="AE31" s="263"/>
      <c r="AF31" s="268"/>
      <c r="AG31" s="263"/>
      <c r="AH31" s="261"/>
      <c r="AI31" s="263"/>
      <c r="AJ31" s="261"/>
      <c r="AK31" s="263"/>
      <c r="AL31" s="261"/>
      <c r="AM31" s="249"/>
      <c r="AN31" s="249"/>
      <c r="AO31" s="251"/>
    </row>
    <row r="32" spans="1:41" ht="18" thickBot="1" x14ac:dyDescent="0.3">
      <c r="A32" s="265"/>
      <c r="B32" s="253" t="s">
        <v>34</v>
      </c>
      <c r="C32" s="254"/>
      <c r="D32" s="255"/>
      <c r="E32" s="24">
        <f>+SUM(E29:E31)</f>
        <v>4190</v>
      </c>
      <c r="F32" s="24">
        <f t="shared" ref="F32:AC32" si="28">+SUM(F29:F31)</f>
        <v>0</v>
      </c>
      <c r="G32" s="24">
        <f t="shared" si="28"/>
        <v>3853</v>
      </c>
      <c r="H32" s="24">
        <f t="shared" si="28"/>
        <v>-337</v>
      </c>
      <c r="I32" s="24">
        <f t="shared" si="28"/>
        <v>0</v>
      </c>
      <c r="J32" s="24">
        <f t="shared" si="28"/>
        <v>3853</v>
      </c>
      <c r="K32" s="24">
        <f t="shared" si="28"/>
        <v>0</v>
      </c>
      <c r="L32" s="24">
        <f t="shared" si="28"/>
        <v>0</v>
      </c>
      <c r="M32" s="24">
        <f t="shared" si="28"/>
        <v>3843</v>
      </c>
      <c r="N32" s="24">
        <f t="shared" si="28"/>
        <v>-10</v>
      </c>
      <c r="O32" s="24">
        <f t="shared" si="28"/>
        <v>0</v>
      </c>
      <c r="P32" s="24">
        <f t="shared" si="28"/>
        <v>3843</v>
      </c>
      <c r="Q32" s="24">
        <f t="shared" si="28"/>
        <v>0</v>
      </c>
      <c r="R32" s="24">
        <f t="shared" si="28"/>
        <v>0</v>
      </c>
      <c r="S32" s="24">
        <f t="shared" si="28"/>
        <v>3843</v>
      </c>
      <c r="T32" s="24">
        <f t="shared" si="28"/>
        <v>0</v>
      </c>
      <c r="U32" s="24">
        <f t="shared" si="28"/>
        <v>0</v>
      </c>
      <c r="V32" s="24">
        <f t="shared" si="28"/>
        <v>3843</v>
      </c>
      <c r="W32" s="24">
        <f t="shared" si="28"/>
        <v>0</v>
      </c>
      <c r="X32" s="24">
        <f t="shared" si="28"/>
        <v>350</v>
      </c>
      <c r="Y32" s="24">
        <f t="shared" si="28"/>
        <v>3580</v>
      </c>
      <c r="Z32" s="24">
        <f t="shared" si="28"/>
        <v>-263</v>
      </c>
      <c r="AA32" s="24">
        <f t="shared" si="28"/>
        <v>350</v>
      </c>
      <c r="AB32" s="24">
        <f t="shared" si="28"/>
        <v>3580</v>
      </c>
      <c r="AC32" s="24">
        <f t="shared" si="28"/>
        <v>0</v>
      </c>
      <c r="AD32" s="264"/>
      <c r="AE32" s="264"/>
      <c r="AF32" s="269"/>
      <c r="AG32" s="264"/>
      <c r="AH32" s="262"/>
      <c r="AI32" s="264"/>
      <c r="AJ32" s="262"/>
      <c r="AK32" s="264"/>
      <c r="AL32" s="262"/>
      <c r="AM32" s="250"/>
      <c r="AN32" s="250"/>
      <c r="AO32" s="252"/>
    </row>
    <row r="33" spans="1:41" ht="18" customHeight="1" thickBot="1" x14ac:dyDescent="0.3">
      <c r="A33" s="266"/>
      <c r="B33" s="256" t="s">
        <v>40</v>
      </c>
      <c r="C33" s="256"/>
      <c r="D33" s="257"/>
      <c r="E33" s="26">
        <f>E32</f>
        <v>4190</v>
      </c>
      <c r="F33" s="26">
        <f t="shared" ref="F33:AC33" si="29">F32</f>
        <v>0</v>
      </c>
      <c r="G33" s="26">
        <f t="shared" si="29"/>
        <v>3853</v>
      </c>
      <c r="H33" s="26">
        <f t="shared" si="29"/>
        <v>-337</v>
      </c>
      <c r="I33" s="26">
        <f t="shared" si="29"/>
        <v>0</v>
      </c>
      <c r="J33" s="26">
        <f t="shared" si="29"/>
        <v>3853</v>
      </c>
      <c r="K33" s="26">
        <f t="shared" si="29"/>
        <v>0</v>
      </c>
      <c r="L33" s="26">
        <f t="shared" si="29"/>
        <v>0</v>
      </c>
      <c r="M33" s="26">
        <f t="shared" si="29"/>
        <v>3843</v>
      </c>
      <c r="N33" s="26">
        <f t="shared" si="29"/>
        <v>-10</v>
      </c>
      <c r="O33" s="26">
        <f t="shared" si="29"/>
        <v>0</v>
      </c>
      <c r="P33" s="26">
        <f t="shared" si="29"/>
        <v>3843</v>
      </c>
      <c r="Q33" s="26">
        <f t="shared" si="29"/>
        <v>0</v>
      </c>
      <c r="R33" s="26">
        <f t="shared" si="29"/>
        <v>0</v>
      </c>
      <c r="S33" s="26">
        <f t="shared" si="29"/>
        <v>3843</v>
      </c>
      <c r="T33" s="26">
        <f t="shared" si="29"/>
        <v>0</v>
      </c>
      <c r="U33" s="26">
        <f t="shared" si="29"/>
        <v>0</v>
      </c>
      <c r="V33" s="26">
        <f t="shared" si="29"/>
        <v>3843</v>
      </c>
      <c r="W33" s="26">
        <f t="shared" si="29"/>
        <v>0</v>
      </c>
      <c r="X33" s="26">
        <f t="shared" si="29"/>
        <v>350</v>
      </c>
      <c r="Y33" s="26">
        <f t="shared" si="29"/>
        <v>3580</v>
      </c>
      <c r="Z33" s="26">
        <f t="shared" si="29"/>
        <v>-263</v>
      </c>
      <c r="AA33" s="26">
        <f t="shared" si="29"/>
        <v>350</v>
      </c>
      <c r="AB33" s="26">
        <f t="shared" si="29"/>
        <v>3580</v>
      </c>
      <c r="AC33" s="26">
        <f t="shared" si="29"/>
        <v>0</v>
      </c>
      <c r="AD33" s="45">
        <f t="shared" ref="AD33:AL33" si="30">SUM(AD29:AD32)</f>
        <v>0</v>
      </c>
      <c r="AE33" s="45">
        <f t="shared" si="30"/>
        <v>2887</v>
      </c>
      <c r="AF33" s="46">
        <f t="shared" si="30"/>
        <v>33.130000000000003</v>
      </c>
      <c r="AG33" s="45">
        <f t="shared" si="30"/>
        <v>1</v>
      </c>
      <c r="AH33" s="45">
        <f t="shared" si="30"/>
        <v>403</v>
      </c>
      <c r="AI33" s="45">
        <f t="shared" si="30"/>
        <v>0</v>
      </c>
      <c r="AJ33" s="45">
        <f t="shared" si="30"/>
        <v>119</v>
      </c>
      <c r="AK33" s="45">
        <f t="shared" si="30"/>
        <v>0</v>
      </c>
      <c r="AL33" s="45">
        <f t="shared" si="30"/>
        <v>31</v>
      </c>
      <c r="AM33" s="47">
        <f>L33*AF33/480/AG33</f>
        <v>0</v>
      </c>
      <c r="AN33" s="48">
        <f>M33*AF33/480/AH33</f>
        <v>0.65818129652605462</v>
      </c>
      <c r="AO33" s="49"/>
    </row>
    <row r="34" spans="1:41" s="60" customFormat="1" ht="15.75" thickBot="1" x14ac:dyDescent="0.3">
      <c r="A34" s="50"/>
      <c r="B34" s="51"/>
      <c r="C34" s="51"/>
      <c r="D34" s="51"/>
      <c r="E34" s="51"/>
      <c r="F34" s="52"/>
      <c r="G34" s="51"/>
      <c r="H34" s="51"/>
      <c r="I34" s="166"/>
      <c r="J34" s="54"/>
      <c r="K34" s="51"/>
      <c r="L34" s="55"/>
      <c r="M34" s="51"/>
      <c r="N34" s="51"/>
      <c r="O34" s="56"/>
      <c r="P34" s="51"/>
      <c r="Q34" s="51"/>
      <c r="R34" s="55"/>
      <c r="S34" s="51"/>
      <c r="T34" s="51"/>
      <c r="U34" s="55"/>
      <c r="V34" s="51"/>
      <c r="W34" s="51"/>
      <c r="X34" s="55"/>
      <c r="Y34" s="51"/>
      <c r="Z34" s="51"/>
      <c r="AA34" s="55"/>
      <c r="AB34" s="51"/>
      <c r="AC34" s="51"/>
      <c r="AD34" s="165"/>
      <c r="AE34" s="58"/>
      <c r="AF34" s="51"/>
      <c r="AG34" s="165"/>
      <c r="AH34" s="58"/>
      <c r="AI34" s="165"/>
      <c r="AJ34" s="58"/>
      <c r="AK34" s="165"/>
      <c r="AL34" s="58"/>
      <c r="AM34" s="165"/>
      <c r="AN34" s="55"/>
      <c r="AO34" s="59"/>
    </row>
    <row r="35" spans="1:41" s="60" customFormat="1" ht="15.75" thickBot="1" x14ac:dyDescent="0.3">
      <c r="A35" s="258" t="s">
        <v>47</v>
      </c>
      <c r="B35" s="259"/>
      <c r="C35" s="259"/>
      <c r="D35" s="259"/>
      <c r="E35" s="260"/>
      <c r="F35" s="63">
        <f>F33+F28</f>
        <v>150</v>
      </c>
      <c r="G35" s="64"/>
      <c r="H35" s="64"/>
      <c r="I35" s="63">
        <f>I33+I28</f>
        <v>146</v>
      </c>
      <c r="J35" s="64"/>
      <c r="K35" s="65">
        <f>K33+K28</f>
        <v>-544</v>
      </c>
      <c r="L35" s="66">
        <f>L33+L28</f>
        <v>343</v>
      </c>
      <c r="M35" s="64"/>
      <c r="N35" s="65">
        <f>N33+N28</f>
        <v>-1763</v>
      </c>
      <c r="O35" s="66">
        <f>O33+O28</f>
        <v>343</v>
      </c>
      <c r="P35" s="64"/>
      <c r="Q35" s="65">
        <f>Q33+Q28</f>
        <v>0</v>
      </c>
      <c r="R35" s="66">
        <f>R33+R28</f>
        <v>323</v>
      </c>
      <c r="S35" s="64"/>
      <c r="T35" s="65">
        <f>T33+T28</f>
        <v>-658</v>
      </c>
      <c r="U35" s="66">
        <f>U33+U28</f>
        <v>530</v>
      </c>
      <c r="V35" s="64"/>
      <c r="W35" s="65">
        <f>W33+W28</f>
        <v>-113</v>
      </c>
      <c r="X35" s="66">
        <f>X33+X28</f>
        <v>645</v>
      </c>
      <c r="Y35" s="64"/>
      <c r="Z35" s="65">
        <f>Z33+Z28</f>
        <v>-2069</v>
      </c>
      <c r="AA35" s="66">
        <f>AA33+AA28</f>
        <v>645</v>
      </c>
      <c r="AB35" s="64"/>
      <c r="AC35" s="65">
        <f>AC33+AC28</f>
        <v>0</v>
      </c>
      <c r="AD35" s="67">
        <f>AD33+AD28</f>
        <v>343</v>
      </c>
      <c r="AE35" s="65">
        <f>AE33+AE28</f>
        <v>5778</v>
      </c>
      <c r="AF35" s="64"/>
      <c r="AG35" s="63">
        <f>AG33+AG28</f>
        <v>26</v>
      </c>
      <c r="AH35" s="68"/>
      <c r="AI35" s="63">
        <f>AI33+AI28</f>
        <v>14</v>
      </c>
      <c r="AJ35" s="68"/>
      <c r="AK35" s="63">
        <f>AK33+AK28</f>
        <v>2</v>
      </c>
      <c r="AL35" s="68"/>
      <c r="AM35" s="69">
        <f>SUM(AM33+AM28)/2</f>
        <v>0.4452783125</v>
      </c>
      <c r="AN35" s="69">
        <f>SUM(AN33+AN28)/2</f>
        <v>0.68996180811879659</v>
      </c>
      <c r="AO35" s="70"/>
    </row>
    <row r="36" spans="1:41" s="60" customFormat="1" ht="15" x14ac:dyDescent="0.25">
      <c r="O36" s="71"/>
    </row>
    <row r="37" spans="1:41" s="60" customFormat="1" ht="15" x14ac:dyDescent="0.25">
      <c r="O37" s="71"/>
      <c r="W37" s="60" t="s">
        <v>5</v>
      </c>
      <c r="Z37" s="60" t="s">
        <v>5</v>
      </c>
      <c r="AC37" s="60" t="s">
        <v>5</v>
      </c>
    </row>
  </sheetData>
  <mergeCells count="75">
    <mergeCell ref="AN29:AN32"/>
    <mergeCell ref="AO29:AO32"/>
    <mergeCell ref="B32:D32"/>
    <mergeCell ref="B33:D33"/>
    <mergeCell ref="A35:E35"/>
    <mergeCell ref="AH29:AH32"/>
    <mergeCell ref="AI29:AI32"/>
    <mergeCell ref="AJ29:AJ32"/>
    <mergeCell ref="AK29:AK32"/>
    <mergeCell ref="AL29:AL32"/>
    <mergeCell ref="AM29:AM32"/>
    <mergeCell ref="AN20:AN27"/>
    <mergeCell ref="AO20:AO27"/>
    <mergeCell ref="B27:D27"/>
    <mergeCell ref="B28:D28"/>
    <mergeCell ref="A29:A33"/>
    <mergeCell ref="C29:C31"/>
    <mergeCell ref="AD29:AD32"/>
    <mergeCell ref="AE29:AE32"/>
    <mergeCell ref="AF29:AF32"/>
    <mergeCell ref="AG29:AG32"/>
    <mergeCell ref="AH20:AH27"/>
    <mergeCell ref="AI20:AI27"/>
    <mergeCell ref="AJ20:AJ27"/>
    <mergeCell ref="AK20:AK27"/>
    <mergeCell ref="AL20:AL27"/>
    <mergeCell ref="AM20:AM27"/>
    <mergeCell ref="AO6:AO19"/>
    <mergeCell ref="B10:B13"/>
    <mergeCell ref="B14:B18"/>
    <mergeCell ref="B19:D19"/>
    <mergeCell ref="B20:B26"/>
    <mergeCell ref="C20:C26"/>
    <mergeCell ref="AD20:AD27"/>
    <mergeCell ref="AE20:AE27"/>
    <mergeCell ref="AF20:AF27"/>
    <mergeCell ref="AG20:AG27"/>
    <mergeCell ref="AI6:AI19"/>
    <mergeCell ref="AJ6:AJ19"/>
    <mergeCell ref="AK6:AK19"/>
    <mergeCell ref="AL6:AL19"/>
    <mergeCell ref="AM6:AM19"/>
    <mergeCell ref="AN6:AN19"/>
    <mergeCell ref="AM4:AN4"/>
    <mergeCell ref="AO4:AO5"/>
    <mergeCell ref="A6:A28"/>
    <mergeCell ref="B6:B9"/>
    <mergeCell ref="C6:C18"/>
    <mergeCell ref="AD6:AD19"/>
    <mergeCell ref="AE6:AE19"/>
    <mergeCell ref="AF6:AF19"/>
    <mergeCell ref="AG6:AG19"/>
    <mergeCell ref="AH6:AH19"/>
    <mergeCell ref="X4:Z4"/>
    <mergeCell ref="AA4:AC4"/>
    <mergeCell ref="AD4:AE4"/>
    <mergeCell ref="AG4:AH4"/>
    <mergeCell ref="AI4:AJ4"/>
    <mergeCell ref="AK4:AL4"/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35" max="5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N6" sqref="N6:N9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5.7109375" style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6.14062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5.42578125" style="1" bestFit="1" customWidth="1"/>
    <col min="18" max="18" width="7.85546875" style="1" customWidth="1"/>
    <col min="19" max="19" width="8.85546875" style="1" customWidth="1"/>
    <col min="20" max="20" width="7.42578125" style="1" bestFit="1" customWidth="1"/>
    <col min="21" max="21" width="8.42578125" style="1" customWidth="1"/>
    <col min="22" max="22" width="7.85546875" style="1" customWidth="1"/>
    <col min="23" max="23" width="7.425781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45371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54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170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173" t="s">
        <v>26</v>
      </c>
      <c r="G5" s="9" t="s">
        <v>27</v>
      </c>
      <c r="H5" s="10" t="s">
        <v>28</v>
      </c>
      <c r="I5" s="170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174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170" t="s">
        <v>26</v>
      </c>
      <c r="AE5" s="9" t="s">
        <v>27</v>
      </c>
      <c r="AF5" s="173" t="s">
        <v>26</v>
      </c>
      <c r="AG5" s="173" t="s">
        <v>26</v>
      </c>
      <c r="AH5" s="9" t="s">
        <v>27</v>
      </c>
      <c r="AI5" s="173" t="s">
        <v>26</v>
      </c>
      <c r="AJ5" s="15" t="s">
        <v>27</v>
      </c>
      <c r="AK5" s="173" t="s">
        <v>26</v>
      </c>
      <c r="AL5" s="9" t="s">
        <v>27</v>
      </c>
      <c r="AM5" s="170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172">
        <v>680</v>
      </c>
      <c r="F6" s="172"/>
      <c r="G6" s="172">
        <f>680</f>
        <v>680</v>
      </c>
      <c r="H6" s="172">
        <f t="shared" ref="H6:H18" si="0">G6-E6</f>
        <v>0</v>
      </c>
      <c r="I6" s="172"/>
      <c r="J6" s="172">
        <f>428+252</f>
        <v>680</v>
      </c>
      <c r="K6" s="172">
        <f t="shared" ref="K6:K18" si="1">J6-G6</f>
        <v>0</v>
      </c>
      <c r="L6" s="172">
        <v>45</v>
      </c>
      <c r="M6" s="172">
        <f>62+144+4+9+26+75+226+36+4+6+7+45</f>
        <v>644</v>
      </c>
      <c r="N6" s="172">
        <f t="shared" ref="N6:N18" si="2">M6-J6</f>
        <v>-36</v>
      </c>
      <c r="O6" s="172">
        <v>45</v>
      </c>
      <c r="P6" s="119">
        <f>546+36+4+6+7+45</f>
        <v>644</v>
      </c>
      <c r="Q6" s="172">
        <f t="shared" ref="Q6:Q18" si="3">P6-M6</f>
        <v>0</v>
      </c>
      <c r="R6" s="18"/>
      <c r="S6" s="18">
        <f>210+330+40+12</f>
        <v>592</v>
      </c>
      <c r="T6" s="18">
        <f t="shared" ref="T6:T18" si="4">S6-P6</f>
        <v>-52</v>
      </c>
      <c r="U6" s="18"/>
      <c r="V6" s="18">
        <f>200+340+40</f>
        <v>580</v>
      </c>
      <c r="W6" s="18">
        <f t="shared" ref="W6:W18" si="5">V6-S6</f>
        <v>-12</v>
      </c>
      <c r="X6" s="172"/>
      <c r="Y6" s="172">
        <f>175+10+40</f>
        <v>225</v>
      </c>
      <c r="Z6" s="172">
        <f t="shared" ref="Z6:Z18" si="6">Y6-P6</f>
        <v>-419</v>
      </c>
      <c r="AA6" s="172"/>
      <c r="AB6" s="172">
        <f>175+10+40</f>
        <v>225</v>
      </c>
      <c r="AC6" s="19">
        <f t="shared" ref="AC6:AC18" si="7">AB6-Y6</f>
        <v>0</v>
      </c>
      <c r="AD6" s="267">
        <f>L19</f>
        <v>307</v>
      </c>
      <c r="AE6" s="267">
        <f>62+144+4+20+190+196+47+175+261+297+182+288+308+374+343+307</f>
        <v>3198</v>
      </c>
      <c r="AF6" s="282">
        <v>24.192</v>
      </c>
      <c r="AG6" s="267">
        <v>20</v>
      </c>
      <c r="AH6" s="277">
        <f>6+8+6+10+10+10+20+6+22+13+22+8+10+9+11+13+26+20+20+20</f>
        <v>270</v>
      </c>
      <c r="AI6" s="267">
        <v>12</v>
      </c>
      <c r="AJ6" s="277">
        <f>1+2+2+2+3+3+5+4+5+5+11+11+7+7+7+7+14+12+12+12</f>
        <v>132</v>
      </c>
      <c r="AK6" s="267">
        <v>1</v>
      </c>
      <c r="AL6" s="277">
        <f>1+1+1+1+1+1+1+1+1+1+1+1+2+1+1+1</f>
        <v>17</v>
      </c>
      <c r="AM6" s="270">
        <f>L19*AF6/480/AG6</f>
        <v>0.77364000000000011</v>
      </c>
      <c r="AN6" s="270">
        <f>M19*AF6/480/AH6</f>
        <v>0.59696000000000005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/>
      <c r="M7" s="20">
        <f>20+117+9+13+48+110+29+97+43+5+27</f>
        <v>518</v>
      </c>
      <c r="N7" s="20">
        <f t="shared" si="2"/>
        <v>-81</v>
      </c>
      <c r="O7" s="20"/>
      <c r="P7" s="20">
        <f>292+29+122+43+5+27</f>
        <v>518</v>
      </c>
      <c r="Q7" s="20">
        <f t="shared" si="3"/>
        <v>0</v>
      </c>
      <c r="R7" s="20"/>
      <c r="S7" s="20">
        <f>160+140+90+90+11</f>
        <v>491</v>
      </c>
      <c r="T7" s="20">
        <f t="shared" si="4"/>
        <v>-27</v>
      </c>
      <c r="U7" s="20"/>
      <c r="V7" s="20">
        <f>150+240+90</f>
        <v>480</v>
      </c>
      <c r="W7" s="20">
        <f t="shared" si="5"/>
        <v>-11</v>
      </c>
      <c r="X7" s="20"/>
      <c r="Y7" s="20">
        <f>130+10+160+125</f>
        <v>425</v>
      </c>
      <c r="Z7" s="20">
        <f t="shared" si="6"/>
        <v>-93</v>
      </c>
      <c r="AA7" s="20"/>
      <c r="AB7" s="20">
        <f>130+10+160+125</f>
        <v>425</v>
      </c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>
        <v>31</v>
      </c>
      <c r="M8" s="20">
        <f>73+187+25+59+76+42+58+4+3+5+31</f>
        <v>563</v>
      </c>
      <c r="N8" s="20">
        <f t="shared" si="2"/>
        <v>-114</v>
      </c>
      <c r="O8" s="20">
        <v>31</v>
      </c>
      <c r="P8" s="20">
        <f>420+42+58+4+3+5+31</f>
        <v>563</v>
      </c>
      <c r="Q8" s="20">
        <f t="shared" si="3"/>
        <v>0</v>
      </c>
      <c r="R8" s="20"/>
      <c r="S8" s="20">
        <f>250+150+50+50+25</f>
        <v>525</v>
      </c>
      <c r="T8" s="20">
        <f t="shared" si="4"/>
        <v>-38</v>
      </c>
      <c r="U8" s="20"/>
      <c r="V8" s="20">
        <f>250+200+50</f>
        <v>500</v>
      </c>
      <c r="W8" s="20">
        <f t="shared" si="5"/>
        <v>-25</v>
      </c>
      <c r="X8" s="20"/>
      <c r="Y8" s="20">
        <f>180+45+80+130</f>
        <v>435</v>
      </c>
      <c r="Z8" s="20">
        <f t="shared" si="6"/>
        <v>-128</v>
      </c>
      <c r="AA8" s="20"/>
      <c r="AB8" s="20">
        <f>180+45+80+130</f>
        <v>435</v>
      </c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>
        <f>42+27+5+5</f>
        <v>79</v>
      </c>
      <c r="N9" s="20">
        <f t="shared" si="2"/>
        <v>-27</v>
      </c>
      <c r="O9" s="20"/>
      <c r="P9" s="20">
        <f>42+27+5+5</f>
        <v>79</v>
      </c>
      <c r="Q9" s="20">
        <f t="shared" si="3"/>
        <v>0</v>
      </c>
      <c r="R9" s="20"/>
      <c r="S9" s="20">
        <f>10+14</f>
        <v>24</v>
      </c>
      <c r="T9" s="20">
        <f t="shared" si="4"/>
        <v>-55</v>
      </c>
      <c r="U9" s="20"/>
      <c r="V9" s="20"/>
      <c r="W9" s="20">
        <f t="shared" si="5"/>
        <v>-24</v>
      </c>
      <c r="X9" s="20"/>
      <c r="Y9" s="20"/>
      <c r="Z9" s="20">
        <f t="shared" si="6"/>
        <v>-79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303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/>
      <c r="M10" s="20">
        <f>37+134+20+12</f>
        <v>203</v>
      </c>
      <c r="N10" s="20">
        <f t="shared" si="2"/>
        <v>-20</v>
      </c>
      <c r="O10" s="20"/>
      <c r="P10" s="20">
        <f>37+134+20+12</f>
        <v>203</v>
      </c>
      <c r="Q10" s="20">
        <f t="shared" si="3"/>
        <v>0</v>
      </c>
      <c r="R10" s="20"/>
      <c r="S10" s="20">
        <f>170+20</f>
        <v>190</v>
      </c>
      <c r="T10" s="20">
        <f t="shared" si="4"/>
        <v>-13</v>
      </c>
      <c r="U10" s="20"/>
      <c r="V10" s="20">
        <f>160</f>
        <v>160</v>
      </c>
      <c r="W10" s="20">
        <f t="shared" si="5"/>
        <v>-30</v>
      </c>
      <c r="X10" s="20"/>
      <c r="Y10" s="20"/>
      <c r="Z10" s="20">
        <f t="shared" si="6"/>
        <v>-203</v>
      </c>
      <c r="AA10" s="20"/>
      <c r="AB10" s="20"/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>
        <f>172+55</f>
        <v>227</v>
      </c>
      <c r="N11" s="20">
        <f t="shared" si="2"/>
        <v>0</v>
      </c>
      <c r="O11" s="20"/>
      <c r="P11" s="20">
        <f>172+55</f>
        <v>227</v>
      </c>
      <c r="Q11" s="20">
        <f t="shared" si="3"/>
        <v>0</v>
      </c>
      <c r="R11" s="20"/>
      <c r="S11" s="20">
        <f>160+60</f>
        <v>220</v>
      </c>
      <c r="T11" s="20">
        <f t="shared" si="4"/>
        <v>-7</v>
      </c>
      <c r="U11" s="20"/>
      <c r="V11" s="20">
        <f>10+210</f>
        <v>220</v>
      </c>
      <c r="W11" s="20">
        <f t="shared" si="5"/>
        <v>0</v>
      </c>
      <c r="X11" s="20"/>
      <c r="Y11" s="20"/>
      <c r="Z11" s="20">
        <f t="shared" si="6"/>
        <v>-227</v>
      </c>
      <c r="AA11" s="20"/>
      <c r="AB11" s="20"/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/>
      <c r="M12" s="20">
        <f>156+20+12</f>
        <v>188</v>
      </c>
      <c r="N12" s="20">
        <f t="shared" si="2"/>
        <v>-54</v>
      </c>
      <c r="O12" s="20"/>
      <c r="P12" s="20">
        <f>156+20+12</f>
        <v>188</v>
      </c>
      <c r="Q12" s="20">
        <f t="shared" si="3"/>
        <v>0</v>
      </c>
      <c r="R12" s="20"/>
      <c r="S12" s="20">
        <f>10+171</f>
        <v>181</v>
      </c>
      <c r="T12" s="20">
        <f t="shared" si="4"/>
        <v>-7</v>
      </c>
      <c r="U12" s="20"/>
      <c r="V12" s="20">
        <f>170</f>
        <v>170</v>
      </c>
      <c r="W12" s="20">
        <f t="shared" si="5"/>
        <v>-11</v>
      </c>
      <c r="X12" s="20"/>
      <c r="Y12" s="20"/>
      <c r="Z12" s="20">
        <f t="shared" si="6"/>
        <v>-188</v>
      </c>
      <c r="AA12" s="20"/>
      <c r="AB12" s="20"/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x14ac:dyDescent="0.25">
      <c r="A13" s="283"/>
      <c r="B13" s="298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>
        <v>4</v>
      </c>
      <c r="M13" s="20">
        <f>10+108+4+4</f>
        <v>126</v>
      </c>
      <c r="N13" s="20">
        <f t="shared" si="2"/>
        <v>-45</v>
      </c>
      <c r="O13" s="20">
        <v>4</v>
      </c>
      <c r="P13" s="20">
        <f>10+108+4+4</f>
        <v>126</v>
      </c>
      <c r="Q13" s="20">
        <f t="shared" si="3"/>
        <v>0</v>
      </c>
      <c r="R13" s="20"/>
      <c r="S13" s="20">
        <f>10</f>
        <v>10</v>
      </c>
      <c r="T13" s="20">
        <f t="shared" si="4"/>
        <v>-116</v>
      </c>
      <c r="U13" s="20"/>
      <c r="V13" s="20">
        <f>10</f>
        <v>10</v>
      </c>
      <c r="W13" s="20">
        <f t="shared" si="5"/>
        <v>0</v>
      </c>
      <c r="X13" s="20"/>
      <c r="Y13" s="20"/>
      <c r="Z13" s="20">
        <f t="shared" si="6"/>
        <v>-126</v>
      </c>
      <c r="AA13" s="20"/>
      <c r="AB13" s="20"/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x14ac:dyDescent="0.25">
      <c r="A14" s="283"/>
      <c r="B14" s="279" t="s">
        <v>57</v>
      </c>
      <c r="C14" s="281"/>
      <c r="D14" s="20" t="s">
        <v>58</v>
      </c>
      <c r="E14" s="20">
        <v>350</v>
      </c>
      <c r="F14" s="20"/>
      <c r="G14" s="20">
        <f>328</f>
        <v>328</v>
      </c>
      <c r="H14" s="20">
        <f t="shared" si="0"/>
        <v>-22</v>
      </c>
      <c r="I14" s="20"/>
      <c r="J14" s="20">
        <f>328</f>
        <v>328</v>
      </c>
      <c r="K14" s="20">
        <f t="shared" si="1"/>
        <v>0</v>
      </c>
      <c r="L14" s="20">
        <v>134</v>
      </c>
      <c r="M14" s="20">
        <f>151+134</f>
        <v>285</v>
      </c>
      <c r="N14" s="20">
        <f t="shared" si="2"/>
        <v>-43</v>
      </c>
      <c r="O14" s="20">
        <v>134</v>
      </c>
      <c r="P14" s="20">
        <f>151+134</f>
        <v>285</v>
      </c>
      <c r="Q14" s="20">
        <f t="shared" si="3"/>
        <v>0</v>
      </c>
      <c r="R14" s="18"/>
      <c r="S14" s="18"/>
      <c r="T14" s="18">
        <f t="shared" si="4"/>
        <v>-285</v>
      </c>
      <c r="U14" s="18"/>
      <c r="V14" s="18"/>
      <c r="W14" s="18">
        <f t="shared" si="5"/>
        <v>0</v>
      </c>
      <c r="X14" s="20"/>
      <c r="Y14" s="20"/>
      <c r="Z14" s="20">
        <f t="shared" si="6"/>
        <v>-285</v>
      </c>
      <c r="AA14" s="20"/>
      <c r="AB14" s="20"/>
      <c r="AC14" s="21">
        <f t="shared" si="7"/>
        <v>0</v>
      </c>
      <c r="AD14" s="263"/>
      <c r="AE14" s="263"/>
      <c r="AF14" s="268"/>
      <c r="AG14" s="263"/>
      <c r="AH14" s="261"/>
      <c r="AI14" s="263"/>
      <c r="AJ14" s="261"/>
      <c r="AK14" s="263"/>
      <c r="AL14" s="261"/>
      <c r="AM14" s="249"/>
      <c r="AN14" s="249"/>
      <c r="AO14" s="251"/>
    </row>
    <row r="15" spans="1:41" x14ac:dyDescent="0.25">
      <c r="A15" s="283"/>
      <c r="B15" s="279"/>
      <c r="C15" s="281"/>
      <c r="D15" s="20" t="s">
        <v>33</v>
      </c>
      <c r="E15" s="20">
        <v>375</v>
      </c>
      <c r="F15" s="20"/>
      <c r="G15" s="20">
        <f>350</f>
        <v>350</v>
      </c>
      <c r="H15" s="20">
        <f t="shared" si="0"/>
        <v>-25</v>
      </c>
      <c r="I15" s="20"/>
      <c r="J15" s="20">
        <f>350</f>
        <v>350</v>
      </c>
      <c r="K15" s="20">
        <f t="shared" si="1"/>
        <v>0</v>
      </c>
      <c r="L15" s="20">
        <v>21</v>
      </c>
      <c r="M15" s="20">
        <f>152+120+21</f>
        <v>293</v>
      </c>
      <c r="N15" s="20">
        <f t="shared" si="2"/>
        <v>-57</v>
      </c>
      <c r="O15" s="20">
        <v>21</v>
      </c>
      <c r="P15" s="20">
        <f>152+120+21</f>
        <v>293</v>
      </c>
      <c r="Q15" s="20">
        <f t="shared" si="3"/>
        <v>0</v>
      </c>
      <c r="R15" s="20"/>
      <c r="S15" s="20"/>
      <c r="T15" s="20">
        <f t="shared" si="4"/>
        <v>-293</v>
      </c>
      <c r="U15" s="20"/>
      <c r="V15" s="20"/>
      <c r="W15" s="20">
        <f t="shared" si="5"/>
        <v>0</v>
      </c>
      <c r="X15" s="20"/>
      <c r="Y15" s="20"/>
      <c r="Z15" s="20">
        <f t="shared" si="6"/>
        <v>-293</v>
      </c>
      <c r="AA15" s="20"/>
      <c r="AB15" s="20"/>
      <c r="AC15" s="21">
        <f t="shared" si="7"/>
        <v>0</v>
      </c>
      <c r="AD15" s="263"/>
      <c r="AE15" s="263"/>
      <c r="AF15" s="268"/>
      <c r="AG15" s="263"/>
      <c r="AH15" s="261"/>
      <c r="AI15" s="263"/>
      <c r="AJ15" s="261"/>
      <c r="AK15" s="263"/>
      <c r="AL15" s="261"/>
      <c r="AM15" s="249"/>
      <c r="AN15" s="249"/>
      <c r="AO15" s="251"/>
    </row>
    <row r="16" spans="1:41" x14ac:dyDescent="0.25">
      <c r="A16" s="283"/>
      <c r="B16" s="279"/>
      <c r="C16" s="281"/>
      <c r="D16" s="20" t="s">
        <v>59</v>
      </c>
      <c r="E16" s="20">
        <v>375</v>
      </c>
      <c r="F16" s="20"/>
      <c r="G16" s="20">
        <f>213</f>
        <v>213</v>
      </c>
      <c r="H16" s="20">
        <f t="shared" si="0"/>
        <v>-162</v>
      </c>
      <c r="I16" s="20"/>
      <c r="J16" s="20">
        <f>213</f>
        <v>213</v>
      </c>
      <c r="K16" s="20">
        <f t="shared" si="1"/>
        <v>0</v>
      </c>
      <c r="L16" s="20"/>
      <c r="M16" s="20"/>
      <c r="N16" s="20">
        <f t="shared" si="2"/>
        <v>-213</v>
      </c>
      <c r="O16" s="20"/>
      <c r="P16" s="20"/>
      <c r="Q16" s="20">
        <f t="shared" si="3"/>
        <v>0</v>
      </c>
      <c r="R16" s="20"/>
      <c r="S16" s="20"/>
      <c r="T16" s="20">
        <f t="shared" si="4"/>
        <v>0</v>
      </c>
      <c r="U16" s="20"/>
      <c r="V16" s="20"/>
      <c r="W16" s="20">
        <f t="shared" si="5"/>
        <v>0</v>
      </c>
      <c r="X16" s="20"/>
      <c r="Y16" s="20"/>
      <c r="Z16" s="20">
        <f t="shared" si="6"/>
        <v>0</v>
      </c>
      <c r="AA16" s="20"/>
      <c r="AB16" s="20"/>
      <c r="AC16" s="21">
        <f t="shared" si="7"/>
        <v>0</v>
      </c>
      <c r="AD16" s="263"/>
      <c r="AE16" s="263"/>
      <c r="AF16" s="268"/>
      <c r="AG16" s="263"/>
      <c r="AH16" s="261"/>
      <c r="AI16" s="263"/>
      <c r="AJ16" s="261"/>
      <c r="AK16" s="263"/>
      <c r="AL16" s="261"/>
      <c r="AM16" s="249"/>
      <c r="AN16" s="249"/>
      <c r="AO16" s="251"/>
    </row>
    <row r="17" spans="1:41" x14ac:dyDescent="0.25">
      <c r="A17" s="283"/>
      <c r="B17" s="279"/>
      <c r="C17" s="281"/>
      <c r="D17" s="20" t="s">
        <v>60</v>
      </c>
      <c r="E17" s="20">
        <v>350</v>
      </c>
      <c r="F17" s="20"/>
      <c r="G17" s="20">
        <f>237</f>
        <v>237</v>
      </c>
      <c r="H17" s="20">
        <f t="shared" si="0"/>
        <v>-113</v>
      </c>
      <c r="I17" s="20"/>
      <c r="J17" s="20">
        <f>237</f>
        <v>237</v>
      </c>
      <c r="K17" s="20">
        <f t="shared" si="1"/>
        <v>0</v>
      </c>
      <c r="L17" s="20"/>
      <c r="M17" s="20"/>
      <c r="N17" s="20">
        <f t="shared" si="2"/>
        <v>-237</v>
      </c>
      <c r="O17" s="20"/>
      <c r="P17" s="20"/>
      <c r="Q17" s="20">
        <f t="shared" si="3"/>
        <v>0</v>
      </c>
      <c r="R17" s="20"/>
      <c r="S17" s="20"/>
      <c r="T17" s="20">
        <f t="shared" si="4"/>
        <v>0</v>
      </c>
      <c r="U17" s="20"/>
      <c r="V17" s="20"/>
      <c r="W17" s="20">
        <f t="shared" si="5"/>
        <v>0</v>
      </c>
      <c r="X17" s="20"/>
      <c r="Y17" s="20"/>
      <c r="Z17" s="20">
        <f t="shared" si="6"/>
        <v>0</v>
      </c>
      <c r="AA17" s="20"/>
      <c r="AB17" s="20"/>
      <c r="AC17" s="21">
        <f t="shared" si="7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" thickBot="1" x14ac:dyDescent="0.3">
      <c r="A18" s="283"/>
      <c r="B18" s="299"/>
      <c r="C18" s="281"/>
      <c r="D18" s="20" t="s">
        <v>61</v>
      </c>
      <c r="E18" s="20">
        <v>350</v>
      </c>
      <c r="F18" s="20"/>
      <c r="G18" s="20">
        <f>345</f>
        <v>345</v>
      </c>
      <c r="H18" s="20">
        <f t="shared" si="0"/>
        <v>-5</v>
      </c>
      <c r="I18" s="20"/>
      <c r="J18" s="20">
        <f>345</f>
        <v>345</v>
      </c>
      <c r="K18" s="20">
        <f t="shared" si="1"/>
        <v>0</v>
      </c>
      <c r="L18" s="20">
        <v>72</v>
      </c>
      <c r="M18" s="20">
        <f>72</f>
        <v>72</v>
      </c>
      <c r="N18" s="20">
        <f t="shared" si="2"/>
        <v>-273</v>
      </c>
      <c r="O18" s="20">
        <v>72</v>
      </c>
      <c r="P18" s="20">
        <f>72</f>
        <v>72</v>
      </c>
      <c r="Q18" s="20">
        <f t="shared" si="3"/>
        <v>0</v>
      </c>
      <c r="R18" s="25"/>
      <c r="S18" s="25"/>
      <c r="T18" s="25">
        <f t="shared" si="4"/>
        <v>-72</v>
      </c>
      <c r="U18" s="25"/>
      <c r="V18" s="25"/>
      <c r="W18" s="25">
        <f t="shared" si="5"/>
        <v>0</v>
      </c>
      <c r="X18" s="20"/>
      <c r="Y18" s="20"/>
      <c r="Z18" s="20">
        <f t="shared" si="6"/>
        <v>-72</v>
      </c>
      <c r="AA18" s="20"/>
      <c r="AB18" s="20"/>
      <c r="AC18" s="21">
        <f t="shared" si="7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83"/>
      <c r="B19" s="272" t="s">
        <v>34</v>
      </c>
      <c r="C19" s="273"/>
      <c r="D19" s="274"/>
      <c r="E19" s="23">
        <f>+SUM(E6:E18)</f>
        <v>4962</v>
      </c>
      <c r="F19" s="23">
        <f>+SUM(F6:F18)</f>
        <v>0</v>
      </c>
      <c r="G19" s="23">
        <f>SUM(G6:G18)</f>
        <v>4398</v>
      </c>
      <c r="H19" s="23">
        <f t="shared" ref="H19:AC19" si="8">+SUM(H6:H18)</f>
        <v>-564</v>
      </c>
      <c r="I19" s="23">
        <f t="shared" si="8"/>
        <v>0</v>
      </c>
      <c r="J19" s="23">
        <f t="shared" si="8"/>
        <v>4398</v>
      </c>
      <c r="K19" s="23">
        <f t="shared" si="8"/>
        <v>0</v>
      </c>
      <c r="L19" s="23">
        <f t="shared" si="8"/>
        <v>307</v>
      </c>
      <c r="M19" s="23">
        <f t="shared" si="8"/>
        <v>3198</v>
      </c>
      <c r="N19" s="23">
        <f t="shared" si="8"/>
        <v>-1200</v>
      </c>
      <c r="O19" s="23">
        <f t="shared" si="8"/>
        <v>307</v>
      </c>
      <c r="P19" s="23">
        <f t="shared" si="8"/>
        <v>3198</v>
      </c>
      <c r="Q19" s="23">
        <f t="shared" si="8"/>
        <v>0</v>
      </c>
      <c r="R19" s="24">
        <f t="shared" si="8"/>
        <v>0</v>
      </c>
      <c r="S19" s="24">
        <f t="shared" si="8"/>
        <v>2233</v>
      </c>
      <c r="T19" s="24">
        <f t="shared" si="8"/>
        <v>-965</v>
      </c>
      <c r="U19" s="24">
        <f t="shared" si="8"/>
        <v>0</v>
      </c>
      <c r="V19" s="24">
        <f t="shared" si="8"/>
        <v>2120</v>
      </c>
      <c r="W19" s="24">
        <f t="shared" si="8"/>
        <v>-113</v>
      </c>
      <c r="X19" s="23">
        <f t="shared" si="8"/>
        <v>0</v>
      </c>
      <c r="Y19" s="23">
        <f t="shared" si="8"/>
        <v>1085</v>
      </c>
      <c r="Z19" s="23">
        <f t="shared" si="8"/>
        <v>-2113</v>
      </c>
      <c r="AA19" s="23">
        <f t="shared" si="8"/>
        <v>0</v>
      </c>
      <c r="AB19" s="23">
        <f t="shared" si="8"/>
        <v>1085</v>
      </c>
      <c r="AC19" s="15">
        <f t="shared" si="8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.75" customHeight="1" x14ac:dyDescent="0.25">
      <c r="A20" s="283"/>
      <c r="B20" s="297" t="s">
        <v>62</v>
      </c>
      <c r="C20" s="280" t="s">
        <v>63</v>
      </c>
      <c r="D20" s="16" t="s">
        <v>33</v>
      </c>
      <c r="E20" s="172">
        <v>155</v>
      </c>
      <c r="F20" s="172"/>
      <c r="G20" s="172">
        <f>130+8</f>
        <v>138</v>
      </c>
      <c r="H20" s="172">
        <f t="shared" ref="H20:H26" si="9">G20-E20</f>
        <v>-17</v>
      </c>
      <c r="I20" s="172">
        <v>8</v>
      </c>
      <c r="J20" s="172">
        <f>100+30+8</f>
        <v>138</v>
      </c>
      <c r="K20" s="172">
        <f t="shared" ref="K20:K26" si="10">J20-G20</f>
        <v>0</v>
      </c>
      <c r="L20" s="172"/>
      <c r="M20" s="172"/>
      <c r="N20" s="172">
        <f t="shared" ref="N20:N26" si="11">M20-J20</f>
        <v>-138</v>
      </c>
      <c r="O20" s="172"/>
      <c r="P20" s="119"/>
      <c r="Q20" s="172">
        <f t="shared" ref="Q20:Q26" si="12">P20-M20</f>
        <v>0</v>
      </c>
      <c r="R20" s="18"/>
      <c r="S20" s="18"/>
      <c r="T20" s="18">
        <f t="shared" ref="T20:T26" si="13">S20-P20</f>
        <v>0</v>
      </c>
      <c r="U20" s="18"/>
      <c r="V20" s="18"/>
      <c r="W20" s="18">
        <f t="shared" ref="W20:W26" si="14">V20-S20</f>
        <v>0</v>
      </c>
      <c r="X20" s="172"/>
      <c r="Y20" s="172"/>
      <c r="Z20" s="172">
        <f t="shared" ref="Z20:Z26" si="15">Y20-P20</f>
        <v>0</v>
      </c>
      <c r="AA20" s="172"/>
      <c r="AB20" s="172"/>
      <c r="AC20" s="19">
        <f t="shared" ref="AC20:AC26" si="16">AB20-Y20</f>
        <v>0</v>
      </c>
      <c r="AD20" s="267">
        <f>L27</f>
        <v>0</v>
      </c>
      <c r="AE20" s="267"/>
      <c r="AF20" s="282">
        <v>38.121000000000002</v>
      </c>
      <c r="AG20" s="267">
        <v>5</v>
      </c>
      <c r="AH20" s="277">
        <f>5+5+5</f>
        <v>15</v>
      </c>
      <c r="AI20" s="267">
        <v>2</v>
      </c>
      <c r="AJ20" s="277">
        <f>2+2+2</f>
        <v>6</v>
      </c>
      <c r="AK20" s="267">
        <v>1</v>
      </c>
      <c r="AL20" s="277">
        <f>1+1+1</f>
        <v>3</v>
      </c>
      <c r="AM20" s="270">
        <f>L27*AF20/480/AG20</f>
        <v>0</v>
      </c>
      <c r="AN20" s="270">
        <f>M27*AF20/480/AH20</f>
        <v>0</v>
      </c>
      <c r="AO20" s="271"/>
    </row>
    <row r="21" spans="1:41" x14ac:dyDescent="0.25">
      <c r="A21" s="283"/>
      <c r="B21" s="279"/>
      <c r="C21" s="281"/>
      <c r="D21" s="20" t="s">
        <v>64</v>
      </c>
      <c r="E21" s="20">
        <v>155</v>
      </c>
      <c r="F21" s="20"/>
      <c r="G21" s="20">
        <f>124+17</f>
        <v>141</v>
      </c>
      <c r="H21" s="20">
        <f t="shared" si="9"/>
        <v>-14</v>
      </c>
      <c r="I21" s="20"/>
      <c r="J21" s="20"/>
      <c r="K21" s="20">
        <f t="shared" si="10"/>
        <v>-141</v>
      </c>
      <c r="L21" s="20"/>
      <c r="M21" s="20"/>
      <c r="N21" s="20">
        <f t="shared" si="11"/>
        <v>0</v>
      </c>
      <c r="O21" s="20"/>
      <c r="P21" s="20"/>
      <c r="Q21" s="20">
        <f t="shared" si="12"/>
        <v>0</v>
      </c>
      <c r="R21" s="20"/>
      <c r="S21" s="20"/>
      <c r="T21" s="20">
        <f t="shared" si="13"/>
        <v>0</v>
      </c>
      <c r="U21" s="20"/>
      <c r="V21" s="20"/>
      <c r="W21" s="20">
        <f t="shared" si="14"/>
        <v>0</v>
      </c>
      <c r="X21" s="20"/>
      <c r="Y21" s="20"/>
      <c r="Z21" s="20">
        <f t="shared" si="15"/>
        <v>0</v>
      </c>
      <c r="AA21" s="20"/>
      <c r="AB21" s="20"/>
      <c r="AC21" s="21">
        <f t="shared" si="16"/>
        <v>0</v>
      </c>
      <c r="AD21" s="263"/>
      <c r="AE21" s="263"/>
      <c r="AF21" s="268"/>
      <c r="AG21" s="263"/>
      <c r="AH21" s="261"/>
      <c r="AI21" s="263"/>
      <c r="AJ21" s="261"/>
      <c r="AK21" s="263"/>
      <c r="AL21" s="261"/>
      <c r="AM21" s="249"/>
      <c r="AN21" s="249"/>
      <c r="AO21" s="251"/>
    </row>
    <row r="22" spans="1:41" x14ac:dyDescent="0.25">
      <c r="A22" s="283"/>
      <c r="B22" s="279"/>
      <c r="C22" s="281"/>
      <c r="D22" s="20" t="s">
        <v>65</v>
      </c>
      <c r="E22" s="20">
        <v>155</v>
      </c>
      <c r="F22" s="20"/>
      <c r="G22" s="20">
        <f>116+9</f>
        <v>125</v>
      </c>
      <c r="H22" s="20">
        <f t="shared" si="9"/>
        <v>-30</v>
      </c>
      <c r="I22" s="20">
        <v>9</v>
      </c>
      <c r="J22" s="20">
        <f>116+9</f>
        <v>125</v>
      </c>
      <c r="K22" s="20">
        <f t="shared" si="10"/>
        <v>0</v>
      </c>
      <c r="L22" s="20"/>
      <c r="M22" s="20"/>
      <c r="N22" s="20">
        <f t="shared" si="11"/>
        <v>-125</v>
      </c>
      <c r="O22" s="20"/>
      <c r="P22" s="20"/>
      <c r="Q22" s="20">
        <f t="shared" si="12"/>
        <v>0</v>
      </c>
      <c r="R22" s="20"/>
      <c r="S22" s="20"/>
      <c r="T22" s="20">
        <f t="shared" si="13"/>
        <v>0</v>
      </c>
      <c r="U22" s="20"/>
      <c r="V22" s="20"/>
      <c r="W22" s="20">
        <f t="shared" si="14"/>
        <v>0</v>
      </c>
      <c r="X22" s="20"/>
      <c r="Y22" s="20"/>
      <c r="Z22" s="20">
        <f t="shared" si="15"/>
        <v>0</v>
      </c>
      <c r="AA22" s="20"/>
      <c r="AB22" s="20"/>
      <c r="AC22" s="21">
        <f t="shared" si="16"/>
        <v>0</v>
      </c>
      <c r="AD22" s="263"/>
      <c r="AE22" s="263"/>
      <c r="AF22" s="268"/>
      <c r="AG22" s="263"/>
      <c r="AH22" s="261"/>
      <c r="AI22" s="263"/>
      <c r="AJ22" s="261"/>
      <c r="AK22" s="263"/>
      <c r="AL22" s="261"/>
      <c r="AM22" s="249"/>
      <c r="AN22" s="249"/>
      <c r="AO22" s="251"/>
    </row>
    <row r="23" spans="1:41" x14ac:dyDescent="0.25">
      <c r="A23" s="283"/>
      <c r="B23" s="279"/>
      <c r="C23" s="281"/>
      <c r="D23" s="20" t="s">
        <v>66</v>
      </c>
      <c r="E23" s="20">
        <v>137</v>
      </c>
      <c r="F23" s="20"/>
      <c r="G23" s="20">
        <f>124</f>
        <v>124</v>
      </c>
      <c r="H23" s="20">
        <f t="shared" si="9"/>
        <v>-13</v>
      </c>
      <c r="I23" s="20"/>
      <c r="J23" s="20"/>
      <c r="K23" s="20">
        <f t="shared" si="10"/>
        <v>-124</v>
      </c>
      <c r="L23" s="20"/>
      <c r="M23" s="20"/>
      <c r="N23" s="20">
        <f t="shared" si="11"/>
        <v>0</v>
      </c>
      <c r="O23" s="20"/>
      <c r="P23" s="20"/>
      <c r="Q23" s="20">
        <f t="shared" si="12"/>
        <v>0</v>
      </c>
      <c r="R23" s="20"/>
      <c r="S23" s="20"/>
      <c r="T23" s="20">
        <f t="shared" si="13"/>
        <v>0</v>
      </c>
      <c r="U23" s="20"/>
      <c r="V23" s="20"/>
      <c r="W23" s="20">
        <f t="shared" si="14"/>
        <v>0</v>
      </c>
      <c r="X23" s="20"/>
      <c r="Y23" s="20"/>
      <c r="Z23" s="20">
        <f t="shared" si="15"/>
        <v>0</v>
      </c>
      <c r="AA23" s="20"/>
      <c r="AB23" s="20"/>
      <c r="AC23" s="21">
        <f t="shared" si="16"/>
        <v>0</v>
      </c>
      <c r="AD23" s="263"/>
      <c r="AE23" s="263"/>
      <c r="AF23" s="268"/>
      <c r="AG23" s="263"/>
      <c r="AH23" s="261"/>
      <c r="AI23" s="263"/>
      <c r="AJ23" s="261"/>
      <c r="AK23" s="263"/>
      <c r="AL23" s="261"/>
      <c r="AM23" s="249"/>
      <c r="AN23" s="249"/>
      <c r="AO23" s="251"/>
    </row>
    <row r="24" spans="1:41" x14ac:dyDescent="0.25">
      <c r="A24" s="283"/>
      <c r="B24" s="279"/>
      <c r="C24" s="281"/>
      <c r="D24" s="20" t="s">
        <v>67</v>
      </c>
      <c r="E24" s="20">
        <v>155</v>
      </c>
      <c r="F24" s="20"/>
      <c r="G24" s="20">
        <f>146</f>
        <v>146</v>
      </c>
      <c r="H24" s="20">
        <f t="shared" si="9"/>
        <v>-9</v>
      </c>
      <c r="I24" s="20"/>
      <c r="J24" s="20"/>
      <c r="K24" s="20">
        <f t="shared" si="10"/>
        <v>-146</v>
      </c>
      <c r="L24" s="20"/>
      <c r="M24" s="20"/>
      <c r="N24" s="20">
        <f t="shared" si="11"/>
        <v>0</v>
      </c>
      <c r="O24" s="20"/>
      <c r="P24" s="20"/>
      <c r="Q24" s="20">
        <f t="shared" si="12"/>
        <v>0</v>
      </c>
      <c r="R24" s="20"/>
      <c r="S24" s="20"/>
      <c r="T24" s="20">
        <f t="shared" si="13"/>
        <v>0</v>
      </c>
      <c r="U24" s="20"/>
      <c r="V24" s="20"/>
      <c r="W24" s="20">
        <f t="shared" si="14"/>
        <v>0</v>
      </c>
      <c r="X24" s="20"/>
      <c r="Y24" s="20"/>
      <c r="Z24" s="20">
        <f t="shared" si="15"/>
        <v>0</v>
      </c>
      <c r="AA24" s="20"/>
      <c r="AB24" s="20"/>
      <c r="AC24" s="21">
        <f t="shared" si="16"/>
        <v>0</v>
      </c>
      <c r="AD24" s="263"/>
      <c r="AE24" s="263"/>
      <c r="AF24" s="268"/>
      <c r="AG24" s="263"/>
      <c r="AH24" s="261"/>
      <c r="AI24" s="263"/>
      <c r="AJ24" s="261"/>
      <c r="AK24" s="263"/>
      <c r="AL24" s="261"/>
      <c r="AM24" s="249"/>
      <c r="AN24" s="249"/>
      <c r="AO24" s="251"/>
    </row>
    <row r="25" spans="1:41" x14ac:dyDescent="0.25">
      <c r="A25" s="283"/>
      <c r="B25" s="279"/>
      <c r="C25" s="281"/>
      <c r="D25" s="20" t="s">
        <v>68</v>
      </c>
      <c r="E25" s="20">
        <v>155</v>
      </c>
      <c r="F25" s="20"/>
      <c r="G25" s="20"/>
      <c r="H25" s="20">
        <f t="shared" si="9"/>
        <v>-155</v>
      </c>
      <c r="I25" s="20"/>
      <c r="J25" s="20"/>
      <c r="K25" s="20">
        <f t="shared" si="10"/>
        <v>0</v>
      </c>
      <c r="L25" s="20"/>
      <c r="M25" s="20"/>
      <c r="N25" s="20">
        <f t="shared" si="11"/>
        <v>0</v>
      </c>
      <c r="O25" s="20"/>
      <c r="P25" s="20"/>
      <c r="Q25" s="20">
        <f t="shared" si="12"/>
        <v>0</v>
      </c>
      <c r="R25" s="20"/>
      <c r="S25" s="20"/>
      <c r="T25" s="20">
        <f t="shared" si="13"/>
        <v>0</v>
      </c>
      <c r="U25" s="20"/>
      <c r="V25" s="20"/>
      <c r="W25" s="20">
        <f t="shared" si="14"/>
        <v>0</v>
      </c>
      <c r="X25" s="20"/>
      <c r="Y25" s="20"/>
      <c r="Z25" s="20">
        <f t="shared" si="15"/>
        <v>0</v>
      </c>
      <c r="AA25" s="20"/>
      <c r="AB25" s="20"/>
      <c r="AC25" s="21">
        <f t="shared" si="16"/>
        <v>0</v>
      </c>
      <c r="AD25" s="263"/>
      <c r="AE25" s="263"/>
      <c r="AF25" s="268"/>
      <c r="AG25" s="263"/>
      <c r="AH25" s="261"/>
      <c r="AI25" s="263"/>
      <c r="AJ25" s="261"/>
      <c r="AK25" s="263"/>
      <c r="AL25" s="261"/>
      <c r="AM25" s="249"/>
      <c r="AN25" s="249"/>
      <c r="AO25" s="251"/>
    </row>
    <row r="26" spans="1:41" ht="18" thickBot="1" x14ac:dyDescent="0.3">
      <c r="A26" s="283"/>
      <c r="B26" s="298"/>
      <c r="C26" s="281"/>
      <c r="D26" s="20" t="s">
        <v>60</v>
      </c>
      <c r="E26" s="20">
        <v>125</v>
      </c>
      <c r="F26" s="20"/>
      <c r="G26" s="20">
        <f>116</f>
        <v>116</v>
      </c>
      <c r="H26" s="20">
        <f t="shared" si="9"/>
        <v>-9</v>
      </c>
      <c r="I26" s="20"/>
      <c r="J26" s="20"/>
      <c r="K26" s="20">
        <f t="shared" si="10"/>
        <v>-116</v>
      </c>
      <c r="L26" s="20"/>
      <c r="M26" s="20"/>
      <c r="N26" s="20">
        <f t="shared" si="11"/>
        <v>0</v>
      </c>
      <c r="O26" s="20"/>
      <c r="P26" s="20"/>
      <c r="Q26" s="20">
        <f t="shared" si="12"/>
        <v>0</v>
      </c>
      <c r="R26" s="22"/>
      <c r="S26" s="22"/>
      <c r="T26" s="22">
        <f t="shared" si="13"/>
        <v>0</v>
      </c>
      <c r="U26" s="22"/>
      <c r="V26" s="22"/>
      <c r="W26" s="22">
        <f t="shared" si="14"/>
        <v>0</v>
      </c>
      <c r="X26" s="20"/>
      <c r="Y26" s="20"/>
      <c r="Z26" s="20">
        <f t="shared" si="15"/>
        <v>0</v>
      </c>
      <c r="AA26" s="20"/>
      <c r="AB26" s="20"/>
      <c r="AC26" s="21">
        <f t="shared" si="16"/>
        <v>0</v>
      </c>
      <c r="AD26" s="263"/>
      <c r="AE26" s="263"/>
      <c r="AF26" s="268"/>
      <c r="AG26" s="263"/>
      <c r="AH26" s="261"/>
      <c r="AI26" s="263"/>
      <c r="AJ26" s="261"/>
      <c r="AK26" s="263"/>
      <c r="AL26" s="261"/>
      <c r="AM26" s="249"/>
      <c r="AN26" s="249"/>
      <c r="AO26" s="251"/>
    </row>
    <row r="27" spans="1:41" ht="18" thickBot="1" x14ac:dyDescent="0.3">
      <c r="A27" s="283"/>
      <c r="B27" s="272" t="s">
        <v>34</v>
      </c>
      <c r="C27" s="273"/>
      <c r="D27" s="274"/>
      <c r="E27" s="23">
        <f>+SUM(E20:E26)</f>
        <v>1037</v>
      </c>
      <c r="F27" s="23">
        <f>+SUM(F20:F26)</f>
        <v>0</v>
      </c>
      <c r="G27" s="23">
        <f>SUM(G20:G26)</f>
        <v>790</v>
      </c>
      <c r="H27" s="23">
        <f t="shared" ref="H27:AC27" si="17">+SUM(H20:H26)</f>
        <v>-247</v>
      </c>
      <c r="I27" s="23">
        <f t="shared" si="17"/>
        <v>17</v>
      </c>
      <c r="J27" s="23">
        <f t="shared" si="17"/>
        <v>263</v>
      </c>
      <c r="K27" s="23">
        <f t="shared" si="17"/>
        <v>-527</v>
      </c>
      <c r="L27" s="23">
        <f t="shared" si="17"/>
        <v>0</v>
      </c>
      <c r="M27" s="23">
        <f t="shared" si="17"/>
        <v>0</v>
      </c>
      <c r="N27" s="23">
        <f t="shared" si="17"/>
        <v>-263</v>
      </c>
      <c r="O27" s="23">
        <f t="shared" si="17"/>
        <v>0</v>
      </c>
      <c r="P27" s="23">
        <f t="shared" si="17"/>
        <v>0</v>
      </c>
      <c r="Q27" s="23">
        <f t="shared" si="17"/>
        <v>0</v>
      </c>
      <c r="R27" s="24">
        <f t="shared" si="17"/>
        <v>0</v>
      </c>
      <c r="S27" s="24">
        <f t="shared" si="17"/>
        <v>0</v>
      </c>
      <c r="T27" s="24">
        <f t="shared" si="17"/>
        <v>0</v>
      </c>
      <c r="U27" s="24">
        <f t="shared" si="17"/>
        <v>0</v>
      </c>
      <c r="V27" s="24">
        <f t="shared" si="17"/>
        <v>0</v>
      </c>
      <c r="W27" s="24">
        <f t="shared" si="17"/>
        <v>0</v>
      </c>
      <c r="X27" s="23">
        <f t="shared" si="17"/>
        <v>0</v>
      </c>
      <c r="Y27" s="23">
        <f t="shared" si="17"/>
        <v>0</v>
      </c>
      <c r="Z27" s="23">
        <f t="shared" si="17"/>
        <v>0</v>
      </c>
      <c r="AA27" s="23">
        <f t="shared" si="17"/>
        <v>0</v>
      </c>
      <c r="AB27" s="23">
        <f t="shared" si="17"/>
        <v>0</v>
      </c>
      <c r="AC27" s="15">
        <f t="shared" si="17"/>
        <v>0</v>
      </c>
      <c r="AD27" s="264"/>
      <c r="AE27" s="264"/>
      <c r="AF27" s="269"/>
      <c r="AG27" s="264"/>
      <c r="AH27" s="262"/>
      <c r="AI27" s="264"/>
      <c r="AJ27" s="262"/>
      <c r="AK27" s="264"/>
      <c r="AL27" s="262"/>
      <c r="AM27" s="250"/>
      <c r="AN27" s="250"/>
      <c r="AO27" s="252"/>
    </row>
    <row r="28" spans="1:41" ht="18" thickBot="1" x14ac:dyDescent="0.3">
      <c r="A28" s="284"/>
      <c r="B28" s="275" t="s">
        <v>40</v>
      </c>
      <c r="C28" s="275"/>
      <c r="D28" s="276"/>
      <c r="E28" s="26">
        <f>E19+E27</f>
        <v>5999</v>
      </c>
      <c r="F28" s="26">
        <f t="shared" ref="F28:AC28" si="18">F19+F27</f>
        <v>0</v>
      </c>
      <c r="G28" s="26">
        <f t="shared" si="18"/>
        <v>5188</v>
      </c>
      <c r="H28" s="26">
        <f t="shared" si="18"/>
        <v>-811</v>
      </c>
      <c r="I28" s="26">
        <f t="shared" si="18"/>
        <v>17</v>
      </c>
      <c r="J28" s="26">
        <f t="shared" si="18"/>
        <v>4661</v>
      </c>
      <c r="K28" s="26">
        <f t="shared" si="18"/>
        <v>-527</v>
      </c>
      <c r="L28" s="26">
        <f t="shared" si="18"/>
        <v>307</v>
      </c>
      <c r="M28" s="26">
        <f t="shared" si="18"/>
        <v>3198</v>
      </c>
      <c r="N28" s="26">
        <f t="shared" si="18"/>
        <v>-1463</v>
      </c>
      <c r="O28" s="26">
        <f t="shared" si="18"/>
        <v>307</v>
      </c>
      <c r="P28" s="26">
        <f t="shared" si="18"/>
        <v>3198</v>
      </c>
      <c r="Q28" s="26">
        <f t="shared" si="18"/>
        <v>0</v>
      </c>
      <c r="R28" s="26">
        <f t="shared" si="18"/>
        <v>0</v>
      </c>
      <c r="S28" s="26">
        <f t="shared" si="18"/>
        <v>2233</v>
      </c>
      <c r="T28" s="26">
        <f t="shared" si="18"/>
        <v>-965</v>
      </c>
      <c r="U28" s="26">
        <f t="shared" si="18"/>
        <v>0</v>
      </c>
      <c r="V28" s="26">
        <f t="shared" si="18"/>
        <v>2120</v>
      </c>
      <c r="W28" s="26">
        <f t="shared" si="18"/>
        <v>-113</v>
      </c>
      <c r="X28" s="26">
        <f t="shared" si="18"/>
        <v>0</v>
      </c>
      <c r="Y28" s="26">
        <f t="shared" si="18"/>
        <v>1085</v>
      </c>
      <c r="Z28" s="26">
        <f t="shared" si="18"/>
        <v>-2113</v>
      </c>
      <c r="AA28" s="26">
        <f t="shared" si="18"/>
        <v>0</v>
      </c>
      <c r="AB28" s="26">
        <f t="shared" si="18"/>
        <v>1085</v>
      </c>
      <c r="AC28" s="26">
        <f t="shared" si="18"/>
        <v>0</v>
      </c>
      <c r="AD28" s="27">
        <f>SUM(AD6:AD27)</f>
        <v>307</v>
      </c>
      <c r="AE28" s="27">
        <f>SUM(AE6:AE27)</f>
        <v>3198</v>
      </c>
      <c r="AF28" s="27">
        <f>SUM(AF6:AF27)/2</f>
        <v>31.156500000000001</v>
      </c>
      <c r="AG28" s="27">
        <f t="shared" ref="AG28:AL28" si="19">SUM(AG6:AG27)</f>
        <v>25</v>
      </c>
      <c r="AH28" s="27">
        <f t="shared" si="19"/>
        <v>285</v>
      </c>
      <c r="AI28" s="27">
        <f t="shared" si="19"/>
        <v>14</v>
      </c>
      <c r="AJ28" s="27">
        <f t="shared" si="19"/>
        <v>138</v>
      </c>
      <c r="AK28" s="27">
        <f t="shared" si="19"/>
        <v>2</v>
      </c>
      <c r="AL28" s="27">
        <f t="shared" si="19"/>
        <v>20</v>
      </c>
      <c r="AM28" s="29">
        <f>L28*AF28/480/AG28</f>
        <v>0.79708712500000001</v>
      </c>
      <c r="AN28" s="30">
        <f>M28*AF28/480/AH28</f>
        <v>0.72835151315789481</v>
      </c>
      <c r="AO28" s="31"/>
    </row>
    <row r="29" spans="1:41" ht="18.75" customHeight="1" x14ac:dyDescent="0.25">
      <c r="A29" s="265" t="s">
        <v>32</v>
      </c>
      <c r="B29" s="171" t="s">
        <v>41</v>
      </c>
      <c r="C29" s="300" t="s">
        <v>37</v>
      </c>
      <c r="D29" s="34" t="s">
        <v>42</v>
      </c>
      <c r="E29" s="172">
        <v>1645</v>
      </c>
      <c r="F29" s="172"/>
      <c r="G29" s="172">
        <f>1433</f>
        <v>1433</v>
      </c>
      <c r="H29" s="172">
        <f t="shared" ref="H29:H31" si="20">G29-E29</f>
        <v>-212</v>
      </c>
      <c r="I29" s="172"/>
      <c r="J29" s="172">
        <f>100+200+300+350+400+83</f>
        <v>1433</v>
      </c>
      <c r="K29" s="172">
        <f t="shared" ref="K29:K31" si="21">J29-G29</f>
        <v>0</v>
      </c>
      <c r="L29" s="172"/>
      <c r="M29" s="172">
        <f>102+201+302+351-99-125-110+133+127+49+120+24+166+155+34</f>
        <v>1430</v>
      </c>
      <c r="N29" s="172">
        <f t="shared" ref="N29:N31" si="22">M29-J29</f>
        <v>-3</v>
      </c>
      <c r="O29" s="172"/>
      <c r="P29" s="172">
        <f>1075+166+155+34</f>
        <v>1430</v>
      </c>
      <c r="Q29" s="172">
        <f t="shared" ref="Q29:Q31" si="23">P29-M29</f>
        <v>0</v>
      </c>
      <c r="R29" s="172"/>
      <c r="S29" s="172">
        <f>970+260+50+150</f>
        <v>1430</v>
      </c>
      <c r="T29" s="35">
        <f t="shared" ref="T29:T31" si="24">S29-P29</f>
        <v>0</v>
      </c>
      <c r="U29" s="172"/>
      <c r="V29" s="172">
        <f>970+310+150</f>
        <v>1430</v>
      </c>
      <c r="W29" s="35">
        <f t="shared" ref="W29:W31" si="25">V29-S29</f>
        <v>0</v>
      </c>
      <c r="X29" s="172">
        <v>100</v>
      </c>
      <c r="Y29" s="172">
        <f>860+80+15+140+90+100</f>
        <v>1285</v>
      </c>
      <c r="Z29" s="172">
        <f t="shared" ref="Z29:Z31" si="26">Y29-P29</f>
        <v>-145</v>
      </c>
      <c r="AA29" s="172">
        <v>100</v>
      </c>
      <c r="AB29" s="172">
        <f>860+80+15+140+90+100</f>
        <v>1285</v>
      </c>
      <c r="AC29" s="33">
        <f t="shared" ref="AC29:AC31" si="27">AB29-Y29</f>
        <v>0</v>
      </c>
      <c r="AD29" s="267">
        <f>L32</f>
        <v>0</v>
      </c>
      <c r="AE29" s="263">
        <f>300+98+344+213+289+412+355+358+438+80</f>
        <v>2887</v>
      </c>
      <c r="AF29" s="268">
        <v>33.130000000000003</v>
      </c>
      <c r="AG29" s="263">
        <v>1</v>
      </c>
      <c r="AH29" s="261">
        <f>2+10+8+8+8+6+6+6+9+5+6+8+7+7+6+6+6+6+6+6+7+7+7+7+6+7+17+16+16+22+21+21+10+20+20+13+10+10+10+11+13</f>
        <v>403</v>
      </c>
      <c r="AI29" s="263"/>
      <c r="AJ29" s="261">
        <f>1+1+1+1+1+1+1+2+2+2+2+2+2+2+2+2+2+1+1+1+1+1+1+1+1+4+3+4+5+8+8+6+7+6+6+6+7+7+7</f>
        <v>119</v>
      </c>
      <c r="AK29" s="263"/>
      <c r="AL29" s="261">
        <f>1+1+1+1+1+1+1+1+1+1+1+1+1+1+1+1+2+2+2+2+2+1+1+1+1+1</f>
        <v>31</v>
      </c>
      <c r="AM29" s="249">
        <f>L32*AF29/480/AG29</f>
        <v>0</v>
      </c>
      <c r="AN29" s="249">
        <f>M32*AF29/480/AH29</f>
        <v>0.65818129652605462</v>
      </c>
      <c r="AO29" s="251"/>
    </row>
    <row r="30" spans="1:41" ht="18.75" customHeight="1" x14ac:dyDescent="0.25">
      <c r="A30" s="265"/>
      <c r="B30" s="36" t="s">
        <v>43</v>
      </c>
      <c r="C30" s="301"/>
      <c r="D30" s="38" t="s">
        <v>44</v>
      </c>
      <c r="E30" s="20">
        <v>1245</v>
      </c>
      <c r="F30" s="20"/>
      <c r="G30" s="20">
        <f>1237</f>
        <v>1237</v>
      </c>
      <c r="H30" s="20">
        <f t="shared" si="20"/>
        <v>-8</v>
      </c>
      <c r="I30" s="20"/>
      <c r="J30" s="20">
        <f>1237</f>
        <v>1237</v>
      </c>
      <c r="K30" s="20">
        <f t="shared" si="21"/>
        <v>0</v>
      </c>
      <c r="L30" s="20"/>
      <c r="M30" s="20">
        <f>300+99+125+110+98+101+59+41+12+93+57+100+35</f>
        <v>1230</v>
      </c>
      <c r="N30" s="20">
        <f t="shared" si="22"/>
        <v>-7</v>
      </c>
      <c r="O30" s="20"/>
      <c r="P30" s="20">
        <f>1038+57+100+35</f>
        <v>1230</v>
      </c>
      <c r="Q30" s="20">
        <f t="shared" si="23"/>
        <v>0</v>
      </c>
      <c r="R30" s="20"/>
      <c r="S30" s="20">
        <f>930+160+50+90</f>
        <v>1230</v>
      </c>
      <c r="T30" s="39">
        <f t="shared" si="24"/>
        <v>0</v>
      </c>
      <c r="U30" s="20"/>
      <c r="V30" s="20">
        <f>910+230+90</f>
        <v>1230</v>
      </c>
      <c r="W30" s="39">
        <f t="shared" si="25"/>
        <v>0</v>
      </c>
      <c r="X30" s="20">
        <v>130</v>
      </c>
      <c r="Y30" s="20">
        <f>750+75+40+90+100+130</f>
        <v>1185</v>
      </c>
      <c r="Z30" s="20">
        <f t="shared" si="26"/>
        <v>-45</v>
      </c>
      <c r="AA30" s="20">
        <v>130</v>
      </c>
      <c r="AB30" s="20">
        <f>750+75+40+90+100+130</f>
        <v>1185</v>
      </c>
      <c r="AC30" s="37">
        <f t="shared" si="27"/>
        <v>0</v>
      </c>
      <c r="AD30" s="263"/>
      <c r="AE30" s="263"/>
      <c r="AF30" s="268"/>
      <c r="AG30" s="263"/>
      <c r="AH30" s="261"/>
      <c r="AI30" s="263"/>
      <c r="AJ30" s="261"/>
      <c r="AK30" s="263"/>
      <c r="AL30" s="261"/>
      <c r="AM30" s="249"/>
      <c r="AN30" s="249"/>
      <c r="AO30" s="251"/>
    </row>
    <row r="31" spans="1:41" ht="18.75" customHeight="1" thickBot="1" x14ac:dyDescent="0.3">
      <c r="A31" s="265"/>
      <c r="B31" s="175" t="s">
        <v>45</v>
      </c>
      <c r="C31" s="302"/>
      <c r="D31" s="42" t="s">
        <v>46</v>
      </c>
      <c r="E31" s="25">
        <v>1300</v>
      </c>
      <c r="F31" s="25"/>
      <c r="G31" s="25">
        <f>1183</f>
        <v>1183</v>
      </c>
      <c r="H31" s="25">
        <f t="shared" si="20"/>
        <v>-117</v>
      </c>
      <c r="I31" s="25"/>
      <c r="J31" s="25">
        <f>520+663</f>
        <v>1183</v>
      </c>
      <c r="K31" s="25">
        <f t="shared" si="21"/>
        <v>0</v>
      </c>
      <c r="L31" s="25"/>
      <c r="M31" s="25">
        <f>110+27+199+280+238+135+183+11</f>
        <v>1183</v>
      </c>
      <c r="N31" s="25">
        <f t="shared" si="22"/>
        <v>0</v>
      </c>
      <c r="O31" s="25"/>
      <c r="P31" s="25">
        <f>854+135+183+11</f>
        <v>1183</v>
      </c>
      <c r="Q31" s="25">
        <f t="shared" si="23"/>
        <v>0</v>
      </c>
      <c r="R31" s="25"/>
      <c r="S31" s="25">
        <f>530+420+150+83</f>
        <v>1183</v>
      </c>
      <c r="T31" s="43">
        <f t="shared" si="24"/>
        <v>0</v>
      </c>
      <c r="U31" s="25"/>
      <c r="V31" s="25">
        <f>130+400+420+150+83</f>
        <v>1183</v>
      </c>
      <c r="W31" s="43">
        <f t="shared" si="25"/>
        <v>0</v>
      </c>
      <c r="X31" s="25">
        <v>120</v>
      </c>
      <c r="Y31" s="25">
        <f>100+190+190+320+190+120</f>
        <v>1110</v>
      </c>
      <c r="Z31" s="25">
        <f t="shared" si="26"/>
        <v>-73</v>
      </c>
      <c r="AA31" s="25">
        <v>120</v>
      </c>
      <c r="AB31" s="25">
        <f>100+190+190+320+190+120</f>
        <v>1110</v>
      </c>
      <c r="AC31" s="44">
        <f t="shared" si="27"/>
        <v>0</v>
      </c>
      <c r="AD31" s="263"/>
      <c r="AE31" s="263"/>
      <c r="AF31" s="268"/>
      <c r="AG31" s="263"/>
      <c r="AH31" s="261"/>
      <c r="AI31" s="263"/>
      <c r="AJ31" s="261"/>
      <c r="AK31" s="263"/>
      <c r="AL31" s="261"/>
      <c r="AM31" s="249"/>
      <c r="AN31" s="249"/>
      <c r="AO31" s="251"/>
    </row>
    <row r="32" spans="1:41" ht="18" thickBot="1" x14ac:dyDescent="0.3">
      <c r="A32" s="265"/>
      <c r="B32" s="253" t="s">
        <v>34</v>
      </c>
      <c r="C32" s="254"/>
      <c r="D32" s="255"/>
      <c r="E32" s="24">
        <f>+SUM(E29:E31)</f>
        <v>4190</v>
      </c>
      <c r="F32" s="24">
        <f t="shared" ref="F32:AC32" si="28">+SUM(F29:F31)</f>
        <v>0</v>
      </c>
      <c r="G32" s="24">
        <f t="shared" si="28"/>
        <v>3853</v>
      </c>
      <c r="H32" s="24">
        <f t="shared" si="28"/>
        <v>-337</v>
      </c>
      <c r="I32" s="24">
        <f t="shared" si="28"/>
        <v>0</v>
      </c>
      <c r="J32" s="24">
        <f t="shared" si="28"/>
        <v>3853</v>
      </c>
      <c r="K32" s="24">
        <f t="shared" si="28"/>
        <v>0</v>
      </c>
      <c r="L32" s="24">
        <f t="shared" si="28"/>
        <v>0</v>
      </c>
      <c r="M32" s="24">
        <f t="shared" si="28"/>
        <v>3843</v>
      </c>
      <c r="N32" s="24">
        <f t="shared" si="28"/>
        <v>-10</v>
      </c>
      <c r="O32" s="24">
        <f t="shared" si="28"/>
        <v>0</v>
      </c>
      <c r="P32" s="24">
        <f t="shared" si="28"/>
        <v>3843</v>
      </c>
      <c r="Q32" s="24">
        <f t="shared" si="28"/>
        <v>0</v>
      </c>
      <c r="R32" s="24">
        <f t="shared" si="28"/>
        <v>0</v>
      </c>
      <c r="S32" s="24">
        <f t="shared" si="28"/>
        <v>3843</v>
      </c>
      <c r="T32" s="24">
        <f t="shared" si="28"/>
        <v>0</v>
      </c>
      <c r="U32" s="24">
        <f t="shared" si="28"/>
        <v>0</v>
      </c>
      <c r="V32" s="24">
        <f t="shared" si="28"/>
        <v>3843</v>
      </c>
      <c r="W32" s="24">
        <f t="shared" si="28"/>
        <v>0</v>
      </c>
      <c r="X32" s="24">
        <f t="shared" si="28"/>
        <v>350</v>
      </c>
      <c r="Y32" s="24">
        <f t="shared" si="28"/>
        <v>3580</v>
      </c>
      <c r="Z32" s="24">
        <f t="shared" si="28"/>
        <v>-263</v>
      </c>
      <c r="AA32" s="24">
        <f t="shared" si="28"/>
        <v>350</v>
      </c>
      <c r="AB32" s="24">
        <f t="shared" si="28"/>
        <v>3580</v>
      </c>
      <c r="AC32" s="24">
        <f t="shared" si="28"/>
        <v>0</v>
      </c>
      <c r="AD32" s="264"/>
      <c r="AE32" s="264"/>
      <c r="AF32" s="269"/>
      <c r="AG32" s="264"/>
      <c r="AH32" s="262"/>
      <c r="AI32" s="264"/>
      <c r="AJ32" s="262"/>
      <c r="AK32" s="264"/>
      <c r="AL32" s="262"/>
      <c r="AM32" s="250"/>
      <c r="AN32" s="250"/>
      <c r="AO32" s="252"/>
    </row>
    <row r="33" spans="1:41" ht="18" customHeight="1" thickBot="1" x14ac:dyDescent="0.3">
      <c r="A33" s="266"/>
      <c r="B33" s="256" t="s">
        <v>40</v>
      </c>
      <c r="C33" s="256"/>
      <c r="D33" s="257"/>
      <c r="E33" s="26">
        <f>E32</f>
        <v>4190</v>
      </c>
      <c r="F33" s="26">
        <f t="shared" ref="F33:AC33" si="29">F32</f>
        <v>0</v>
      </c>
      <c r="G33" s="26">
        <f t="shared" si="29"/>
        <v>3853</v>
      </c>
      <c r="H33" s="26">
        <f t="shared" si="29"/>
        <v>-337</v>
      </c>
      <c r="I33" s="26">
        <f t="shared" si="29"/>
        <v>0</v>
      </c>
      <c r="J33" s="26">
        <f t="shared" si="29"/>
        <v>3853</v>
      </c>
      <c r="K33" s="26">
        <f t="shared" si="29"/>
        <v>0</v>
      </c>
      <c r="L33" s="26">
        <f t="shared" si="29"/>
        <v>0</v>
      </c>
      <c r="M33" s="26">
        <f t="shared" si="29"/>
        <v>3843</v>
      </c>
      <c r="N33" s="26">
        <f t="shared" si="29"/>
        <v>-10</v>
      </c>
      <c r="O33" s="26">
        <f t="shared" si="29"/>
        <v>0</v>
      </c>
      <c r="P33" s="26">
        <f t="shared" si="29"/>
        <v>3843</v>
      </c>
      <c r="Q33" s="26">
        <f t="shared" si="29"/>
        <v>0</v>
      </c>
      <c r="R33" s="26">
        <f t="shared" si="29"/>
        <v>0</v>
      </c>
      <c r="S33" s="26">
        <f t="shared" si="29"/>
        <v>3843</v>
      </c>
      <c r="T33" s="26">
        <f t="shared" si="29"/>
        <v>0</v>
      </c>
      <c r="U33" s="26">
        <f t="shared" si="29"/>
        <v>0</v>
      </c>
      <c r="V33" s="26">
        <f t="shared" si="29"/>
        <v>3843</v>
      </c>
      <c r="W33" s="26">
        <f t="shared" si="29"/>
        <v>0</v>
      </c>
      <c r="X33" s="26">
        <f t="shared" si="29"/>
        <v>350</v>
      </c>
      <c r="Y33" s="26">
        <f t="shared" si="29"/>
        <v>3580</v>
      </c>
      <c r="Z33" s="26">
        <f t="shared" si="29"/>
        <v>-263</v>
      </c>
      <c r="AA33" s="26">
        <f t="shared" si="29"/>
        <v>350</v>
      </c>
      <c r="AB33" s="26">
        <f t="shared" si="29"/>
        <v>3580</v>
      </c>
      <c r="AC33" s="26">
        <f t="shared" si="29"/>
        <v>0</v>
      </c>
      <c r="AD33" s="45">
        <f t="shared" ref="AD33:AL33" si="30">SUM(AD29:AD32)</f>
        <v>0</v>
      </c>
      <c r="AE33" s="45">
        <f t="shared" si="30"/>
        <v>2887</v>
      </c>
      <c r="AF33" s="46">
        <f t="shared" si="30"/>
        <v>33.130000000000003</v>
      </c>
      <c r="AG33" s="45">
        <f t="shared" si="30"/>
        <v>1</v>
      </c>
      <c r="AH33" s="45">
        <f t="shared" si="30"/>
        <v>403</v>
      </c>
      <c r="AI33" s="45">
        <f t="shared" si="30"/>
        <v>0</v>
      </c>
      <c r="AJ33" s="45">
        <f t="shared" si="30"/>
        <v>119</v>
      </c>
      <c r="AK33" s="45">
        <f t="shared" si="30"/>
        <v>0</v>
      </c>
      <c r="AL33" s="45">
        <f t="shared" si="30"/>
        <v>31</v>
      </c>
      <c r="AM33" s="47">
        <f>L33*AF33/480/AG33</f>
        <v>0</v>
      </c>
      <c r="AN33" s="48">
        <f>M33*AF33/480/AH33</f>
        <v>0.65818129652605462</v>
      </c>
      <c r="AO33" s="49"/>
    </row>
    <row r="34" spans="1:41" s="60" customFormat="1" ht="15.75" thickBot="1" x14ac:dyDescent="0.3">
      <c r="A34" s="50"/>
      <c r="B34" s="51"/>
      <c r="C34" s="51"/>
      <c r="D34" s="51"/>
      <c r="E34" s="51"/>
      <c r="F34" s="52"/>
      <c r="G34" s="51"/>
      <c r="H34" s="51"/>
      <c r="I34" s="169"/>
      <c r="J34" s="54"/>
      <c r="K34" s="51"/>
      <c r="L34" s="55"/>
      <c r="M34" s="51"/>
      <c r="N34" s="51"/>
      <c r="O34" s="56"/>
      <c r="P34" s="51"/>
      <c r="Q34" s="51"/>
      <c r="R34" s="55"/>
      <c r="S34" s="51"/>
      <c r="T34" s="51"/>
      <c r="U34" s="55"/>
      <c r="V34" s="51"/>
      <c r="W34" s="51"/>
      <c r="X34" s="55"/>
      <c r="Y34" s="51"/>
      <c r="Z34" s="51"/>
      <c r="AA34" s="55"/>
      <c r="AB34" s="51"/>
      <c r="AC34" s="51"/>
      <c r="AD34" s="168"/>
      <c r="AE34" s="58"/>
      <c r="AF34" s="51"/>
      <c r="AG34" s="168"/>
      <c r="AH34" s="58"/>
      <c r="AI34" s="168"/>
      <c r="AJ34" s="58"/>
      <c r="AK34" s="168"/>
      <c r="AL34" s="58"/>
      <c r="AM34" s="168"/>
      <c r="AN34" s="55"/>
      <c r="AO34" s="59"/>
    </row>
    <row r="35" spans="1:41" s="60" customFormat="1" ht="15.75" thickBot="1" x14ac:dyDescent="0.3">
      <c r="A35" s="258" t="s">
        <v>47</v>
      </c>
      <c r="B35" s="259"/>
      <c r="C35" s="259"/>
      <c r="D35" s="259"/>
      <c r="E35" s="260"/>
      <c r="F35" s="63">
        <f>F33+F28</f>
        <v>0</v>
      </c>
      <c r="G35" s="64"/>
      <c r="H35" s="64"/>
      <c r="I35" s="63">
        <f>I33+I28</f>
        <v>17</v>
      </c>
      <c r="J35" s="64"/>
      <c r="K35" s="65">
        <f>K33+K28</f>
        <v>-527</v>
      </c>
      <c r="L35" s="66">
        <f>L33+L28</f>
        <v>307</v>
      </c>
      <c r="M35" s="64"/>
      <c r="N35" s="65">
        <f>N33+N28</f>
        <v>-1473</v>
      </c>
      <c r="O35" s="66">
        <f>O33+O28</f>
        <v>307</v>
      </c>
      <c r="P35" s="64"/>
      <c r="Q35" s="65">
        <f>Q33+Q28</f>
        <v>0</v>
      </c>
      <c r="R35" s="66">
        <f>R33+R28</f>
        <v>0</v>
      </c>
      <c r="S35" s="64"/>
      <c r="T35" s="65">
        <f>T33+T28</f>
        <v>-965</v>
      </c>
      <c r="U35" s="66">
        <f>U33+U28</f>
        <v>0</v>
      </c>
      <c r="V35" s="64"/>
      <c r="W35" s="65">
        <f>W33+W28</f>
        <v>-113</v>
      </c>
      <c r="X35" s="66">
        <f>X33+X28</f>
        <v>350</v>
      </c>
      <c r="Y35" s="64"/>
      <c r="Z35" s="65">
        <f>Z33+Z28</f>
        <v>-2376</v>
      </c>
      <c r="AA35" s="66">
        <f>AA33+AA28</f>
        <v>350</v>
      </c>
      <c r="AB35" s="64"/>
      <c r="AC35" s="65">
        <f>AC33+AC28</f>
        <v>0</v>
      </c>
      <c r="AD35" s="67">
        <f>AD33+AD28</f>
        <v>307</v>
      </c>
      <c r="AE35" s="65">
        <f>AE33+AE28</f>
        <v>6085</v>
      </c>
      <c r="AF35" s="64"/>
      <c r="AG35" s="63">
        <f>AG33+AG28</f>
        <v>26</v>
      </c>
      <c r="AH35" s="68"/>
      <c r="AI35" s="63">
        <f>AI33+AI28</f>
        <v>14</v>
      </c>
      <c r="AJ35" s="68"/>
      <c r="AK35" s="63">
        <f>AK33+AK28</f>
        <v>2</v>
      </c>
      <c r="AL35" s="68"/>
      <c r="AM35" s="69">
        <f>SUM(AM33+AM28)/2</f>
        <v>0.3985435625</v>
      </c>
      <c r="AN35" s="69">
        <f>SUM(AN33+AN28)/2</f>
        <v>0.69326640484197477</v>
      </c>
      <c r="AO35" s="70"/>
    </row>
    <row r="36" spans="1:41" s="60" customFormat="1" ht="15" x14ac:dyDescent="0.25">
      <c r="O36" s="71"/>
    </row>
    <row r="37" spans="1:41" s="60" customFormat="1" ht="15" x14ac:dyDescent="0.25">
      <c r="O37" s="71"/>
      <c r="W37" s="60" t="s">
        <v>5</v>
      </c>
      <c r="Z37" s="60" t="s">
        <v>5</v>
      </c>
      <c r="AC37" s="60" t="s">
        <v>5</v>
      </c>
    </row>
  </sheetData>
  <mergeCells count="75"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  <mergeCell ref="AM4:AN4"/>
    <mergeCell ref="AO4:AO5"/>
    <mergeCell ref="A6:A28"/>
    <mergeCell ref="B6:B9"/>
    <mergeCell ref="C6:C18"/>
    <mergeCell ref="AD6:AD19"/>
    <mergeCell ref="AE6:AE19"/>
    <mergeCell ref="AF6:AF19"/>
    <mergeCell ref="AG6:AG19"/>
    <mergeCell ref="AH6:AH19"/>
    <mergeCell ref="X4:Z4"/>
    <mergeCell ref="AA4:AC4"/>
    <mergeCell ref="AD4:AE4"/>
    <mergeCell ref="AG4:AH4"/>
    <mergeCell ref="AI4:AJ4"/>
    <mergeCell ref="AK4:AL4"/>
    <mergeCell ref="AO6:AO19"/>
    <mergeCell ref="B10:B13"/>
    <mergeCell ref="B14:B18"/>
    <mergeCell ref="B19:D19"/>
    <mergeCell ref="B20:B26"/>
    <mergeCell ref="C20:C26"/>
    <mergeCell ref="AD20:AD27"/>
    <mergeCell ref="AE20:AE27"/>
    <mergeCell ref="AF20:AF27"/>
    <mergeCell ref="AG20:AG27"/>
    <mergeCell ref="AI6:AI19"/>
    <mergeCell ref="AJ6:AJ19"/>
    <mergeCell ref="AK6:AK19"/>
    <mergeCell ref="AL6:AL19"/>
    <mergeCell ref="AM6:AM19"/>
    <mergeCell ref="AN6:AN19"/>
    <mergeCell ref="AN20:AN27"/>
    <mergeCell ref="AO20:AO27"/>
    <mergeCell ref="B27:D27"/>
    <mergeCell ref="B28:D28"/>
    <mergeCell ref="A29:A33"/>
    <mergeCell ref="C29:C31"/>
    <mergeCell ref="AD29:AD32"/>
    <mergeCell ref="AE29:AE32"/>
    <mergeCell ref="AF29:AF32"/>
    <mergeCell ref="AG29:AG32"/>
    <mergeCell ref="AH20:AH27"/>
    <mergeCell ref="AI20:AI27"/>
    <mergeCell ref="AJ20:AJ27"/>
    <mergeCell ref="AK20:AK27"/>
    <mergeCell ref="AL20:AL27"/>
    <mergeCell ref="AM20:AM27"/>
    <mergeCell ref="AN29:AN32"/>
    <mergeCell ref="AO29:AO32"/>
    <mergeCell ref="B32:D32"/>
    <mergeCell ref="B33:D33"/>
    <mergeCell ref="A35:E35"/>
    <mergeCell ref="AH29:AH32"/>
    <mergeCell ref="AI29:AI32"/>
    <mergeCell ref="AJ29:AJ32"/>
    <mergeCell ref="AK29:AK32"/>
    <mergeCell ref="AL29:AL32"/>
    <mergeCell ref="AM29:AM32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35" max="5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6" sqref="A6:A28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5.7109375" style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6.14062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5.42578125" style="1" bestFit="1" customWidth="1"/>
    <col min="18" max="18" width="7.85546875" style="1" customWidth="1"/>
    <col min="19" max="19" width="8.85546875" style="1" customWidth="1"/>
    <col min="20" max="20" width="7.42578125" style="1" bestFit="1" customWidth="1"/>
    <col min="21" max="21" width="8.42578125" style="1" customWidth="1"/>
    <col min="22" max="22" width="7.85546875" style="1" customWidth="1"/>
    <col min="23" max="23" width="7.425781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45372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56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178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176" t="s">
        <v>26</v>
      </c>
      <c r="G5" s="9" t="s">
        <v>27</v>
      </c>
      <c r="H5" s="10" t="s">
        <v>28</v>
      </c>
      <c r="I5" s="178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177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178" t="s">
        <v>26</v>
      </c>
      <c r="AE5" s="9" t="s">
        <v>27</v>
      </c>
      <c r="AF5" s="176" t="s">
        <v>26</v>
      </c>
      <c r="AG5" s="176" t="s">
        <v>26</v>
      </c>
      <c r="AH5" s="9" t="s">
        <v>27</v>
      </c>
      <c r="AI5" s="176" t="s">
        <v>26</v>
      </c>
      <c r="AJ5" s="15" t="s">
        <v>27</v>
      </c>
      <c r="AK5" s="176" t="s">
        <v>26</v>
      </c>
      <c r="AL5" s="9" t="s">
        <v>27</v>
      </c>
      <c r="AM5" s="178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180">
        <v>680</v>
      </c>
      <c r="F6" s="180"/>
      <c r="G6" s="180">
        <f>680</f>
        <v>680</v>
      </c>
      <c r="H6" s="180">
        <f t="shared" ref="H6:H18" si="0">G6-E6</f>
        <v>0</v>
      </c>
      <c r="I6" s="180"/>
      <c r="J6" s="180">
        <f>428+252</f>
        <v>680</v>
      </c>
      <c r="K6" s="180">
        <f t="shared" ref="K6:K18" si="1">J6-G6</f>
        <v>0</v>
      </c>
      <c r="L6" s="180"/>
      <c r="M6" s="180">
        <f>62+144+4+9+26+75+226+36+4+6+7+45</f>
        <v>644</v>
      </c>
      <c r="N6" s="180">
        <f t="shared" ref="N6:N18" si="2">M6-J6</f>
        <v>-36</v>
      </c>
      <c r="O6" s="180"/>
      <c r="P6" s="119">
        <f>546+36+4+6+7+45</f>
        <v>644</v>
      </c>
      <c r="Q6" s="180">
        <f t="shared" ref="Q6:Q18" si="3">P6-M6</f>
        <v>0</v>
      </c>
      <c r="R6" s="18"/>
      <c r="S6" s="18">
        <f>210+330+40+12</f>
        <v>592</v>
      </c>
      <c r="T6" s="18">
        <f t="shared" ref="T6:T18" si="4">S6-P6</f>
        <v>-52</v>
      </c>
      <c r="U6" s="18"/>
      <c r="V6" s="18">
        <f>200+340+40</f>
        <v>580</v>
      </c>
      <c r="W6" s="18">
        <f t="shared" ref="W6:W18" si="5">V6-S6</f>
        <v>-12</v>
      </c>
      <c r="X6" s="180"/>
      <c r="Y6" s="180">
        <f>175+10+40</f>
        <v>225</v>
      </c>
      <c r="Z6" s="180">
        <f t="shared" ref="Z6:Z18" si="6">Y6-P6</f>
        <v>-419</v>
      </c>
      <c r="AA6" s="180"/>
      <c r="AB6" s="180">
        <f>175+10+40</f>
        <v>225</v>
      </c>
      <c r="AC6" s="19">
        <f t="shared" ref="AC6:AC18" si="7">AB6-Y6</f>
        <v>0</v>
      </c>
      <c r="AD6" s="267">
        <f>L19</f>
        <v>397</v>
      </c>
      <c r="AE6" s="267">
        <f>62+144+4+20+190+196+47+175+261+297+182+288+308+374+343+307+397</f>
        <v>3595</v>
      </c>
      <c r="AF6" s="282">
        <v>24.192</v>
      </c>
      <c r="AG6" s="267">
        <v>15</v>
      </c>
      <c r="AH6" s="277">
        <f>6+8+6+10+10+10+20+6+22+13+22+8+10+9+11+13+26+20+20+20+15</f>
        <v>285</v>
      </c>
      <c r="AI6" s="267">
        <v>10</v>
      </c>
      <c r="AJ6" s="277">
        <f>1+2+2+2+3+3+5+4+5+5+11+11+7+7+7+7+14+12+12+12+10</f>
        <v>142</v>
      </c>
      <c r="AK6" s="267">
        <v>1</v>
      </c>
      <c r="AL6" s="277">
        <f>1+1+1+1+1+1+1+1+1+1+1+1+2+1+1+1+1</f>
        <v>18</v>
      </c>
      <c r="AM6" s="270">
        <f>L19*AF6/480/AG6</f>
        <v>1.33392</v>
      </c>
      <c r="AN6" s="270">
        <f>M19*AF6/480/AH6</f>
        <v>0.63574736842105273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>
        <v>50</v>
      </c>
      <c r="M7" s="20">
        <f>20+117+9+13+48+110+29+97+43+5+27+50</f>
        <v>568</v>
      </c>
      <c r="N7" s="20">
        <f t="shared" si="2"/>
        <v>-31</v>
      </c>
      <c r="O7" s="20"/>
      <c r="P7" s="20">
        <f>292+29+122+43+5+27</f>
        <v>518</v>
      </c>
      <c r="Q7" s="20">
        <f t="shared" si="3"/>
        <v>-50</v>
      </c>
      <c r="R7" s="20"/>
      <c r="S7" s="20">
        <f>160+140+90+90+11</f>
        <v>491</v>
      </c>
      <c r="T7" s="20">
        <f t="shared" si="4"/>
        <v>-27</v>
      </c>
      <c r="U7" s="20"/>
      <c r="V7" s="20">
        <f>150+240+90</f>
        <v>480</v>
      </c>
      <c r="W7" s="20">
        <f t="shared" si="5"/>
        <v>-11</v>
      </c>
      <c r="X7" s="20"/>
      <c r="Y7" s="20">
        <f>130+10+160+125</f>
        <v>425</v>
      </c>
      <c r="Z7" s="20">
        <f t="shared" si="6"/>
        <v>-93</v>
      </c>
      <c r="AA7" s="20"/>
      <c r="AB7" s="20">
        <f>130+10+160+125</f>
        <v>425</v>
      </c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>
        <v>100</v>
      </c>
      <c r="M8" s="20">
        <f>73+187+25+59+76+42+58+4+3+5+31+100</f>
        <v>663</v>
      </c>
      <c r="N8" s="20">
        <f t="shared" si="2"/>
        <v>-14</v>
      </c>
      <c r="O8" s="20"/>
      <c r="P8" s="20">
        <f>420+42+58+4+3+5+31</f>
        <v>563</v>
      </c>
      <c r="Q8" s="20">
        <f t="shared" si="3"/>
        <v>-100</v>
      </c>
      <c r="R8" s="20"/>
      <c r="S8" s="20">
        <f>250+150+50+50+25</f>
        <v>525</v>
      </c>
      <c r="T8" s="20">
        <f t="shared" si="4"/>
        <v>-38</v>
      </c>
      <c r="U8" s="20"/>
      <c r="V8" s="20">
        <f>250+200+50</f>
        <v>500</v>
      </c>
      <c r="W8" s="20">
        <f t="shared" si="5"/>
        <v>-25</v>
      </c>
      <c r="X8" s="20"/>
      <c r="Y8" s="20">
        <f>180+45+80+130</f>
        <v>435</v>
      </c>
      <c r="Z8" s="20">
        <f t="shared" si="6"/>
        <v>-128</v>
      </c>
      <c r="AA8" s="20"/>
      <c r="AB8" s="20">
        <f>180+45+80+130</f>
        <v>435</v>
      </c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>
        <f>42+27+5+5</f>
        <v>79</v>
      </c>
      <c r="N9" s="20">
        <f t="shared" si="2"/>
        <v>-27</v>
      </c>
      <c r="O9" s="20"/>
      <c r="P9" s="20">
        <f>42+27+5+5</f>
        <v>79</v>
      </c>
      <c r="Q9" s="20">
        <f t="shared" si="3"/>
        <v>0</v>
      </c>
      <c r="R9" s="20"/>
      <c r="S9" s="20">
        <f>10+14</f>
        <v>24</v>
      </c>
      <c r="T9" s="20">
        <f t="shared" si="4"/>
        <v>-55</v>
      </c>
      <c r="U9" s="20"/>
      <c r="V9" s="20"/>
      <c r="W9" s="20">
        <f t="shared" si="5"/>
        <v>-24</v>
      </c>
      <c r="X9" s="20"/>
      <c r="Y9" s="20"/>
      <c r="Z9" s="20">
        <f t="shared" si="6"/>
        <v>-79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303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/>
      <c r="M10" s="20">
        <f>37+134+20+12</f>
        <v>203</v>
      </c>
      <c r="N10" s="20">
        <f t="shared" si="2"/>
        <v>-20</v>
      </c>
      <c r="O10" s="20"/>
      <c r="P10" s="20">
        <f>37+134+20+12</f>
        <v>203</v>
      </c>
      <c r="Q10" s="20">
        <f t="shared" si="3"/>
        <v>0</v>
      </c>
      <c r="R10" s="20"/>
      <c r="S10" s="20">
        <f>170+20</f>
        <v>190</v>
      </c>
      <c r="T10" s="20">
        <f t="shared" si="4"/>
        <v>-13</v>
      </c>
      <c r="U10" s="20"/>
      <c r="V10" s="20">
        <f>160</f>
        <v>160</v>
      </c>
      <c r="W10" s="20">
        <f t="shared" si="5"/>
        <v>-30</v>
      </c>
      <c r="X10" s="20"/>
      <c r="Y10" s="20"/>
      <c r="Z10" s="20">
        <f t="shared" si="6"/>
        <v>-203</v>
      </c>
      <c r="AA10" s="20"/>
      <c r="AB10" s="20"/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>
        <f>172+55</f>
        <v>227</v>
      </c>
      <c r="N11" s="20">
        <f t="shared" si="2"/>
        <v>0</v>
      </c>
      <c r="O11" s="20"/>
      <c r="P11" s="20">
        <f>172+55</f>
        <v>227</v>
      </c>
      <c r="Q11" s="20">
        <f t="shared" si="3"/>
        <v>0</v>
      </c>
      <c r="R11" s="20"/>
      <c r="S11" s="20">
        <f>160+60</f>
        <v>220</v>
      </c>
      <c r="T11" s="20">
        <f t="shared" si="4"/>
        <v>-7</v>
      </c>
      <c r="U11" s="20"/>
      <c r="V11" s="20">
        <f>10+210</f>
        <v>220</v>
      </c>
      <c r="W11" s="20">
        <f t="shared" si="5"/>
        <v>0</v>
      </c>
      <c r="X11" s="20"/>
      <c r="Y11" s="20"/>
      <c r="Z11" s="20">
        <f t="shared" si="6"/>
        <v>-227</v>
      </c>
      <c r="AA11" s="20"/>
      <c r="AB11" s="20"/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/>
      <c r="M12" s="20">
        <f>156+20+12</f>
        <v>188</v>
      </c>
      <c r="N12" s="20">
        <f t="shared" si="2"/>
        <v>-54</v>
      </c>
      <c r="O12" s="20"/>
      <c r="P12" s="20">
        <f>156+20+12</f>
        <v>188</v>
      </c>
      <c r="Q12" s="20">
        <f t="shared" si="3"/>
        <v>0</v>
      </c>
      <c r="R12" s="20"/>
      <c r="S12" s="20">
        <f>10+171</f>
        <v>181</v>
      </c>
      <c r="T12" s="20">
        <f t="shared" si="4"/>
        <v>-7</v>
      </c>
      <c r="U12" s="20"/>
      <c r="V12" s="20">
        <f>170</f>
        <v>170</v>
      </c>
      <c r="W12" s="20">
        <f t="shared" si="5"/>
        <v>-11</v>
      </c>
      <c r="X12" s="20"/>
      <c r="Y12" s="20"/>
      <c r="Z12" s="20">
        <f t="shared" si="6"/>
        <v>-188</v>
      </c>
      <c r="AA12" s="20"/>
      <c r="AB12" s="20"/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x14ac:dyDescent="0.25">
      <c r="A13" s="283"/>
      <c r="B13" s="298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/>
      <c r="M13" s="20">
        <f>10+108+4+4</f>
        <v>126</v>
      </c>
      <c r="N13" s="20">
        <f t="shared" si="2"/>
        <v>-45</v>
      </c>
      <c r="O13" s="20"/>
      <c r="P13" s="20">
        <f>10+108+4+4</f>
        <v>126</v>
      </c>
      <c r="Q13" s="20">
        <f t="shared" si="3"/>
        <v>0</v>
      </c>
      <c r="R13" s="20"/>
      <c r="S13" s="20">
        <f>10</f>
        <v>10</v>
      </c>
      <c r="T13" s="20">
        <f t="shared" si="4"/>
        <v>-116</v>
      </c>
      <c r="U13" s="20"/>
      <c r="V13" s="20">
        <f>10</f>
        <v>10</v>
      </c>
      <c r="W13" s="20">
        <f t="shared" si="5"/>
        <v>0</v>
      </c>
      <c r="X13" s="20"/>
      <c r="Y13" s="20"/>
      <c r="Z13" s="20">
        <f t="shared" si="6"/>
        <v>-126</v>
      </c>
      <c r="AA13" s="20"/>
      <c r="AB13" s="20"/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x14ac:dyDescent="0.25">
      <c r="A14" s="283"/>
      <c r="B14" s="279" t="s">
        <v>57</v>
      </c>
      <c r="C14" s="281"/>
      <c r="D14" s="20" t="s">
        <v>58</v>
      </c>
      <c r="E14" s="20">
        <v>350</v>
      </c>
      <c r="F14" s="20"/>
      <c r="G14" s="20">
        <f>328</f>
        <v>328</v>
      </c>
      <c r="H14" s="20">
        <f t="shared" si="0"/>
        <v>-22</v>
      </c>
      <c r="I14" s="20"/>
      <c r="J14" s="20">
        <f>328</f>
        <v>328</v>
      </c>
      <c r="K14" s="20">
        <f t="shared" si="1"/>
        <v>0</v>
      </c>
      <c r="L14" s="20"/>
      <c r="M14" s="20">
        <f>151+134</f>
        <v>285</v>
      </c>
      <c r="N14" s="20">
        <f t="shared" si="2"/>
        <v>-43</v>
      </c>
      <c r="O14" s="20"/>
      <c r="P14" s="20">
        <f>151+134</f>
        <v>285</v>
      </c>
      <c r="Q14" s="20">
        <f t="shared" si="3"/>
        <v>0</v>
      </c>
      <c r="R14" s="18"/>
      <c r="S14" s="18"/>
      <c r="T14" s="18">
        <f t="shared" si="4"/>
        <v>-285</v>
      </c>
      <c r="U14" s="18"/>
      <c r="V14" s="18"/>
      <c r="W14" s="18">
        <f t="shared" si="5"/>
        <v>0</v>
      </c>
      <c r="X14" s="20"/>
      <c r="Y14" s="20"/>
      <c r="Z14" s="20">
        <f t="shared" si="6"/>
        <v>-285</v>
      </c>
      <c r="AA14" s="20"/>
      <c r="AB14" s="20"/>
      <c r="AC14" s="21">
        <f t="shared" si="7"/>
        <v>0</v>
      </c>
      <c r="AD14" s="263"/>
      <c r="AE14" s="263"/>
      <c r="AF14" s="268"/>
      <c r="AG14" s="263"/>
      <c r="AH14" s="261"/>
      <c r="AI14" s="263"/>
      <c r="AJ14" s="261"/>
      <c r="AK14" s="263"/>
      <c r="AL14" s="261"/>
      <c r="AM14" s="249"/>
      <c r="AN14" s="249"/>
      <c r="AO14" s="251"/>
    </row>
    <row r="15" spans="1:41" x14ac:dyDescent="0.25">
      <c r="A15" s="283"/>
      <c r="B15" s="279"/>
      <c r="C15" s="281"/>
      <c r="D15" s="20" t="s">
        <v>33</v>
      </c>
      <c r="E15" s="20">
        <v>375</v>
      </c>
      <c r="F15" s="20"/>
      <c r="G15" s="20">
        <f>350</f>
        <v>350</v>
      </c>
      <c r="H15" s="20">
        <f t="shared" si="0"/>
        <v>-25</v>
      </c>
      <c r="I15" s="20"/>
      <c r="J15" s="20">
        <f>350</f>
        <v>350</v>
      </c>
      <c r="K15" s="20">
        <f t="shared" si="1"/>
        <v>0</v>
      </c>
      <c r="L15" s="20"/>
      <c r="M15" s="20">
        <f>152+120+21</f>
        <v>293</v>
      </c>
      <c r="N15" s="20">
        <f t="shared" si="2"/>
        <v>-57</v>
      </c>
      <c r="O15" s="20"/>
      <c r="P15" s="20">
        <f>152+120+21</f>
        <v>293</v>
      </c>
      <c r="Q15" s="20">
        <f t="shared" si="3"/>
        <v>0</v>
      </c>
      <c r="R15" s="20"/>
      <c r="S15" s="20"/>
      <c r="T15" s="20">
        <f t="shared" si="4"/>
        <v>-293</v>
      </c>
      <c r="U15" s="20"/>
      <c r="V15" s="20"/>
      <c r="W15" s="20">
        <f t="shared" si="5"/>
        <v>0</v>
      </c>
      <c r="X15" s="20"/>
      <c r="Y15" s="20"/>
      <c r="Z15" s="20">
        <f t="shared" si="6"/>
        <v>-293</v>
      </c>
      <c r="AA15" s="20"/>
      <c r="AB15" s="20"/>
      <c r="AC15" s="21">
        <f t="shared" si="7"/>
        <v>0</v>
      </c>
      <c r="AD15" s="263"/>
      <c r="AE15" s="263"/>
      <c r="AF15" s="268"/>
      <c r="AG15" s="263"/>
      <c r="AH15" s="261"/>
      <c r="AI15" s="263"/>
      <c r="AJ15" s="261"/>
      <c r="AK15" s="263"/>
      <c r="AL15" s="261"/>
      <c r="AM15" s="249"/>
      <c r="AN15" s="249"/>
      <c r="AO15" s="251"/>
    </row>
    <row r="16" spans="1:41" x14ac:dyDescent="0.25">
      <c r="A16" s="283"/>
      <c r="B16" s="279"/>
      <c r="C16" s="281"/>
      <c r="D16" s="20" t="s">
        <v>59</v>
      </c>
      <c r="E16" s="20">
        <v>375</v>
      </c>
      <c r="F16" s="20"/>
      <c r="G16" s="20">
        <f>213</f>
        <v>213</v>
      </c>
      <c r="H16" s="20">
        <f t="shared" si="0"/>
        <v>-162</v>
      </c>
      <c r="I16" s="20"/>
      <c r="J16" s="20">
        <f>213</f>
        <v>213</v>
      </c>
      <c r="K16" s="20">
        <f t="shared" si="1"/>
        <v>0</v>
      </c>
      <c r="L16" s="20">
        <v>200</v>
      </c>
      <c r="M16" s="20">
        <f>200</f>
        <v>200</v>
      </c>
      <c r="N16" s="20">
        <f t="shared" si="2"/>
        <v>-13</v>
      </c>
      <c r="O16" s="20"/>
      <c r="P16" s="20"/>
      <c r="Q16" s="20">
        <f t="shared" si="3"/>
        <v>-200</v>
      </c>
      <c r="R16" s="20"/>
      <c r="S16" s="20"/>
      <c r="T16" s="20">
        <f t="shared" si="4"/>
        <v>0</v>
      </c>
      <c r="U16" s="20"/>
      <c r="V16" s="20"/>
      <c r="W16" s="20">
        <f t="shared" si="5"/>
        <v>0</v>
      </c>
      <c r="X16" s="20"/>
      <c r="Y16" s="20"/>
      <c r="Z16" s="20">
        <f t="shared" si="6"/>
        <v>0</v>
      </c>
      <c r="AA16" s="20"/>
      <c r="AB16" s="20"/>
      <c r="AC16" s="21">
        <f t="shared" si="7"/>
        <v>0</v>
      </c>
      <c r="AD16" s="263"/>
      <c r="AE16" s="263"/>
      <c r="AF16" s="268"/>
      <c r="AG16" s="263"/>
      <c r="AH16" s="261"/>
      <c r="AI16" s="263"/>
      <c r="AJ16" s="261"/>
      <c r="AK16" s="263"/>
      <c r="AL16" s="261"/>
      <c r="AM16" s="249"/>
      <c r="AN16" s="249"/>
      <c r="AO16" s="251"/>
    </row>
    <row r="17" spans="1:41" x14ac:dyDescent="0.25">
      <c r="A17" s="283"/>
      <c r="B17" s="279"/>
      <c r="C17" s="281"/>
      <c r="D17" s="20" t="s">
        <v>60</v>
      </c>
      <c r="E17" s="20">
        <v>350</v>
      </c>
      <c r="F17" s="20"/>
      <c r="G17" s="20">
        <f>237</f>
        <v>237</v>
      </c>
      <c r="H17" s="20">
        <f t="shared" si="0"/>
        <v>-113</v>
      </c>
      <c r="I17" s="20"/>
      <c r="J17" s="20">
        <f>237</f>
        <v>237</v>
      </c>
      <c r="K17" s="20">
        <f t="shared" si="1"/>
        <v>0</v>
      </c>
      <c r="L17" s="20">
        <v>47</v>
      </c>
      <c r="M17" s="20">
        <f>47</f>
        <v>47</v>
      </c>
      <c r="N17" s="20">
        <f t="shared" si="2"/>
        <v>-190</v>
      </c>
      <c r="O17" s="20"/>
      <c r="P17" s="20"/>
      <c r="Q17" s="20">
        <f t="shared" si="3"/>
        <v>-47</v>
      </c>
      <c r="R17" s="20"/>
      <c r="S17" s="20"/>
      <c r="T17" s="20">
        <f t="shared" si="4"/>
        <v>0</v>
      </c>
      <c r="U17" s="20"/>
      <c r="V17" s="20"/>
      <c r="W17" s="20">
        <f t="shared" si="5"/>
        <v>0</v>
      </c>
      <c r="X17" s="20"/>
      <c r="Y17" s="20"/>
      <c r="Z17" s="20">
        <f t="shared" si="6"/>
        <v>0</v>
      </c>
      <c r="AA17" s="20"/>
      <c r="AB17" s="20"/>
      <c r="AC17" s="21">
        <f t="shared" si="7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" thickBot="1" x14ac:dyDescent="0.3">
      <c r="A18" s="283"/>
      <c r="B18" s="299"/>
      <c r="C18" s="281"/>
      <c r="D18" s="20" t="s">
        <v>61</v>
      </c>
      <c r="E18" s="20">
        <v>350</v>
      </c>
      <c r="F18" s="20"/>
      <c r="G18" s="20">
        <f>345</f>
        <v>345</v>
      </c>
      <c r="H18" s="20">
        <f t="shared" si="0"/>
        <v>-5</v>
      </c>
      <c r="I18" s="20"/>
      <c r="J18" s="20">
        <f>345</f>
        <v>345</v>
      </c>
      <c r="K18" s="20">
        <f t="shared" si="1"/>
        <v>0</v>
      </c>
      <c r="L18" s="20"/>
      <c r="M18" s="20">
        <f>72</f>
        <v>72</v>
      </c>
      <c r="N18" s="20">
        <f t="shared" si="2"/>
        <v>-273</v>
      </c>
      <c r="O18" s="20"/>
      <c r="P18" s="20">
        <f>72</f>
        <v>72</v>
      </c>
      <c r="Q18" s="20">
        <f t="shared" si="3"/>
        <v>0</v>
      </c>
      <c r="R18" s="25"/>
      <c r="S18" s="25"/>
      <c r="T18" s="25">
        <f t="shared" si="4"/>
        <v>-72</v>
      </c>
      <c r="U18" s="25"/>
      <c r="V18" s="25"/>
      <c r="W18" s="25">
        <f t="shared" si="5"/>
        <v>0</v>
      </c>
      <c r="X18" s="20"/>
      <c r="Y18" s="20"/>
      <c r="Z18" s="20">
        <f t="shared" si="6"/>
        <v>-72</v>
      </c>
      <c r="AA18" s="20"/>
      <c r="AB18" s="20"/>
      <c r="AC18" s="21">
        <f t="shared" si="7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83"/>
      <c r="B19" s="272" t="s">
        <v>34</v>
      </c>
      <c r="C19" s="273"/>
      <c r="D19" s="274"/>
      <c r="E19" s="23">
        <f>+SUM(E6:E18)</f>
        <v>4962</v>
      </c>
      <c r="F19" s="23">
        <f>+SUM(F6:F18)</f>
        <v>0</v>
      </c>
      <c r="G19" s="23">
        <f>SUM(G6:G18)</f>
        <v>4398</v>
      </c>
      <c r="H19" s="23">
        <f t="shared" ref="H19:AC19" si="8">+SUM(H6:H18)</f>
        <v>-564</v>
      </c>
      <c r="I19" s="23">
        <f t="shared" si="8"/>
        <v>0</v>
      </c>
      <c r="J19" s="23">
        <f t="shared" si="8"/>
        <v>4398</v>
      </c>
      <c r="K19" s="23">
        <f t="shared" si="8"/>
        <v>0</v>
      </c>
      <c r="L19" s="23">
        <f t="shared" si="8"/>
        <v>397</v>
      </c>
      <c r="M19" s="23">
        <f t="shared" si="8"/>
        <v>3595</v>
      </c>
      <c r="N19" s="23">
        <f t="shared" si="8"/>
        <v>-803</v>
      </c>
      <c r="O19" s="23">
        <f t="shared" si="8"/>
        <v>0</v>
      </c>
      <c r="P19" s="23">
        <f t="shared" si="8"/>
        <v>3198</v>
      </c>
      <c r="Q19" s="23">
        <f t="shared" si="8"/>
        <v>-397</v>
      </c>
      <c r="R19" s="24">
        <f t="shared" si="8"/>
        <v>0</v>
      </c>
      <c r="S19" s="24">
        <f t="shared" si="8"/>
        <v>2233</v>
      </c>
      <c r="T19" s="24">
        <f t="shared" si="8"/>
        <v>-965</v>
      </c>
      <c r="U19" s="24">
        <f t="shared" si="8"/>
        <v>0</v>
      </c>
      <c r="V19" s="24">
        <f t="shared" si="8"/>
        <v>2120</v>
      </c>
      <c r="W19" s="24">
        <f t="shared" si="8"/>
        <v>-113</v>
      </c>
      <c r="X19" s="23">
        <f t="shared" si="8"/>
        <v>0</v>
      </c>
      <c r="Y19" s="23">
        <f t="shared" si="8"/>
        <v>1085</v>
      </c>
      <c r="Z19" s="23">
        <f t="shared" si="8"/>
        <v>-2113</v>
      </c>
      <c r="AA19" s="23">
        <f t="shared" si="8"/>
        <v>0</v>
      </c>
      <c r="AB19" s="23">
        <f t="shared" si="8"/>
        <v>1085</v>
      </c>
      <c r="AC19" s="15">
        <f t="shared" si="8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.75" customHeight="1" x14ac:dyDescent="0.25">
      <c r="A20" s="283"/>
      <c r="B20" s="297" t="s">
        <v>62</v>
      </c>
      <c r="C20" s="280" t="s">
        <v>63</v>
      </c>
      <c r="D20" s="16" t="s">
        <v>33</v>
      </c>
      <c r="E20" s="180">
        <v>155</v>
      </c>
      <c r="F20" s="180"/>
      <c r="G20" s="180">
        <f>130+8</f>
        <v>138</v>
      </c>
      <c r="H20" s="180">
        <f t="shared" ref="H20:H26" si="9">G20-E20</f>
        <v>-17</v>
      </c>
      <c r="I20" s="180"/>
      <c r="J20" s="180">
        <f>100+30+8</f>
        <v>138</v>
      </c>
      <c r="K20" s="180">
        <f t="shared" ref="K20:K26" si="10">J20-G20</f>
        <v>0</v>
      </c>
      <c r="L20" s="180"/>
      <c r="M20" s="180"/>
      <c r="N20" s="180">
        <f t="shared" ref="N20:N26" si="11">M20-J20</f>
        <v>-138</v>
      </c>
      <c r="O20" s="180"/>
      <c r="P20" s="119"/>
      <c r="Q20" s="180">
        <f t="shared" ref="Q20:Q26" si="12">P20-M20</f>
        <v>0</v>
      </c>
      <c r="R20" s="18"/>
      <c r="S20" s="18"/>
      <c r="T20" s="18">
        <f t="shared" ref="T20:T26" si="13">S20-P20</f>
        <v>0</v>
      </c>
      <c r="U20" s="18"/>
      <c r="V20" s="18"/>
      <c r="W20" s="18">
        <f t="shared" ref="W20:W26" si="14">V20-S20</f>
        <v>0</v>
      </c>
      <c r="X20" s="180"/>
      <c r="Y20" s="180"/>
      <c r="Z20" s="180">
        <f t="shared" ref="Z20:Z26" si="15">Y20-P20</f>
        <v>0</v>
      </c>
      <c r="AA20" s="180"/>
      <c r="AB20" s="180"/>
      <c r="AC20" s="19">
        <f t="shared" ref="AC20:AC26" si="16">AB20-Y20</f>
        <v>0</v>
      </c>
      <c r="AD20" s="267">
        <f>L27</f>
        <v>0</v>
      </c>
      <c r="AE20" s="267"/>
      <c r="AF20" s="282">
        <v>38.121000000000002</v>
      </c>
      <c r="AG20" s="267">
        <v>10</v>
      </c>
      <c r="AH20" s="277">
        <f>5+5+5+10</f>
        <v>25</v>
      </c>
      <c r="AI20" s="267">
        <v>4</v>
      </c>
      <c r="AJ20" s="277">
        <f>2+2+2+4</f>
        <v>10</v>
      </c>
      <c r="AK20" s="267">
        <v>1</v>
      </c>
      <c r="AL20" s="277">
        <f>1+1+1+1</f>
        <v>4</v>
      </c>
      <c r="AM20" s="270">
        <f>L27*AF20/480/AG20</f>
        <v>0</v>
      </c>
      <c r="AN20" s="270">
        <f>M27*AF20/480/AH20</f>
        <v>0</v>
      </c>
      <c r="AO20" s="271"/>
    </row>
    <row r="21" spans="1:41" x14ac:dyDescent="0.25">
      <c r="A21" s="283"/>
      <c r="B21" s="279"/>
      <c r="C21" s="281"/>
      <c r="D21" s="20" t="s">
        <v>64</v>
      </c>
      <c r="E21" s="20">
        <v>155</v>
      </c>
      <c r="F21" s="20"/>
      <c r="G21" s="20">
        <f>124+17</f>
        <v>141</v>
      </c>
      <c r="H21" s="20">
        <f t="shared" si="9"/>
        <v>-14</v>
      </c>
      <c r="I21" s="20">
        <v>141</v>
      </c>
      <c r="J21" s="20">
        <f>141</f>
        <v>141</v>
      </c>
      <c r="K21" s="20">
        <f t="shared" si="10"/>
        <v>0</v>
      </c>
      <c r="L21" s="20"/>
      <c r="M21" s="20"/>
      <c r="N21" s="20">
        <f t="shared" si="11"/>
        <v>-141</v>
      </c>
      <c r="O21" s="20"/>
      <c r="P21" s="20"/>
      <c r="Q21" s="20">
        <f t="shared" si="12"/>
        <v>0</v>
      </c>
      <c r="R21" s="20"/>
      <c r="S21" s="20"/>
      <c r="T21" s="20">
        <f t="shared" si="13"/>
        <v>0</v>
      </c>
      <c r="U21" s="20"/>
      <c r="V21" s="20"/>
      <c r="W21" s="20">
        <f t="shared" si="14"/>
        <v>0</v>
      </c>
      <c r="X21" s="20"/>
      <c r="Y21" s="20"/>
      <c r="Z21" s="20">
        <f t="shared" si="15"/>
        <v>0</v>
      </c>
      <c r="AA21" s="20"/>
      <c r="AB21" s="20"/>
      <c r="AC21" s="21">
        <f t="shared" si="16"/>
        <v>0</v>
      </c>
      <c r="AD21" s="263"/>
      <c r="AE21" s="263"/>
      <c r="AF21" s="268"/>
      <c r="AG21" s="263"/>
      <c r="AH21" s="261"/>
      <c r="AI21" s="263"/>
      <c r="AJ21" s="261"/>
      <c r="AK21" s="263"/>
      <c r="AL21" s="261"/>
      <c r="AM21" s="249"/>
      <c r="AN21" s="249"/>
      <c r="AO21" s="251"/>
    </row>
    <row r="22" spans="1:41" x14ac:dyDescent="0.25">
      <c r="A22" s="283"/>
      <c r="B22" s="279"/>
      <c r="C22" s="281"/>
      <c r="D22" s="20" t="s">
        <v>65</v>
      </c>
      <c r="E22" s="20">
        <v>155</v>
      </c>
      <c r="F22" s="20"/>
      <c r="G22" s="20">
        <f>116+9</f>
        <v>125</v>
      </c>
      <c r="H22" s="20">
        <f t="shared" si="9"/>
        <v>-30</v>
      </c>
      <c r="I22" s="20"/>
      <c r="J22" s="20">
        <f>116+9</f>
        <v>125</v>
      </c>
      <c r="K22" s="20">
        <f t="shared" si="10"/>
        <v>0</v>
      </c>
      <c r="L22" s="20"/>
      <c r="M22" s="20"/>
      <c r="N22" s="20">
        <f t="shared" si="11"/>
        <v>-125</v>
      </c>
      <c r="O22" s="20"/>
      <c r="P22" s="20"/>
      <c r="Q22" s="20">
        <f t="shared" si="12"/>
        <v>0</v>
      </c>
      <c r="R22" s="20"/>
      <c r="S22" s="20"/>
      <c r="T22" s="20">
        <f t="shared" si="13"/>
        <v>0</v>
      </c>
      <c r="U22" s="20"/>
      <c r="V22" s="20"/>
      <c r="W22" s="20">
        <f t="shared" si="14"/>
        <v>0</v>
      </c>
      <c r="X22" s="20"/>
      <c r="Y22" s="20"/>
      <c r="Z22" s="20">
        <f t="shared" si="15"/>
        <v>0</v>
      </c>
      <c r="AA22" s="20"/>
      <c r="AB22" s="20"/>
      <c r="AC22" s="21">
        <f t="shared" si="16"/>
        <v>0</v>
      </c>
      <c r="AD22" s="263"/>
      <c r="AE22" s="263"/>
      <c r="AF22" s="268"/>
      <c r="AG22" s="263"/>
      <c r="AH22" s="261"/>
      <c r="AI22" s="263"/>
      <c r="AJ22" s="261"/>
      <c r="AK22" s="263"/>
      <c r="AL22" s="261"/>
      <c r="AM22" s="249"/>
      <c r="AN22" s="249"/>
      <c r="AO22" s="251"/>
    </row>
    <row r="23" spans="1:41" x14ac:dyDescent="0.25">
      <c r="A23" s="283"/>
      <c r="B23" s="279"/>
      <c r="C23" s="281"/>
      <c r="D23" s="20" t="s">
        <v>66</v>
      </c>
      <c r="E23" s="20">
        <v>137</v>
      </c>
      <c r="F23" s="20">
        <v>15</v>
      </c>
      <c r="G23" s="20">
        <f>124+15</f>
        <v>139</v>
      </c>
      <c r="H23" s="20">
        <f t="shared" si="9"/>
        <v>2</v>
      </c>
      <c r="I23" s="20">
        <v>124</v>
      </c>
      <c r="J23" s="20">
        <f>124</f>
        <v>124</v>
      </c>
      <c r="K23" s="20">
        <f t="shared" si="10"/>
        <v>-15</v>
      </c>
      <c r="L23" s="20"/>
      <c r="M23" s="20"/>
      <c r="N23" s="20">
        <f t="shared" si="11"/>
        <v>-124</v>
      </c>
      <c r="O23" s="20"/>
      <c r="P23" s="20"/>
      <c r="Q23" s="20">
        <f t="shared" si="12"/>
        <v>0</v>
      </c>
      <c r="R23" s="20"/>
      <c r="S23" s="20"/>
      <c r="T23" s="20">
        <f t="shared" si="13"/>
        <v>0</v>
      </c>
      <c r="U23" s="20"/>
      <c r="V23" s="20"/>
      <c r="W23" s="20">
        <f t="shared" si="14"/>
        <v>0</v>
      </c>
      <c r="X23" s="20"/>
      <c r="Y23" s="20"/>
      <c r="Z23" s="20">
        <f t="shared" si="15"/>
        <v>0</v>
      </c>
      <c r="AA23" s="20"/>
      <c r="AB23" s="20"/>
      <c r="AC23" s="21">
        <f t="shared" si="16"/>
        <v>0</v>
      </c>
      <c r="AD23" s="263"/>
      <c r="AE23" s="263"/>
      <c r="AF23" s="268"/>
      <c r="AG23" s="263"/>
      <c r="AH23" s="261"/>
      <c r="AI23" s="263"/>
      <c r="AJ23" s="261"/>
      <c r="AK23" s="263"/>
      <c r="AL23" s="261"/>
      <c r="AM23" s="249"/>
      <c r="AN23" s="249"/>
      <c r="AO23" s="251"/>
    </row>
    <row r="24" spans="1:41" x14ac:dyDescent="0.25">
      <c r="A24" s="283"/>
      <c r="B24" s="279"/>
      <c r="C24" s="281"/>
      <c r="D24" s="20" t="s">
        <v>67</v>
      </c>
      <c r="E24" s="20">
        <v>155</v>
      </c>
      <c r="F24" s="20">
        <v>9</v>
      </c>
      <c r="G24" s="20">
        <f>146+9</f>
        <v>155</v>
      </c>
      <c r="H24" s="20">
        <f t="shared" si="9"/>
        <v>0</v>
      </c>
      <c r="I24" s="20">
        <v>155</v>
      </c>
      <c r="J24" s="20">
        <f>155</f>
        <v>155</v>
      </c>
      <c r="K24" s="20">
        <f t="shared" si="10"/>
        <v>0</v>
      </c>
      <c r="L24" s="20"/>
      <c r="M24" s="20"/>
      <c r="N24" s="20">
        <f t="shared" si="11"/>
        <v>-155</v>
      </c>
      <c r="O24" s="20"/>
      <c r="P24" s="20"/>
      <c r="Q24" s="20">
        <f t="shared" si="12"/>
        <v>0</v>
      </c>
      <c r="R24" s="20"/>
      <c r="S24" s="20"/>
      <c r="T24" s="20">
        <f t="shared" si="13"/>
        <v>0</v>
      </c>
      <c r="U24" s="20"/>
      <c r="V24" s="20"/>
      <c r="W24" s="20">
        <f t="shared" si="14"/>
        <v>0</v>
      </c>
      <c r="X24" s="20"/>
      <c r="Y24" s="20"/>
      <c r="Z24" s="20">
        <f t="shared" si="15"/>
        <v>0</v>
      </c>
      <c r="AA24" s="20"/>
      <c r="AB24" s="20"/>
      <c r="AC24" s="21">
        <f t="shared" si="16"/>
        <v>0</v>
      </c>
      <c r="AD24" s="263"/>
      <c r="AE24" s="263"/>
      <c r="AF24" s="268"/>
      <c r="AG24" s="263"/>
      <c r="AH24" s="261"/>
      <c r="AI24" s="263"/>
      <c r="AJ24" s="261"/>
      <c r="AK24" s="263"/>
      <c r="AL24" s="261"/>
      <c r="AM24" s="249"/>
      <c r="AN24" s="249"/>
      <c r="AO24" s="251"/>
    </row>
    <row r="25" spans="1:41" x14ac:dyDescent="0.25">
      <c r="A25" s="283"/>
      <c r="B25" s="279"/>
      <c r="C25" s="281"/>
      <c r="D25" s="20" t="s">
        <v>68</v>
      </c>
      <c r="E25" s="20">
        <v>155</v>
      </c>
      <c r="F25" s="20">
        <v>142</v>
      </c>
      <c r="G25" s="20">
        <f>142</f>
        <v>142</v>
      </c>
      <c r="H25" s="20">
        <f t="shared" si="9"/>
        <v>-13</v>
      </c>
      <c r="I25" s="20"/>
      <c r="J25" s="20"/>
      <c r="K25" s="20">
        <f t="shared" si="10"/>
        <v>-142</v>
      </c>
      <c r="L25" s="20"/>
      <c r="M25" s="20"/>
      <c r="N25" s="20">
        <f t="shared" si="11"/>
        <v>0</v>
      </c>
      <c r="O25" s="20"/>
      <c r="P25" s="20"/>
      <c r="Q25" s="20">
        <f t="shared" si="12"/>
        <v>0</v>
      </c>
      <c r="R25" s="20"/>
      <c r="S25" s="20"/>
      <c r="T25" s="20">
        <f t="shared" si="13"/>
        <v>0</v>
      </c>
      <c r="U25" s="20"/>
      <c r="V25" s="20"/>
      <c r="W25" s="20">
        <f t="shared" si="14"/>
        <v>0</v>
      </c>
      <c r="X25" s="20"/>
      <c r="Y25" s="20"/>
      <c r="Z25" s="20">
        <f t="shared" si="15"/>
        <v>0</v>
      </c>
      <c r="AA25" s="20"/>
      <c r="AB25" s="20"/>
      <c r="AC25" s="21">
        <f t="shared" si="16"/>
        <v>0</v>
      </c>
      <c r="AD25" s="263"/>
      <c r="AE25" s="263"/>
      <c r="AF25" s="268"/>
      <c r="AG25" s="263"/>
      <c r="AH25" s="261"/>
      <c r="AI25" s="263"/>
      <c r="AJ25" s="261"/>
      <c r="AK25" s="263"/>
      <c r="AL25" s="261"/>
      <c r="AM25" s="249"/>
      <c r="AN25" s="249"/>
      <c r="AO25" s="251"/>
    </row>
    <row r="26" spans="1:41" ht="18" thickBot="1" x14ac:dyDescent="0.3">
      <c r="A26" s="283"/>
      <c r="B26" s="298"/>
      <c r="C26" s="281"/>
      <c r="D26" s="20" t="s">
        <v>60</v>
      </c>
      <c r="E26" s="20">
        <v>125</v>
      </c>
      <c r="F26" s="20">
        <v>9</v>
      </c>
      <c r="G26" s="20">
        <f>116+9</f>
        <v>125</v>
      </c>
      <c r="H26" s="20">
        <f t="shared" si="9"/>
        <v>0</v>
      </c>
      <c r="I26" s="20">
        <v>125</v>
      </c>
      <c r="J26" s="20">
        <f>125</f>
        <v>125</v>
      </c>
      <c r="K26" s="20">
        <f t="shared" si="10"/>
        <v>0</v>
      </c>
      <c r="L26" s="20"/>
      <c r="M26" s="20"/>
      <c r="N26" s="20">
        <f t="shared" si="11"/>
        <v>-125</v>
      </c>
      <c r="O26" s="20"/>
      <c r="P26" s="20"/>
      <c r="Q26" s="20">
        <f t="shared" si="12"/>
        <v>0</v>
      </c>
      <c r="R26" s="22"/>
      <c r="S26" s="22"/>
      <c r="T26" s="22">
        <f t="shared" si="13"/>
        <v>0</v>
      </c>
      <c r="U26" s="22"/>
      <c r="V26" s="22"/>
      <c r="W26" s="22">
        <f t="shared" si="14"/>
        <v>0</v>
      </c>
      <c r="X26" s="20"/>
      <c r="Y26" s="20"/>
      <c r="Z26" s="20">
        <f t="shared" si="15"/>
        <v>0</v>
      </c>
      <c r="AA26" s="20"/>
      <c r="AB26" s="20"/>
      <c r="AC26" s="21">
        <f t="shared" si="16"/>
        <v>0</v>
      </c>
      <c r="AD26" s="263"/>
      <c r="AE26" s="263"/>
      <c r="AF26" s="268"/>
      <c r="AG26" s="263"/>
      <c r="AH26" s="261"/>
      <c r="AI26" s="263"/>
      <c r="AJ26" s="261"/>
      <c r="AK26" s="263"/>
      <c r="AL26" s="261"/>
      <c r="AM26" s="249"/>
      <c r="AN26" s="249"/>
      <c r="AO26" s="251"/>
    </row>
    <row r="27" spans="1:41" ht="18" thickBot="1" x14ac:dyDescent="0.3">
      <c r="A27" s="283"/>
      <c r="B27" s="272" t="s">
        <v>34</v>
      </c>
      <c r="C27" s="273"/>
      <c r="D27" s="274"/>
      <c r="E27" s="23">
        <f>+SUM(E20:E26)</f>
        <v>1037</v>
      </c>
      <c r="F27" s="23">
        <f>+SUM(F20:F26)</f>
        <v>175</v>
      </c>
      <c r="G27" s="23">
        <f>SUM(G20:G26)</f>
        <v>965</v>
      </c>
      <c r="H27" s="23">
        <f t="shared" ref="H27:AC27" si="17">+SUM(H20:H26)</f>
        <v>-72</v>
      </c>
      <c r="I27" s="23">
        <f t="shared" si="17"/>
        <v>545</v>
      </c>
      <c r="J27" s="23">
        <f t="shared" si="17"/>
        <v>808</v>
      </c>
      <c r="K27" s="23">
        <f t="shared" si="17"/>
        <v>-157</v>
      </c>
      <c r="L27" s="23">
        <f t="shared" si="17"/>
        <v>0</v>
      </c>
      <c r="M27" s="23">
        <f t="shared" si="17"/>
        <v>0</v>
      </c>
      <c r="N27" s="23">
        <f t="shared" si="17"/>
        <v>-808</v>
      </c>
      <c r="O27" s="23">
        <f t="shared" si="17"/>
        <v>0</v>
      </c>
      <c r="P27" s="23">
        <f t="shared" si="17"/>
        <v>0</v>
      </c>
      <c r="Q27" s="23">
        <f t="shared" si="17"/>
        <v>0</v>
      </c>
      <c r="R27" s="24">
        <f t="shared" si="17"/>
        <v>0</v>
      </c>
      <c r="S27" s="24">
        <f t="shared" si="17"/>
        <v>0</v>
      </c>
      <c r="T27" s="24">
        <f t="shared" si="17"/>
        <v>0</v>
      </c>
      <c r="U27" s="24">
        <f t="shared" si="17"/>
        <v>0</v>
      </c>
      <c r="V27" s="24">
        <f t="shared" si="17"/>
        <v>0</v>
      </c>
      <c r="W27" s="24">
        <f t="shared" si="17"/>
        <v>0</v>
      </c>
      <c r="X27" s="23">
        <f t="shared" si="17"/>
        <v>0</v>
      </c>
      <c r="Y27" s="23">
        <f t="shared" si="17"/>
        <v>0</v>
      </c>
      <c r="Z27" s="23">
        <f t="shared" si="17"/>
        <v>0</v>
      </c>
      <c r="AA27" s="23">
        <f t="shared" si="17"/>
        <v>0</v>
      </c>
      <c r="AB27" s="23">
        <f t="shared" si="17"/>
        <v>0</v>
      </c>
      <c r="AC27" s="15">
        <f t="shared" si="17"/>
        <v>0</v>
      </c>
      <c r="AD27" s="264"/>
      <c r="AE27" s="264"/>
      <c r="AF27" s="269"/>
      <c r="AG27" s="264"/>
      <c r="AH27" s="262"/>
      <c r="AI27" s="264"/>
      <c r="AJ27" s="262"/>
      <c r="AK27" s="264"/>
      <c r="AL27" s="262"/>
      <c r="AM27" s="250"/>
      <c r="AN27" s="250"/>
      <c r="AO27" s="252"/>
    </row>
    <row r="28" spans="1:41" ht="18" thickBot="1" x14ac:dyDescent="0.3">
      <c r="A28" s="284"/>
      <c r="B28" s="275" t="s">
        <v>40</v>
      </c>
      <c r="C28" s="275"/>
      <c r="D28" s="276"/>
      <c r="E28" s="26">
        <f>E19+E27</f>
        <v>5999</v>
      </c>
      <c r="F28" s="26">
        <f t="shared" ref="F28:AC28" si="18">F19+F27</f>
        <v>175</v>
      </c>
      <c r="G28" s="26">
        <f t="shared" si="18"/>
        <v>5363</v>
      </c>
      <c r="H28" s="26">
        <f t="shared" si="18"/>
        <v>-636</v>
      </c>
      <c r="I28" s="26">
        <f t="shared" si="18"/>
        <v>545</v>
      </c>
      <c r="J28" s="26">
        <f t="shared" si="18"/>
        <v>5206</v>
      </c>
      <c r="K28" s="26">
        <f t="shared" si="18"/>
        <v>-157</v>
      </c>
      <c r="L28" s="26">
        <f t="shared" si="18"/>
        <v>397</v>
      </c>
      <c r="M28" s="26">
        <f t="shared" si="18"/>
        <v>3595</v>
      </c>
      <c r="N28" s="26">
        <f t="shared" si="18"/>
        <v>-1611</v>
      </c>
      <c r="O28" s="26">
        <f t="shared" si="18"/>
        <v>0</v>
      </c>
      <c r="P28" s="26">
        <f t="shared" si="18"/>
        <v>3198</v>
      </c>
      <c r="Q28" s="26">
        <f t="shared" si="18"/>
        <v>-397</v>
      </c>
      <c r="R28" s="26">
        <f t="shared" si="18"/>
        <v>0</v>
      </c>
      <c r="S28" s="26">
        <f t="shared" si="18"/>
        <v>2233</v>
      </c>
      <c r="T28" s="26">
        <f t="shared" si="18"/>
        <v>-965</v>
      </c>
      <c r="U28" s="26">
        <f t="shared" si="18"/>
        <v>0</v>
      </c>
      <c r="V28" s="26">
        <f t="shared" si="18"/>
        <v>2120</v>
      </c>
      <c r="W28" s="26">
        <f t="shared" si="18"/>
        <v>-113</v>
      </c>
      <c r="X28" s="26">
        <f t="shared" si="18"/>
        <v>0</v>
      </c>
      <c r="Y28" s="26">
        <f t="shared" si="18"/>
        <v>1085</v>
      </c>
      <c r="Z28" s="26">
        <f t="shared" si="18"/>
        <v>-2113</v>
      </c>
      <c r="AA28" s="26">
        <f t="shared" si="18"/>
        <v>0</v>
      </c>
      <c r="AB28" s="26">
        <f t="shared" si="18"/>
        <v>1085</v>
      </c>
      <c r="AC28" s="26">
        <f t="shared" si="18"/>
        <v>0</v>
      </c>
      <c r="AD28" s="27">
        <f>SUM(AD6:AD27)</f>
        <v>397</v>
      </c>
      <c r="AE28" s="27">
        <f>SUM(AE6:AE27)</f>
        <v>3595</v>
      </c>
      <c r="AF28" s="27">
        <f>SUM(AF6:AF27)/2</f>
        <v>31.156500000000001</v>
      </c>
      <c r="AG28" s="27">
        <f t="shared" ref="AG28:AL28" si="19">SUM(AG6:AG27)</f>
        <v>25</v>
      </c>
      <c r="AH28" s="27">
        <f t="shared" si="19"/>
        <v>310</v>
      </c>
      <c r="AI28" s="27">
        <f t="shared" si="19"/>
        <v>14</v>
      </c>
      <c r="AJ28" s="27">
        <f t="shared" si="19"/>
        <v>152</v>
      </c>
      <c r="AK28" s="27">
        <f t="shared" si="19"/>
        <v>2</v>
      </c>
      <c r="AL28" s="27">
        <f t="shared" si="19"/>
        <v>22</v>
      </c>
      <c r="AM28" s="29">
        <f>L28*AF28/480/AG28</f>
        <v>1.0307608750000001</v>
      </c>
      <c r="AN28" s="30">
        <f>M28*AF28/480/AH28</f>
        <v>0.75273936491935489</v>
      </c>
      <c r="AO28" s="31"/>
    </row>
    <row r="29" spans="1:41" ht="18.75" customHeight="1" x14ac:dyDescent="0.25">
      <c r="A29" s="265" t="s">
        <v>32</v>
      </c>
      <c r="B29" s="179" t="s">
        <v>41</v>
      </c>
      <c r="C29" s="300" t="s">
        <v>37</v>
      </c>
      <c r="D29" s="34" t="s">
        <v>42</v>
      </c>
      <c r="E29" s="180">
        <v>1645</v>
      </c>
      <c r="F29" s="180"/>
      <c r="G29" s="180">
        <f>1433</f>
        <v>1433</v>
      </c>
      <c r="H29" s="180">
        <f t="shared" ref="H29:H31" si="20">G29-E29</f>
        <v>-212</v>
      </c>
      <c r="I29" s="180"/>
      <c r="J29" s="180">
        <f>100+200+300+350+400+83</f>
        <v>1433</v>
      </c>
      <c r="K29" s="180">
        <f t="shared" ref="K29:K31" si="21">J29-G29</f>
        <v>0</v>
      </c>
      <c r="L29" s="180"/>
      <c r="M29" s="180">
        <f>102+201+302+351-99-125-110+133+127+49+120+24+166+155+34</f>
        <v>1430</v>
      </c>
      <c r="N29" s="180">
        <f t="shared" ref="N29:N31" si="22">M29-J29</f>
        <v>-3</v>
      </c>
      <c r="O29" s="180"/>
      <c r="P29" s="180">
        <f>1075+166+155+34</f>
        <v>1430</v>
      </c>
      <c r="Q29" s="180">
        <f t="shared" ref="Q29:Q31" si="23">P29-M29</f>
        <v>0</v>
      </c>
      <c r="R29" s="180"/>
      <c r="S29" s="180">
        <f>970+260+50+150</f>
        <v>1430</v>
      </c>
      <c r="T29" s="35">
        <f t="shared" ref="T29:T31" si="24">S29-P29</f>
        <v>0</v>
      </c>
      <c r="U29" s="180"/>
      <c r="V29" s="180">
        <f>970+310+150</f>
        <v>1430</v>
      </c>
      <c r="W29" s="35">
        <f t="shared" ref="W29:W31" si="25">V29-S29</f>
        <v>0</v>
      </c>
      <c r="X29" s="180"/>
      <c r="Y29" s="180">
        <f>860+80+15+140+90+100</f>
        <v>1285</v>
      </c>
      <c r="Z29" s="180">
        <f t="shared" ref="Z29:Z31" si="26">Y29-P29</f>
        <v>-145</v>
      </c>
      <c r="AA29" s="180"/>
      <c r="AB29" s="180">
        <f>860+80+15+140+90+100</f>
        <v>1285</v>
      </c>
      <c r="AC29" s="33">
        <f t="shared" ref="AC29:AC31" si="27">AB29-Y29</f>
        <v>0</v>
      </c>
      <c r="AD29" s="267">
        <f>L32</f>
        <v>0</v>
      </c>
      <c r="AE29" s="263">
        <f>300+98+344+213+289+412+355+358+438+80</f>
        <v>2887</v>
      </c>
      <c r="AF29" s="268">
        <v>33.130000000000003</v>
      </c>
      <c r="AG29" s="263">
        <v>1</v>
      </c>
      <c r="AH29" s="261">
        <f>2+10+8+8+8+6+6+6+9+5+6+8+7+7+6+6+6+6+6+6+7+7+7+7+6+7+17+16+16+22+21+21+10+20+20+13+10+10+10+11+13</f>
        <v>403</v>
      </c>
      <c r="AI29" s="263"/>
      <c r="AJ29" s="261">
        <f>1+1+1+1+1+1+1+2+2+2+2+2+2+2+2+2+2+1+1+1+1+1+1+1+1+4+3+4+5+8+8+6+7+6+6+6+7+7+7</f>
        <v>119</v>
      </c>
      <c r="AK29" s="263"/>
      <c r="AL29" s="261">
        <f>1+1+1+1+1+1+1+1+1+1+1+1+1+1+1+1+2+2+2+2+2+1+1+1+1+1</f>
        <v>31</v>
      </c>
      <c r="AM29" s="249">
        <f>L32*AF29/480/AG29</f>
        <v>0</v>
      </c>
      <c r="AN29" s="249">
        <f>M32*AF29/480/AH29</f>
        <v>0.65818129652605462</v>
      </c>
      <c r="AO29" s="251"/>
    </row>
    <row r="30" spans="1:41" ht="18.75" customHeight="1" x14ac:dyDescent="0.25">
      <c r="A30" s="265"/>
      <c r="B30" s="36" t="s">
        <v>43</v>
      </c>
      <c r="C30" s="301"/>
      <c r="D30" s="38" t="s">
        <v>44</v>
      </c>
      <c r="E30" s="20">
        <v>1245</v>
      </c>
      <c r="F30" s="20"/>
      <c r="G30" s="20">
        <f>1237</f>
        <v>1237</v>
      </c>
      <c r="H30" s="20">
        <f t="shared" si="20"/>
        <v>-8</v>
      </c>
      <c r="I30" s="20"/>
      <c r="J30" s="20">
        <f>1237</f>
        <v>1237</v>
      </c>
      <c r="K30" s="20">
        <f t="shared" si="21"/>
        <v>0</v>
      </c>
      <c r="L30" s="20"/>
      <c r="M30" s="20">
        <f>300+99+125+110+98+101+59+41+12+93+57+100+35</f>
        <v>1230</v>
      </c>
      <c r="N30" s="20">
        <f t="shared" si="22"/>
        <v>-7</v>
      </c>
      <c r="O30" s="20"/>
      <c r="P30" s="20">
        <f>1038+57+100+35</f>
        <v>1230</v>
      </c>
      <c r="Q30" s="20">
        <f t="shared" si="23"/>
        <v>0</v>
      </c>
      <c r="R30" s="20"/>
      <c r="S30" s="20">
        <f>930+160+50+90</f>
        <v>1230</v>
      </c>
      <c r="T30" s="39">
        <f t="shared" si="24"/>
        <v>0</v>
      </c>
      <c r="U30" s="20"/>
      <c r="V30" s="20">
        <f>910+230+90</f>
        <v>1230</v>
      </c>
      <c r="W30" s="39">
        <f t="shared" si="25"/>
        <v>0</v>
      </c>
      <c r="X30" s="20"/>
      <c r="Y30" s="20">
        <f>750+75+40+90+100+130</f>
        <v>1185</v>
      </c>
      <c r="Z30" s="20">
        <f t="shared" si="26"/>
        <v>-45</v>
      </c>
      <c r="AA30" s="20"/>
      <c r="AB30" s="20">
        <f>750+75+40+90+100+130</f>
        <v>1185</v>
      </c>
      <c r="AC30" s="37">
        <f t="shared" si="27"/>
        <v>0</v>
      </c>
      <c r="AD30" s="263"/>
      <c r="AE30" s="263"/>
      <c r="AF30" s="268"/>
      <c r="AG30" s="263"/>
      <c r="AH30" s="261"/>
      <c r="AI30" s="263"/>
      <c r="AJ30" s="261"/>
      <c r="AK30" s="263"/>
      <c r="AL30" s="261"/>
      <c r="AM30" s="249"/>
      <c r="AN30" s="249"/>
      <c r="AO30" s="251"/>
    </row>
    <row r="31" spans="1:41" ht="18.75" customHeight="1" thickBot="1" x14ac:dyDescent="0.3">
      <c r="A31" s="265"/>
      <c r="B31" s="183" t="s">
        <v>45</v>
      </c>
      <c r="C31" s="302"/>
      <c r="D31" s="42" t="s">
        <v>46</v>
      </c>
      <c r="E31" s="25">
        <v>1300</v>
      </c>
      <c r="F31" s="25"/>
      <c r="G31" s="25">
        <f>1183</f>
        <v>1183</v>
      </c>
      <c r="H31" s="25">
        <f t="shared" si="20"/>
        <v>-117</v>
      </c>
      <c r="I31" s="25"/>
      <c r="J31" s="25">
        <f>520+663</f>
        <v>1183</v>
      </c>
      <c r="K31" s="25">
        <f t="shared" si="21"/>
        <v>0</v>
      </c>
      <c r="L31" s="25"/>
      <c r="M31" s="25">
        <f>110+27+199+280+238+135+183+11</f>
        <v>1183</v>
      </c>
      <c r="N31" s="25">
        <f t="shared" si="22"/>
        <v>0</v>
      </c>
      <c r="O31" s="25"/>
      <c r="P31" s="25">
        <f>854+135+183+11</f>
        <v>1183</v>
      </c>
      <c r="Q31" s="25">
        <f t="shared" si="23"/>
        <v>0</v>
      </c>
      <c r="R31" s="25"/>
      <c r="S31" s="25">
        <f>530+420+150+83</f>
        <v>1183</v>
      </c>
      <c r="T31" s="43">
        <f t="shared" si="24"/>
        <v>0</v>
      </c>
      <c r="U31" s="25"/>
      <c r="V31" s="25">
        <f>130+400+420+150+83</f>
        <v>1183</v>
      </c>
      <c r="W31" s="43">
        <f t="shared" si="25"/>
        <v>0</v>
      </c>
      <c r="X31" s="25"/>
      <c r="Y31" s="25">
        <f>100+190+190+320+190+120</f>
        <v>1110</v>
      </c>
      <c r="Z31" s="25">
        <f t="shared" si="26"/>
        <v>-73</v>
      </c>
      <c r="AA31" s="25"/>
      <c r="AB31" s="25">
        <f>100+190+190+320+190+120</f>
        <v>1110</v>
      </c>
      <c r="AC31" s="44">
        <f t="shared" si="27"/>
        <v>0</v>
      </c>
      <c r="AD31" s="263"/>
      <c r="AE31" s="263"/>
      <c r="AF31" s="268"/>
      <c r="AG31" s="263"/>
      <c r="AH31" s="261"/>
      <c r="AI31" s="263"/>
      <c r="AJ31" s="261"/>
      <c r="AK31" s="263"/>
      <c r="AL31" s="261"/>
      <c r="AM31" s="249"/>
      <c r="AN31" s="249"/>
      <c r="AO31" s="251"/>
    </row>
    <row r="32" spans="1:41" ht="18" thickBot="1" x14ac:dyDescent="0.3">
      <c r="A32" s="265"/>
      <c r="B32" s="253" t="s">
        <v>34</v>
      </c>
      <c r="C32" s="254"/>
      <c r="D32" s="255"/>
      <c r="E32" s="24">
        <f>+SUM(E29:E31)</f>
        <v>4190</v>
      </c>
      <c r="F32" s="24">
        <f t="shared" ref="F32:AC32" si="28">+SUM(F29:F31)</f>
        <v>0</v>
      </c>
      <c r="G32" s="24">
        <f t="shared" si="28"/>
        <v>3853</v>
      </c>
      <c r="H32" s="24">
        <f t="shared" si="28"/>
        <v>-337</v>
      </c>
      <c r="I32" s="24">
        <f t="shared" si="28"/>
        <v>0</v>
      </c>
      <c r="J32" s="24">
        <f t="shared" si="28"/>
        <v>3853</v>
      </c>
      <c r="K32" s="24">
        <f t="shared" si="28"/>
        <v>0</v>
      </c>
      <c r="L32" s="24">
        <f t="shared" si="28"/>
        <v>0</v>
      </c>
      <c r="M32" s="24">
        <f t="shared" si="28"/>
        <v>3843</v>
      </c>
      <c r="N32" s="24">
        <f t="shared" si="28"/>
        <v>-10</v>
      </c>
      <c r="O32" s="24">
        <f t="shared" si="28"/>
        <v>0</v>
      </c>
      <c r="P32" s="24">
        <f t="shared" si="28"/>
        <v>3843</v>
      </c>
      <c r="Q32" s="24">
        <f t="shared" si="28"/>
        <v>0</v>
      </c>
      <c r="R32" s="24">
        <f t="shared" si="28"/>
        <v>0</v>
      </c>
      <c r="S32" s="24">
        <f t="shared" si="28"/>
        <v>3843</v>
      </c>
      <c r="T32" s="24">
        <f t="shared" si="28"/>
        <v>0</v>
      </c>
      <c r="U32" s="24">
        <f t="shared" si="28"/>
        <v>0</v>
      </c>
      <c r="V32" s="24">
        <f t="shared" si="28"/>
        <v>3843</v>
      </c>
      <c r="W32" s="24">
        <f t="shared" si="28"/>
        <v>0</v>
      </c>
      <c r="X32" s="24">
        <f t="shared" si="28"/>
        <v>0</v>
      </c>
      <c r="Y32" s="24">
        <f t="shared" si="28"/>
        <v>3580</v>
      </c>
      <c r="Z32" s="24">
        <f t="shared" si="28"/>
        <v>-263</v>
      </c>
      <c r="AA32" s="24">
        <f t="shared" si="28"/>
        <v>0</v>
      </c>
      <c r="AB32" s="24">
        <f t="shared" si="28"/>
        <v>3580</v>
      </c>
      <c r="AC32" s="24">
        <f t="shared" si="28"/>
        <v>0</v>
      </c>
      <c r="AD32" s="264"/>
      <c r="AE32" s="264"/>
      <c r="AF32" s="269"/>
      <c r="AG32" s="264"/>
      <c r="AH32" s="262"/>
      <c r="AI32" s="264"/>
      <c r="AJ32" s="262"/>
      <c r="AK32" s="264"/>
      <c r="AL32" s="262"/>
      <c r="AM32" s="250"/>
      <c r="AN32" s="250"/>
      <c r="AO32" s="252"/>
    </row>
    <row r="33" spans="1:41" ht="18" customHeight="1" thickBot="1" x14ac:dyDescent="0.3">
      <c r="A33" s="266"/>
      <c r="B33" s="256" t="s">
        <v>40</v>
      </c>
      <c r="C33" s="256"/>
      <c r="D33" s="257"/>
      <c r="E33" s="26">
        <f>E32</f>
        <v>4190</v>
      </c>
      <c r="F33" s="26">
        <f t="shared" ref="F33:AC33" si="29">F32</f>
        <v>0</v>
      </c>
      <c r="G33" s="26">
        <f t="shared" si="29"/>
        <v>3853</v>
      </c>
      <c r="H33" s="26">
        <f t="shared" si="29"/>
        <v>-337</v>
      </c>
      <c r="I33" s="26">
        <f t="shared" si="29"/>
        <v>0</v>
      </c>
      <c r="J33" s="26">
        <f t="shared" si="29"/>
        <v>3853</v>
      </c>
      <c r="K33" s="26">
        <f t="shared" si="29"/>
        <v>0</v>
      </c>
      <c r="L33" s="26">
        <f t="shared" si="29"/>
        <v>0</v>
      </c>
      <c r="M33" s="26">
        <f t="shared" si="29"/>
        <v>3843</v>
      </c>
      <c r="N33" s="26">
        <f t="shared" si="29"/>
        <v>-10</v>
      </c>
      <c r="O33" s="26">
        <f t="shared" si="29"/>
        <v>0</v>
      </c>
      <c r="P33" s="26">
        <f t="shared" si="29"/>
        <v>3843</v>
      </c>
      <c r="Q33" s="26">
        <f t="shared" si="29"/>
        <v>0</v>
      </c>
      <c r="R33" s="26">
        <f t="shared" si="29"/>
        <v>0</v>
      </c>
      <c r="S33" s="26">
        <f t="shared" si="29"/>
        <v>3843</v>
      </c>
      <c r="T33" s="26">
        <f t="shared" si="29"/>
        <v>0</v>
      </c>
      <c r="U33" s="26">
        <f t="shared" si="29"/>
        <v>0</v>
      </c>
      <c r="V33" s="26">
        <f t="shared" si="29"/>
        <v>3843</v>
      </c>
      <c r="W33" s="26">
        <f t="shared" si="29"/>
        <v>0</v>
      </c>
      <c r="X33" s="26">
        <f t="shared" si="29"/>
        <v>0</v>
      </c>
      <c r="Y33" s="26">
        <f t="shared" si="29"/>
        <v>3580</v>
      </c>
      <c r="Z33" s="26">
        <f t="shared" si="29"/>
        <v>-263</v>
      </c>
      <c r="AA33" s="26">
        <f t="shared" si="29"/>
        <v>0</v>
      </c>
      <c r="AB33" s="26">
        <f t="shared" si="29"/>
        <v>3580</v>
      </c>
      <c r="AC33" s="26">
        <f t="shared" si="29"/>
        <v>0</v>
      </c>
      <c r="AD33" s="45">
        <f t="shared" ref="AD33:AL33" si="30">SUM(AD29:AD32)</f>
        <v>0</v>
      </c>
      <c r="AE33" s="45">
        <f t="shared" si="30"/>
        <v>2887</v>
      </c>
      <c r="AF33" s="46">
        <f t="shared" si="30"/>
        <v>33.130000000000003</v>
      </c>
      <c r="AG33" s="45">
        <f t="shared" si="30"/>
        <v>1</v>
      </c>
      <c r="AH33" s="45">
        <f t="shared" si="30"/>
        <v>403</v>
      </c>
      <c r="AI33" s="45">
        <f t="shared" si="30"/>
        <v>0</v>
      </c>
      <c r="AJ33" s="45">
        <f t="shared" si="30"/>
        <v>119</v>
      </c>
      <c r="AK33" s="45">
        <f t="shared" si="30"/>
        <v>0</v>
      </c>
      <c r="AL33" s="45">
        <f t="shared" si="30"/>
        <v>31</v>
      </c>
      <c r="AM33" s="47">
        <f>L33*AF33/480/AG33</f>
        <v>0</v>
      </c>
      <c r="AN33" s="48">
        <f>M33*AF33/480/AH33</f>
        <v>0.65818129652605462</v>
      </c>
      <c r="AO33" s="49"/>
    </row>
    <row r="34" spans="1:41" s="60" customFormat="1" ht="15.75" thickBot="1" x14ac:dyDescent="0.3">
      <c r="A34" s="50"/>
      <c r="B34" s="51"/>
      <c r="C34" s="51"/>
      <c r="D34" s="51"/>
      <c r="E34" s="51"/>
      <c r="F34" s="52"/>
      <c r="G34" s="51"/>
      <c r="H34" s="51"/>
      <c r="I34" s="182"/>
      <c r="J34" s="54"/>
      <c r="K34" s="51"/>
      <c r="L34" s="55"/>
      <c r="M34" s="51"/>
      <c r="N34" s="51"/>
      <c r="O34" s="56"/>
      <c r="P34" s="51"/>
      <c r="Q34" s="51"/>
      <c r="R34" s="55"/>
      <c r="S34" s="51"/>
      <c r="T34" s="51"/>
      <c r="U34" s="55"/>
      <c r="V34" s="51"/>
      <c r="W34" s="51"/>
      <c r="X34" s="55"/>
      <c r="Y34" s="51"/>
      <c r="Z34" s="51"/>
      <c r="AA34" s="55"/>
      <c r="AB34" s="51"/>
      <c r="AC34" s="51"/>
      <c r="AD34" s="181"/>
      <c r="AE34" s="58"/>
      <c r="AF34" s="51"/>
      <c r="AG34" s="181"/>
      <c r="AH34" s="58"/>
      <c r="AI34" s="181"/>
      <c r="AJ34" s="58"/>
      <c r="AK34" s="181"/>
      <c r="AL34" s="58"/>
      <c r="AM34" s="181"/>
      <c r="AN34" s="55"/>
      <c r="AO34" s="59"/>
    </row>
    <row r="35" spans="1:41" s="60" customFormat="1" ht="15.75" thickBot="1" x14ac:dyDescent="0.3">
      <c r="A35" s="258" t="s">
        <v>47</v>
      </c>
      <c r="B35" s="259"/>
      <c r="C35" s="259"/>
      <c r="D35" s="259"/>
      <c r="E35" s="260"/>
      <c r="F35" s="63">
        <f>F33+F28</f>
        <v>175</v>
      </c>
      <c r="G35" s="64"/>
      <c r="H35" s="64"/>
      <c r="I35" s="63">
        <f>I33+I28</f>
        <v>545</v>
      </c>
      <c r="J35" s="64"/>
      <c r="K35" s="65">
        <f>K33+K28</f>
        <v>-157</v>
      </c>
      <c r="L35" s="66">
        <f>L33+L28</f>
        <v>397</v>
      </c>
      <c r="M35" s="64"/>
      <c r="N35" s="65">
        <f>N33+N28</f>
        <v>-1621</v>
      </c>
      <c r="O35" s="66">
        <f>O33+O28</f>
        <v>0</v>
      </c>
      <c r="P35" s="64"/>
      <c r="Q35" s="65">
        <f>Q33+Q28</f>
        <v>-397</v>
      </c>
      <c r="R35" s="66">
        <f>R33+R28</f>
        <v>0</v>
      </c>
      <c r="S35" s="64"/>
      <c r="T35" s="65">
        <f>T33+T28</f>
        <v>-965</v>
      </c>
      <c r="U35" s="66">
        <f>U33+U28</f>
        <v>0</v>
      </c>
      <c r="V35" s="64"/>
      <c r="W35" s="65">
        <f>W33+W28</f>
        <v>-113</v>
      </c>
      <c r="X35" s="66">
        <f>X33+X28</f>
        <v>0</v>
      </c>
      <c r="Y35" s="64"/>
      <c r="Z35" s="65">
        <f>Z33+Z28</f>
        <v>-2376</v>
      </c>
      <c r="AA35" s="66">
        <f>AA33+AA28</f>
        <v>0</v>
      </c>
      <c r="AB35" s="64"/>
      <c r="AC35" s="65">
        <f>AC33+AC28</f>
        <v>0</v>
      </c>
      <c r="AD35" s="67">
        <f>AD33+AD28</f>
        <v>397</v>
      </c>
      <c r="AE35" s="65">
        <f>AE33+AE28</f>
        <v>6482</v>
      </c>
      <c r="AF35" s="64"/>
      <c r="AG35" s="63">
        <f>AG33+AG28</f>
        <v>26</v>
      </c>
      <c r="AH35" s="68"/>
      <c r="AI35" s="63">
        <f>AI33+AI28</f>
        <v>14</v>
      </c>
      <c r="AJ35" s="68"/>
      <c r="AK35" s="63">
        <f>AK33+AK28</f>
        <v>2</v>
      </c>
      <c r="AL35" s="68"/>
      <c r="AM35" s="69">
        <f>SUM(AM33+AM28)/2</f>
        <v>0.51538043750000007</v>
      </c>
      <c r="AN35" s="69">
        <f>SUM(AN33+AN28)/2</f>
        <v>0.70546033072270475</v>
      </c>
      <c r="AO35" s="70"/>
    </row>
    <row r="36" spans="1:41" s="60" customFormat="1" ht="15" x14ac:dyDescent="0.25">
      <c r="O36" s="71"/>
    </row>
    <row r="37" spans="1:41" s="60" customFormat="1" ht="15" x14ac:dyDescent="0.25">
      <c r="O37" s="71"/>
      <c r="W37" s="60" t="s">
        <v>5</v>
      </c>
      <c r="Z37" s="60" t="s">
        <v>5</v>
      </c>
      <c r="AC37" s="60" t="s">
        <v>5</v>
      </c>
    </row>
  </sheetData>
  <mergeCells count="75">
    <mergeCell ref="AN29:AN32"/>
    <mergeCell ref="AO29:AO32"/>
    <mergeCell ref="B32:D32"/>
    <mergeCell ref="B33:D33"/>
    <mergeCell ref="A35:E35"/>
    <mergeCell ref="AH29:AH32"/>
    <mergeCell ref="AI29:AI32"/>
    <mergeCell ref="AJ29:AJ32"/>
    <mergeCell ref="AK29:AK32"/>
    <mergeCell ref="AL29:AL32"/>
    <mergeCell ref="AM29:AM32"/>
    <mergeCell ref="AN20:AN27"/>
    <mergeCell ref="AO20:AO27"/>
    <mergeCell ref="B27:D27"/>
    <mergeCell ref="B28:D28"/>
    <mergeCell ref="A29:A33"/>
    <mergeCell ref="C29:C31"/>
    <mergeCell ref="AD29:AD32"/>
    <mergeCell ref="AE29:AE32"/>
    <mergeCell ref="AF29:AF32"/>
    <mergeCell ref="AG29:AG32"/>
    <mergeCell ref="AH20:AH27"/>
    <mergeCell ref="AI20:AI27"/>
    <mergeCell ref="AJ20:AJ27"/>
    <mergeCell ref="AK20:AK27"/>
    <mergeCell ref="AL20:AL27"/>
    <mergeCell ref="AM20:AM27"/>
    <mergeCell ref="AO6:AO19"/>
    <mergeCell ref="B10:B13"/>
    <mergeCell ref="B14:B18"/>
    <mergeCell ref="B19:D19"/>
    <mergeCell ref="B20:B26"/>
    <mergeCell ref="C20:C26"/>
    <mergeCell ref="AD20:AD27"/>
    <mergeCell ref="AE20:AE27"/>
    <mergeCell ref="AF20:AF27"/>
    <mergeCell ref="AG20:AG27"/>
    <mergeCell ref="AI6:AI19"/>
    <mergeCell ref="AJ6:AJ19"/>
    <mergeCell ref="AK6:AK19"/>
    <mergeCell ref="AL6:AL19"/>
    <mergeCell ref="AM6:AM19"/>
    <mergeCell ref="AN6:AN19"/>
    <mergeCell ref="AM4:AN4"/>
    <mergeCell ref="AO4:AO5"/>
    <mergeCell ref="A6:A28"/>
    <mergeCell ref="B6:B9"/>
    <mergeCell ref="C6:C18"/>
    <mergeCell ref="AD6:AD19"/>
    <mergeCell ref="AE6:AE19"/>
    <mergeCell ref="AF6:AF19"/>
    <mergeCell ref="AG6:AG19"/>
    <mergeCell ref="AH6:AH19"/>
    <mergeCell ref="X4:Z4"/>
    <mergeCell ref="AA4:AC4"/>
    <mergeCell ref="AD4:AE4"/>
    <mergeCell ref="AG4:AH4"/>
    <mergeCell ref="AI4:AJ4"/>
    <mergeCell ref="AK4:AL4"/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35" max="5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6" sqref="G6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5.7109375" style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6.14062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5.42578125" style="1" bestFit="1" customWidth="1"/>
    <col min="18" max="18" width="7.85546875" style="1" customWidth="1"/>
    <col min="19" max="19" width="8.85546875" style="1" customWidth="1"/>
    <col min="20" max="20" width="7.42578125" style="1" bestFit="1" customWidth="1"/>
    <col min="21" max="21" width="8.42578125" style="1" customWidth="1"/>
    <col min="22" max="22" width="7.85546875" style="1" customWidth="1"/>
    <col min="23" max="23" width="7.425781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45373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48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186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184" t="s">
        <v>26</v>
      </c>
      <c r="G5" s="9" t="s">
        <v>27</v>
      </c>
      <c r="H5" s="10" t="s">
        <v>28</v>
      </c>
      <c r="I5" s="186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185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186" t="s">
        <v>26</v>
      </c>
      <c r="AE5" s="9" t="s">
        <v>27</v>
      </c>
      <c r="AF5" s="184" t="s">
        <v>26</v>
      </c>
      <c r="AG5" s="184" t="s">
        <v>26</v>
      </c>
      <c r="AH5" s="9" t="s">
        <v>27</v>
      </c>
      <c r="AI5" s="184" t="s">
        <v>26</v>
      </c>
      <c r="AJ5" s="15" t="s">
        <v>27</v>
      </c>
      <c r="AK5" s="184" t="s">
        <v>26</v>
      </c>
      <c r="AL5" s="9" t="s">
        <v>27</v>
      </c>
      <c r="AM5" s="186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188">
        <v>680</v>
      </c>
      <c r="F6" s="188"/>
      <c r="G6" s="188">
        <f>680</f>
        <v>680</v>
      </c>
      <c r="H6" s="188">
        <f t="shared" ref="H6:H18" si="0">G6-E6</f>
        <v>0</v>
      </c>
      <c r="I6" s="188"/>
      <c r="J6" s="188">
        <f>428+252</f>
        <v>680</v>
      </c>
      <c r="K6" s="188">
        <f t="shared" ref="K6:K18" si="1">J6-G6</f>
        <v>0</v>
      </c>
      <c r="L6" s="188">
        <v>26</v>
      </c>
      <c r="M6" s="188">
        <f>62+144+4+9+26+75+226+36+4+6+7+45+26</f>
        <v>670</v>
      </c>
      <c r="N6" s="188">
        <f t="shared" ref="N6:N18" si="2">M6-J6</f>
        <v>-10</v>
      </c>
      <c r="O6" s="188">
        <v>26</v>
      </c>
      <c r="P6" s="119">
        <f>546+36+4+6+7+45+26</f>
        <v>670</v>
      </c>
      <c r="Q6" s="188">
        <f t="shared" ref="Q6:Q18" si="3">P6-M6</f>
        <v>0</v>
      </c>
      <c r="R6" s="18"/>
      <c r="S6" s="18">
        <f>210+330+40+12</f>
        <v>592</v>
      </c>
      <c r="T6" s="18">
        <f t="shared" ref="T6:T18" si="4">S6-P6</f>
        <v>-78</v>
      </c>
      <c r="U6" s="18"/>
      <c r="V6" s="18">
        <f>200+340+40</f>
        <v>580</v>
      </c>
      <c r="W6" s="18">
        <f t="shared" ref="W6:W18" si="5">V6-S6</f>
        <v>-12</v>
      </c>
      <c r="X6" s="188"/>
      <c r="Y6" s="188">
        <f>175+10+40</f>
        <v>225</v>
      </c>
      <c r="Z6" s="188">
        <f t="shared" ref="Z6:Z18" si="6">Y6-P6</f>
        <v>-445</v>
      </c>
      <c r="AA6" s="188"/>
      <c r="AB6" s="188">
        <f>175+10+40</f>
        <v>225</v>
      </c>
      <c r="AC6" s="19">
        <f t="shared" ref="AC6:AC18" si="7">AB6-Y6</f>
        <v>0</v>
      </c>
      <c r="AD6" s="267">
        <f>L19</f>
        <v>362</v>
      </c>
      <c r="AE6" s="267">
        <f>62+144+4+20+190+196+47+175+261+297+182+288+308+374+343+307+397+362</f>
        <v>3957</v>
      </c>
      <c r="AF6" s="282">
        <v>24.192</v>
      </c>
      <c r="AG6" s="267">
        <v>13</v>
      </c>
      <c r="AH6" s="277">
        <f>6+8+6+10+10+10+20+6+22+13+22+8+10+9+11+13+26+20+20+20+15+13</f>
        <v>298</v>
      </c>
      <c r="AI6" s="267">
        <v>9</v>
      </c>
      <c r="AJ6" s="277">
        <f>1+2+2+2+3+3+5+4+5+5+11+11+7+7+7+7+14+12+12+12+10+9</f>
        <v>151</v>
      </c>
      <c r="AK6" s="267">
        <v>1</v>
      </c>
      <c r="AL6" s="277">
        <f>1+1+1+1+1+1+1+1+1+1+1+1+2+1+1+1+1+1</f>
        <v>19</v>
      </c>
      <c r="AM6" s="270">
        <f>L19*AF6/480/AG6</f>
        <v>1.403446153846154</v>
      </c>
      <c r="AN6" s="270">
        <f>M19*AF6/480/AH6</f>
        <v>0.66923758389261745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>
        <f>31-17</f>
        <v>14</v>
      </c>
      <c r="M7" s="20">
        <f>20+117+9+13+48+110+29+97+43+5+27+50+14</f>
        <v>582</v>
      </c>
      <c r="N7" s="20">
        <f t="shared" si="2"/>
        <v>-17</v>
      </c>
      <c r="O7" s="20">
        <v>64</v>
      </c>
      <c r="P7" s="20">
        <f>292+29+122+43+5+27+64</f>
        <v>582</v>
      </c>
      <c r="Q7" s="20">
        <f t="shared" si="3"/>
        <v>0</v>
      </c>
      <c r="R7" s="20"/>
      <c r="S7" s="20">
        <f>160+140+90+90+11</f>
        <v>491</v>
      </c>
      <c r="T7" s="20">
        <f t="shared" si="4"/>
        <v>-91</v>
      </c>
      <c r="U7" s="20"/>
      <c r="V7" s="20">
        <f>150+240+90</f>
        <v>480</v>
      </c>
      <c r="W7" s="20">
        <f t="shared" si="5"/>
        <v>-11</v>
      </c>
      <c r="X7" s="20"/>
      <c r="Y7" s="20">
        <f>130+10+160+125</f>
        <v>425</v>
      </c>
      <c r="Z7" s="20">
        <f t="shared" si="6"/>
        <v>-157</v>
      </c>
      <c r="AA7" s="20"/>
      <c r="AB7" s="20">
        <f>130+10+160+125</f>
        <v>425</v>
      </c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/>
      <c r="M8" s="20">
        <f>73+187+25+59+76+42+58+4+3+5+31+100-14</f>
        <v>649</v>
      </c>
      <c r="N8" s="20">
        <f t="shared" si="2"/>
        <v>-28</v>
      </c>
      <c r="O8" s="20">
        <v>86</v>
      </c>
      <c r="P8" s="20">
        <f>420+42+58+4+3+5+31+86</f>
        <v>649</v>
      </c>
      <c r="Q8" s="20">
        <f t="shared" si="3"/>
        <v>0</v>
      </c>
      <c r="R8" s="20"/>
      <c r="S8" s="20">
        <f>250+150+50+50+25</f>
        <v>525</v>
      </c>
      <c r="T8" s="20">
        <f t="shared" si="4"/>
        <v>-124</v>
      </c>
      <c r="U8" s="20"/>
      <c r="V8" s="20">
        <f>250+200+50</f>
        <v>500</v>
      </c>
      <c r="W8" s="20">
        <f t="shared" si="5"/>
        <v>-25</v>
      </c>
      <c r="X8" s="20"/>
      <c r="Y8" s="20">
        <f>180+45+80+130</f>
        <v>435</v>
      </c>
      <c r="Z8" s="20">
        <f t="shared" si="6"/>
        <v>-214</v>
      </c>
      <c r="AA8" s="20"/>
      <c r="AB8" s="20">
        <f>180+45+80+130</f>
        <v>435</v>
      </c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>
        <v>5</v>
      </c>
      <c r="M9" s="20">
        <f>42+27+5+5+19</f>
        <v>98</v>
      </c>
      <c r="N9" s="20">
        <f t="shared" si="2"/>
        <v>-8</v>
      </c>
      <c r="O9" s="20">
        <v>19</v>
      </c>
      <c r="P9" s="20">
        <f>42+27+5+5+19</f>
        <v>98</v>
      </c>
      <c r="Q9" s="20">
        <f t="shared" si="3"/>
        <v>0</v>
      </c>
      <c r="R9" s="20"/>
      <c r="S9" s="20">
        <f>10+14</f>
        <v>24</v>
      </c>
      <c r="T9" s="20">
        <f t="shared" si="4"/>
        <v>-74</v>
      </c>
      <c r="U9" s="20"/>
      <c r="V9" s="20"/>
      <c r="W9" s="20">
        <f t="shared" si="5"/>
        <v>-24</v>
      </c>
      <c r="X9" s="20"/>
      <c r="Y9" s="20"/>
      <c r="Z9" s="20">
        <f t="shared" si="6"/>
        <v>-98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303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>
        <v>19</v>
      </c>
      <c r="M10" s="20">
        <f>37+134+20+12+19</f>
        <v>222</v>
      </c>
      <c r="N10" s="20">
        <f t="shared" si="2"/>
        <v>-1</v>
      </c>
      <c r="O10" s="20">
        <v>19</v>
      </c>
      <c r="P10" s="20">
        <f>37+134+20+12+19</f>
        <v>222</v>
      </c>
      <c r="Q10" s="20">
        <f t="shared" si="3"/>
        <v>0</v>
      </c>
      <c r="R10" s="20"/>
      <c r="S10" s="20">
        <f>170+20</f>
        <v>190</v>
      </c>
      <c r="T10" s="20">
        <f t="shared" si="4"/>
        <v>-32</v>
      </c>
      <c r="U10" s="20"/>
      <c r="V10" s="20">
        <f>160</f>
        <v>160</v>
      </c>
      <c r="W10" s="20">
        <f t="shared" si="5"/>
        <v>-30</v>
      </c>
      <c r="X10" s="20"/>
      <c r="Y10" s="20"/>
      <c r="Z10" s="20">
        <f t="shared" si="6"/>
        <v>-222</v>
      </c>
      <c r="AA10" s="20"/>
      <c r="AB10" s="20"/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>
        <f>172+55</f>
        <v>227</v>
      </c>
      <c r="N11" s="20">
        <f t="shared" si="2"/>
        <v>0</v>
      </c>
      <c r="O11" s="20"/>
      <c r="P11" s="20">
        <f>172+55</f>
        <v>227</v>
      </c>
      <c r="Q11" s="20">
        <f t="shared" si="3"/>
        <v>0</v>
      </c>
      <c r="R11" s="20"/>
      <c r="S11" s="20">
        <f>160+60</f>
        <v>220</v>
      </c>
      <c r="T11" s="20">
        <f t="shared" si="4"/>
        <v>-7</v>
      </c>
      <c r="U11" s="20"/>
      <c r="V11" s="20">
        <f>10+210</f>
        <v>220</v>
      </c>
      <c r="W11" s="20">
        <f t="shared" si="5"/>
        <v>0</v>
      </c>
      <c r="X11" s="20"/>
      <c r="Y11" s="20"/>
      <c r="Z11" s="20">
        <f t="shared" si="6"/>
        <v>-227</v>
      </c>
      <c r="AA11" s="20"/>
      <c r="AB11" s="20"/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>
        <v>52</v>
      </c>
      <c r="M12" s="20">
        <f>156+20+12+52</f>
        <v>240</v>
      </c>
      <c r="N12" s="20">
        <f t="shared" si="2"/>
        <v>-2</v>
      </c>
      <c r="O12" s="20">
        <v>52</v>
      </c>
      <c r="P12" s="20">
        <f>156+20+12+52</f>
        <v>240</v>
      </c>
      <c r="Q12" s="20">
        <f t="shared" si="3"/>
        <v>0</v>
      </c>
      <c r="R12" s="20"/>
      <c r="S12" s="20">
        <f>10+171</f>
        <v>181</v>
      </c>
      <c r="T12" s="20">
        <f t="shared" si="4"/>
        <v>-59</v>
      </c>
      <c r="U12" s="20"/>
      <c r="V12" s="20">
        <f>170</f>
        <v>170</v>
      </c>
      <c r="W12" s="20">
        <f t="shared" si="5"/>
        <v>-11</v>
      </c>
      <c r="X12" s="20"/>
      <c r="Y12" s="20"/>
      <c r="Z12" s="20">
        <f t="shared" si="6"/>
        <v>-240</v>
      </c>
      <c r="AA12" s="20"/>
      <c r="AB12" s="20"/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x14ac:dyDescent="0.25">
      <c r="A13" s="283"/>
      <c r="B13" s="298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>
        <f>45-21</f>
        <v>24</v>
      </c>
      <c r="M13" s="20">
        <f>10+108+4+4+24</f>
        <v>150</v>
      </c>
      <c r="N13" s="20">
        <f t="shared" si="2"/>
        <v>-21</v>
      </c>
      <c r="O13" s="20">
        <v>24</v>
      </c>
      <c r="P13" s="20">
        <f>10+108+4+4+24</f>
        <v>150</v>
      </c>
      <c r="Q13" s="20">
        <f t="shared" si="3"/>
        <v>0</v>
      </c>
      <c r="R13" s="20"/>
      <c r="S13" s="20">
        <f>10</f>
        <v>10</v>
      </c>
      <c r="T13" s="20">
        <f t="shared" si="4"/>
        <v>-140</v>
      </c>
      <c r="U13" s="20"/>
      <c r="V13" s="20">
        <f>10</f>
        <v>10</v>
      </c>
      <c r="W13" s="20">
        <f t="shared" si="5"/>
        <v>0</v>
      </c>
      <c r="X13" s="20"/>
      <c r="Y13" s="20"/>
      <c r="Z13" s="20">
        <f t="shared" si="6"/>
        <v>-150</v>
      </c>
      <c r="AA13" s="20"/>
      <c r="AB13" s="20"/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x14ac:dyDescent="0.25">
      <c r="A14" s="283"/>
      <c r="B14" s="279" t="s">
        <v>57</v>
      </c>
      <c r="C14" s="281"/>
      <c r="D14" s="20" t="s">
        <v>58</v>
      </c>
      <c r="E14" s="20">
        <v>350</v>
      </c>
      <c r="F14" s="20"/>
      <c r="G14" s="20">
        <f>328</f>
        <v>328</v>
      </c>
      <c r="H14" s="20">
        <f t="shared" si="0"/>
        <v>-22</v>
      </c>
      <c r="I14" s="20"/>
      <c r="J14" s="20">
        <f>328</f>
        <v>328</v>
      </c>
      <c r="K14" s="20">
        <f t="shared" si="1"/>
        <v>0</v>
      </c>
      <c r="L14" s="20">
        <v>2</v>
      </c>
      <c r="M14" s="20">
        <f>151+134+2</f>
        <v>287</v>
      </c>
      <c r="N14" s="20">
        <f t="shared" si="2"/>
        <v>-41</v>
      </c>
      <c r="O14" s="20">
        <v>2</v>
      </c>
      <c r="P14" s="20">
        <f>151+134+2</f>
        <v>287</v>
      </c>
      <c r="Q14" s="20">
        <f t="shared" si="3"/>
        <v>0</v>
      </c>
      <c r="R14" s="18"/>
      <c r="S14" s="18"/>
      <c r="T14" s="18">
        <f t="shared" si="4"/>
        <v>-287</v>
      </c>
      <c r="U14" s="18"/>
      <c r="V14" s="18"/>
      <c r="W14" s="18">
        <f t="shared" si="5"/>
        <v>0</v>
      </c>
      <c r="X14" s="20"/>
      <c r="Y14" s="20"/>
      <c r="Z14" s="20">
        <f t="shared" si="6"/>
        <v>-287</v>
      </c>
      <c r="AA14" s="20"/>
      <c r="AB14" s="20"/>
      <c r="AC14" s="21">
        <f t="shared" si="7"/>
        <v>0</v>
      </c>
      <c r="AD14" s="263"/>
      <c r="AE14" s="263"/>
      <c r="AF14" s="268"/>
      <c r="AG14" s="263"/>
      <c r="AH14" s="261"/>
      <c r="AI14" s="263"/>
      <c r="AJ14" s="261"/>
      <c r="AK14" s="263"/>
      <c r="AL14" s="261"/>
      <c r="AM14" s="249"/>
      <c r="AN14" s="249"/>
      <c r="AO14" s="251"/>
    </row>
    <row r="15" spans="1:41" x14ac:dyDescent="0.25">
      <c r="A15" s="283"/>
      <c r="B15" s="279"/>
      <c r="C15" s="281"/>
      <c r="D15" s="20" t="s">
        <v>33</v>
      </c>
      <c r="E15" s="20">
        <v>375</v>
      </c>
      <c r="F15" s="20"/>
      <c r="G15" s="20">
        <f>350</f>
        <v>350</v>
      </c>
      <c r="H15" s="20">
        <f t="shared" si="0"/>
        <v>-25</v>
      </c>
      <c r="I15" s="20"/>
      <c r="J15" s="20">
        <f>350</f>
        <v>350</v>
      </c>
      <c r="K15" s="20">
        <f t="shared" si="1"/>
        <v>0</v>
      </c>
      <c r="L15" s="20">
        <v>28</v>
      </c>
      <c r="M15" s="20">
        <f>152+120+21+28</f>
        <v>321</v>
      </c>
      <c r="N15" s="20">
        <f t="shared" si="2"/>
        <v>-29</v>
      </c>
      <c r="O15" s="20">
        <v>28</v>
      </c>
      <c r="P15" s="20">
        <f>152+120+21+28</f>
        <v>321</v>
      </c>
      <c r="Q15" s="20">
        <f t="shared" si="3"/>
        <v>0</v>
      </c>
      <c r="R15" s="20"/>
      <c r="S15" s="20"/>
      <c r="T15" s="20">
        <f t="shared" si="4"/>
        <v>-321</v>
      </c>
      <c r="U15" s="20"/>
      <c r="V15" s="20"/>
      <c r="W15" s="20">
        <f t="shared" si="5"/>
        <v>0</v>
      </c>
      <c r="X15" s="20"/>
      <c r="Y15" s="20"/>
      <c r="Z15" s="20">
        <f t="shared" si="6"/>
        <v>-321</v>
      </c>
      <c r="AA15" s="20"/>
      <c r="AB15" s="20"/>
      <c r="AC15" s="21">
        <f t="shared" si="7"/>
        <v>0</v>
      </c>
      <c r="AD15" s="263"/>
      <c r="AE15" s="263"/>
      <c r="AF15" s="268"/>
      <c r="AG15" s="263"/>
      <c r="AH15" s="261"/>
      <c r="AI15" s="263"/>
      <c r="AJ15" s="261"/>
      <c r="AK15" s="263"/>
      <c r="AL15" s="261"/>
      <c r="AM15" s="249"/>
      <c r="AN15" s="249"/>
      <c r="AO15" s="251"/>
    </row>
    <row r="16" spans="1:41" x14ac:dyDescent="0.25">
      <c r="A16" s="283"/>
      <c r="B16" s="279"/>
      <c r="C16" s="281"/>
      <c r="D16" s="20" t="s">
        <v>59</v>
      </c>
      <c r="E16" s="20">
        <v>375</v>
      </c>
      <c r="F16" s="20"/>
      <c r="G16" s="20">
        <f>213</f>
        <v>213</v>
      </c>
      <c r="H16" s="20">
        <f t="shared" si="0"/>
        <v>-162</v>
      </c>
      <c r="I16" s="20"/>
      <c r="J16" s="20">
        <f>213</f>
        <v>213</v>
      </c>
      <c r="K16" s="20">
        <f t="shared" si="1"/>
        <v>0</v>
      </c>
      <c r="L16" s="20"/>
      <c r="M16" s="20">
        <f>200</f>
        <v>200</v>
      </c>
      <c r="N16" s="20">
        <f t="shared" si="2"/>
        <v>-13</v>
      </c>
      <c r="O16" s="20"/>
      <c r="P16" s="20">
        <f>200</f>
        <v>200</v>
      </c>
      <c r="Q16" s="20">
        <f t="shared" si="3"/>
        <v>0</v>
      </c>
      <c r="R16" s="20"/>
      <c r="S16" s="20"/>
      <c r="T16" s="20">
        <f t="shared" si="4"/>
        <v>-200</v>
      </c>
      <c r="U16" s="20"/>
      <c r="V16" s="20"/>
      <c r="W16" s="20">
        <f t="shared" si="5"/>
        <v>0</v>
      </c>
      <c r="X16" s="20"/>
      <c r="Y16" s="20"/>
      <c r="Z16" s="20">
        <f t="shared" si="6"/>
        <v>-200</v>
      </c>
      <c r="AA16" s="20"/>
      <c r="AB16" s="20"/>
      <c r="AC16" s="21">
        <f t="shared" si="7"/>
        <v>0</v>
      </c>
      <c r="AD16" s="263"/>
      <c r="AE16" s="263"/>
      <c r="AF16" s="268"/>
      <c r="AG16" s="263"/>
      <c r="AH16" s="261"/>
      <c r="AI16" s="263"/>
      <c r="AJ16" s="261"/>
      <c r="AK16" s="263"/>
      <c r="AL16" s="261"/>
      <c r="AM16" s="249"/>
      <c r="AN16" s="249"/>
      <c r="AO16" s="251"/>
    </row>
    <row r="17" spans="1:41" x14ac:dyDescent="0.25">
      <c r="A17" s="283"/>
      <c r="B17" s="279"/>
      <c r="C17" s="281"/>
      <c r="D17" s="20" t="s">
        <v>60</v>
      </c>
      <c r="E17" s="20">
        <v>350</v>
      </c>
      <c r="F17" s="20"/>
      <c r="G17" s="20">
        <f>237</f>
        <v>237</v>
      </c>
      <c r="H17" s="20">
        <f t="shared" si="0"/>
        <v>-113</v>
      </c>
      <c r="I17" s="20"/>
      <c r="J17" s="20">
        <f>237</f>
        <v>237</v>
      </c>
      <c r="K17" s="20">
        <f t="shared" si="1"/>
        <v>0</v>
      </c>
      <c r="L17" s="20">
        <v>192</v>
      </c>
      <c r="M17" s="20">
        <f>47+192</f>
        <v>239</v>
      </c>
      <c r="N17" s="20">
        <f t="shared" si="2"/>
        <v>2</v>
      </c>
      <c r="O17" s="20">
        <v>192</v>
      </c>
      <c r="P17" s="20">
        <f>239</f>
        <v>239</v>
      </c>
      <c r="Q17" s="20">
        <f t="shared" si="3"/>
        <v>0</v>
      </c>
      <c r="R17" s="20"/>
      <c r="S17" s="20"/>
      <c r="T17" s="20">
        <f t="shared" si="4"/>
        <v>-239</v>
      </c>
      <c r="U17" s="20"/>
      <c r="V17" s="20"/>
      <c r="W17" s="20">
        <f t="shared" si="5"/>
        <v>0</v>
      </c>
      <c r="X17" s="20"/>
      <c r="Y17" s="20"/>
      <c r="Z17" s="20">
        <f t="shared" si="6"/>
        <v>-239</v>
      </c>
      <c r="AA17" s="20"/>
      <c r="AB17" s="20"/>
      <c r="AC17" s="21">
        <f t="shared" si="7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" thickBot="1" x14ac:dyDescent="0.3">
      <c r="A18" s="283"/>
      <c r="B18" s="299"/>
      <c r="C18" s="281"/>
      <c r="D18" s="20" t="s">
        <v>61</v>
      </c>
      <c r="E18" s="20">
        <v>350</v>
      </c>
      <c r="F18" s="20"/>
      <c r="G18" s="20">
        <f>345</f>
        <v>345</v>
      </c>
      <c r="H18" s="20">
        <f t="shared" si="0"/>
        <v>-5</v>
      </c>
      <c r="I18" s="20"/>
      <c r="J18" s="20">
        <f>345</f>
        <v>345</v>
      </c>
      <c r="K18" s="20">
        <f t="shared" si="1"/>
        <v>0</v>
      </c>
      <c r="L18" s="20"/>
      <c r="M18" s="20">
        <f>72</f>
        <v>72</v>
      </c>
      <c r="N18" s="20">
        <f t="shared" si="2"/>
        <v>-273</v>
      </c>
      <c r="O18" s="20"/>
      <c r="P18" s="20">
        <f>72</f>
        <v>72</v>
      </c>
      <c r="Q18" s="20">
        <f t="shared" si="3"/>
        <v>0</v>
      </c>
      <c r="R18" s="25"/>
      <c r="S18" s="25"/>
      <c r="T18" s="25">
        <f t="shared" si="4"/>
        <v>-72</v>
      </c>
      <c r="U18" s="25"/>
      <c r="V18" s="25"/>
      <c r="W18" s="25">
        <f t="shared" si="5"/>
        <v>0</v>
      </c>
      <c r="X18" s="20"/>
      <c r="Y18" s="20"/>
      <c r="Z18" s="20">
        <f t="shared" si="6"/>
        <v>-72</v>
      </c>
      <c r="AA18" s="20"/>
      <c r="AB18" s="20"/>
      <c r="AC18" s="21">
        <f t="shared" si="7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83"/>
      <c r="B19" s="272" t="s">
        <v>34</v>
      </c>
      <c r="C19" s="273"/>
      <c r="D19" s="274"/>
      <c r="E19" s="23">
        <f>+SUM(E6:E18)</f>
        <v>4962</v>
      </c>
      <c r="F19" s="23">
        <f>+SUM(F6:F18)</f>
        <v>0</v>
      </c>
      <c r="G19" s="23">
        <f>SUM(G6:G18)</f>
        <v>4398</v>
      </c>
      <c r="H19" s="23">
        <f t="shared" ref="H19:AC19" si="8">+SUM(H6:H18)</f>
        <v>-564</v>
      </c>
      <c r="I19" s="23">
        <f t="shared" si="8"/>
        <v>0</v>
      </c>
      <c r="J19" s="23">
        <f t="shared" si="8"/>
        <v>4398</v>
      </c>
      <c r="K19" s="23">
        <f t="shared" si="8"/>
        <v>0</v>
      </c>
      <c r="L19" s="23">
        <f t="shared" si="8"/>
        <v>362</v>
      </c>
      <c r="M19" s="23">
        <f t="shared" si="8"/>
        <v>3957</v>
      </c>
      <c r="N19" s="23">
        <f t="shared" si="8"/>
        <v>-441</v>
      </c>
      <c r="O19" s="23">
        <f t="shared" si="8"/>
        <v>512</v>
      </c>
      <c r="P19" s="23">
        <f t="shared" si="8"/>
        <v>3957</v>
      </c>
      <c r="Q19" s="23">
        <f t="shared" si="8"/>
        <v>0</v>
      </c>
      <c r="R19" s="24">
        <f t="shared" si="8"/>
        <v>0</v>
      </c>
      <c r="S19" s="24">
        <f t="shared" si="8"/>
        <v>2233</v>
      </c>
      <c r="T19" s="24">
        <f t="shared" si="8"/>
        <v>-1724</v>
      </c>
      <c r="U19" s="24">
        <f t="shared" si="8"/>
        <v>0</v>
      </c>
      <c r="V19" s="24">
        <f t="shared" si="8"/>
        <v>2120</v>
      </c>
      <c r="W19" s="24">
        <f t="shared" si="8"/>
        <v>-113</v>
      </c>
      <c r="X19" s="23">
        <f t="shared" si="8"/>
        <v>0</v>
      </c>
      <c r="Y19" s="23">
        <f t="shared" si="8"/>
        <v>1085</v>
      </c>
      <c r="Z19" s="23">
        <f t="shared" si="8"/>
        <v>-2872</v>
      </c>
      <c r="AA19" s="23">
        <f t="shared" si="8"/>
        <v>0</v>
      </c>
      <c r="AB19" s="23">
        <f t="shared" si="8"/>
        <v>1085</v>
      </c>
      <c r="AC19" s="15">
        <f t="shared" si="8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.75" customHeight="1" x14ac:dyDescent="0.25">
      <c r="A20" s="283"/>
      <c r="B20" s="297" t="s">
        <v>62</v>
      </c>
      <c r="C20" s="280" t="s">
        <v>63</v>
      </c>
      <c r="D20" s="16" t="s">
        <v>33</v>
      </c>
      <c r="E20" s="188">
        <v>155</v>
      </c>
      <c r="F20" s="188"/>
      <c r="G20" s="188">
        <f>130+8</f>
        <v>138</v>
      </c>
      <c r="H20" s="188">
        <f t="shared" ref="H20:H26" si="9">G20-E20</f>
        <v>-17</v>
      </c>
      <c r="I20" s="188"/>
      <c r="J20" s="188">
        <f>100+30+8</f>
        <v>138</v>
      </c>
      <c r="K20" s="188">
        <f t="shared" ref="K20:K26" si="10">J20-G20</f>
        <v>0</v>
      </c>
      <c r="L20" s="188"/>
      <c r="M20" s="188"/>
      <c r="N20" s="188">
        <f t="shared" ref="N20:N26" si="11">M20-J20</f>
        <v>-138</v>
      </c>
      <c r="O20" s="188"/>
      <c r="P20" s="119"/>
      <c r="Q20" s="188">
        <f t="shared" ref="Q20:Q26" si="12">P20-M20</f>
        <v>0</v>
      </c>
      <c r="R20" s="18"/>
      <c r="S20" s="18"/>
      <c r="T20" s="18">
        <f t="shared" ref="T20:T26" si="13">S20-P20</f>
        <v>0</v>
      </c>
      <c r="U20" s="18"/>
      <c r="V20" s="18"/>
      <c r="W20" s="18">
        <f t="shared" ref="W20:W26" si="14">V20-S20</f>
        <v>0</v>
      </c>
      <c r="X20" s="188"/>
      <c r="Y20" s="188"/>
      <c r="Z20" s="188">
        <f t="shared" ref="Z20:Z26" si="15">Y20-P20</f>
        <v>0</v>
      </c>
      <c r="AA20" s="188"/>
      <c r="AB20" s="188"/>
      <c r="AC20" s="19">
        <f t="shared" ref="AC20:AC26" si="16">AB20-Y20</f>
        <v>0</v>
      </c>
      <c r="AD20" s="267">
        <f>L27</f>
        <v>0</v>
      </c>
      <c r="AE20" s="267"/>
      <c r="AF20" s="282">
        <v>38.121000000000002</v>
      </c>
      <c r="AG20" s="267">
        <v>10</v>
      </c>
      <c r="AH20" s="277">
        <f>5+5+5+10+10</f>
        <v>35</v>
      </c>
      <c r="AI20" s="267"/>
      <c r="AJ20" s="277">
        <f>2+2+2+4</f>
        <v>10</v>
      </c>
      <c r="AK20" s="267">
        <v>1</v>
      </c>
      <c r="AL20" s="277">
        <f>1+1+1+1+1</f>
        <v>5</v>
      </c>
      <c r="AM20" s="270">
        <f>L27*AF20/480/AG20</f>
        <v>0</v>
      </c>
      <c r="AN20" s="270">
        <f>M27*AF20/480/AH20</f>
        <v>0</v>
      </c>
      <c r="AO20" s="271"/>
    </row>
    <row r="21" spans="1:41" x14ac:dyDescent="0.25">
      <c r="A21" s="283"/>
      <c r="B21" s="279"/>
      <c r="C21" s="281"/>
      <c r="D21" s="20" t="s">
        <v>64</v>
      </c>
      <c r="E21" s="20">
        <v>155</v>
      </c>
      <c r="F21" s="20"/>
      <c r="G21" s="20">
        <f>124+17</f>
        <v>141</v>
      </c>
      <c r="H21" s="20">
        <f t="shared" si="9"/>
        <v>-14</v>
      </c>
      <c r="I21" s="20"/>
      <c r="J21" s="20">
        <f>141</f>
        <v>141</v>
      </c>
      <c r="K21" s="20">
        <f t="shared" si="10"/>
        <v>0</v>
      </c>
      <c r="L21" s="20"/>
      <c r="M21" s="20"/>
      <c r="N21" s="20">
        <f t="shared" si="11"/>
        <v>-141</v>
      </c>
      <c r="O21" s="20"/>
      <c r="P21" s="20"/>
      <c r="Q21" s="20">
        <f t="shared" si="12"/>
        <v>0</v>
      </c>
      <c r="R21" s="20"/>
      <c r="S21" s="20"/>
      <c r="T21" s="20">
        <f t="shared" si="13"/>
        <v>0</v>
      </c>
      <c r="U21" s="20"/>
      <c r="V21" s="20"/>
      <c r="W21" s="20">
        <f t="shared" si="14"/>
        <v>0</v>
      </c>
      <c r="X21" s="20"/>
      <c r="Y21" s="20"/>
      <c r="Z21" s="20">
        <f t="shared" si="15"/>
        <v>0</v>
      </c>
      <c r="AA21" s="20"/>
      <c r="AB21" s="20"/>
      <c r="AC21" s="21">
        <f t="shared" si="16"/>
        <v>0</v>
      </c>
      <c r="AD21" s="263"/>
      <c r="AE21" s="263"/>
      <c r="AF21" s="268"/>
      <c r="AG21" s="263"/>
      <c r="AH21" s="261"/>
      <c r="AI21" s="263"/>
      <c r="AJ21" s="261"/>
      <c r="AK21" s="263"/>
      <c r="AL21" s="261"/>
      <c r="AM21" s="249"/>
      <c r="AN21" s="249"/>
      <c r="AO21" s="251"/>
    </row>
    <row r="22" spans="1:41" x14ac:dyDescent="0.25">
      <c r="A22" s="283"/>
      <c r="B22" s="279"/>
      <c r="C22" s="281"/>
      <c r="D22" s="20" t="s">
        <v>65</v>
      </c>
      <c r="E22" s="20">
        <v>155</v>
      </c>
      <c r="F22" s="20"/>
      <c r="G22" s="20">
        <f>116+9</f>
        <v>125</v>
      </c>
      <c r="H22" s="20">
        <f t="shared" si="9"/>
        <v>-30</v>
      </c>
      <c r="I22" s="20"/>
      <c r="J22" s="20">
        <f>116+9</f>
        <v>125</v>
      </c>
      <c r="K22" s="20">
        <f t="shared" si="10"/>
        <v>0</v>
      </c>
      <c r="L22" s="20"/>
      <c r="M22" s="20"/>
      <c r="N22" s="20">
        <f t="shared" si="11"/>
        <v>-125</v>
      </c>
      <c r="O22" s="20"/>
      <c r="P22" s="20"/>
      <c r="Q22" s="20">
        <f t="shared" si="12"/>
        <v>0</v>
      </c>
      <c r="R22" s="20"/>
      <c r="S22" s="20"/>
      <c r="T22" s="20">
        <f t="shared" si="13"/>
        <v>0</v>
      </c>
      <c r="U22" s="20"/>
      <c r="V22" s="20"/>
      <c r="W22" s="20">
        <f t="shared" si="14"/>
        <v>0</v>
      </c>
      <c r="X22" s="20"/>
      <c r="Y22" s="20"/>
      <c r="Z22" s="20">
        <f t="shared" si="15"/>
        <v>0</v>
      </c>
      <c r="AA22" s="20"/>
      <c r="AB22" s="20"/>
      <c r="AC22" s="21">
        <f t="shared" si="16"/>
        <v>0</v>
      </c>
      <c r="AD22" s="263"/>
      <c r="AE22" s="263"/>
      <c r="AF22" s="268"/>
      <c r="AG22" s="263"/>
      <c r="AH22" s="261"/>
      <c r="AI22" s="263"/>
      <c r="AJ22" s="261"/>
      <c r="AK22" s="263"/>
      <c r="AL22" s="261"/>
      <c r="AM22" s="249"/>
      <c r="AN22" s="249"/>
      <c r="AO22" s="251"/>
    </row>
    <row r="23" spans="1:41" x14ac:dyDescent="0.25">
      <c r="A23" s="283"/>
      <c r="B23" s="279"/>
      <c r="C23" s="281"/>
      <c r="D23" s="20" t="s">
        <v>66</v>
      </c>
      <c r="E23" s="20">
        <v>137</v>
      </c>
      <c r="F23" s="20"/>
      <c r="G23" s="20">
        <f>124+15</f>
        <v>139</v>
      </c>
      <c r="H23" s="20">
        <f t="shared" si="9"/>
        <v>2</v>
      </c>
      <c r="I23" s="20">
        <v>15</v>
      </c>
      <c r="J23" s="20">
        <f>124+15</f>
        <v>139</v>
      </c>
      <c r="K23" s="20">
        <f t="shared" si="10"/>
        <v>0</v>
      </c>
      <c r="L23" s="20"/>
      <c r="M23" s="20"/>
      <c r="N23" s="20">
        <f t="shared" si="11"/>
        <v>-139</v>
      </c>
      <c r="O23" s="20"/>
      <c r="P23" s="20"/>
      <c r="Q23" s="20">
        <f t="shared" si="12"/>
        <v>0</v>
      </c>
      <c r="R23" s="20"/>
      <c r="S23" s="20"/>
      <c r="T23" s="20">
        <f t="shared" si="13"/>
        <v>0</v>
      </c>
      <c r="U23" s="20"/>
      <c r="V23" s="20"/>
      <c r="W23" s="20">
        <f t="shared" si="14"/>
        <v>0</v>
      </c>
      <c r="X23" s="20"/>
      <c r="Y23" s="20"/>
      <c r="Z23" s="20">
        <f t="shared" si="15"/>
        <v>0</v>
      </c>
      <c r="AA23" s="20"/>
      <c r="AB23" s="20"/>
      <c r="AC23" s="21">
        <f t="shared" si="16"/>
        <v>0</v>
      </c>
      <c r="AD23" s="263"/>
      <c r="AE23" s="263"/>
      <c r="AF23" s="268"/>
      <c r="AG23" s="263"/>
      <c r="AH23" s="261"/>
      <c r="AI23" s="263"/>
      <c r="AJ23" s="261"/>
      <c r="AK23" s="263"/>
      <c r="AL23" s="261"/>
      <c r="AM23" s="249"/>
      <c r="AN23" s="249"/>
      <c r="AO23" s="251"/>
    </row>
    <row r="24" spans="1:41" x14ac:dyDescent="0.25">
      <c r="A24" s="283"/>
      <c r="B24" s="279"/>
      <c r="C24" s="281"/>
      <c r="D24" s="20" t="s">
        <v>67</v>
      </c>
      <c r="E24" s="20">
        <v>155</v>
      </c>
      <c r="F24" s="20"/>
      <c r="G24" s="20">
        <f>146+9</f>
        <v>155</v>
      </c>
      <c r="H24" s="20">
        <f t="shared" si="9"/>
        <v>0</v>
      </c>
      <c r="I24" s="20"/>
      <c r="J24" s="20">
        <f>155</f>
        <v>155</v>
      </c>
      <c r="K24" s="20">
        <f t="shared" si="10"/>
        <v>0</v>
      </c>
      <c r="L24" s="20"/>
      <c r="M24" s="20"/>
      <c r="N24" s="20">
        <f t="shared" si="11"/>
        <v>-155</v>
      </c>
      <c r="O24" s="20"/>
      <c r="P24" s="20"/>
      <c r="Q24" s="20">
        <f t="shared" si="12"/>
        <v>0</v>
      </c>
      <c r="R24" s="20"/>
      <c r="S24" s="20"/>
      <c r="T24" s="20">
        <f t="shared" si="13"/>
        <v>0</v>
      </c>
      <c r="U24" s="20"/>
      <c r="V24" s="20"/>
      <c r="W24" s="20">
        <f t="shared" si="14"/>
        <v>0</v>
      </c>
      <c r="X24" s="20"/>
      <c r="Y24" s="20"/>
      <c r="Z24" s="20">
        <f t="shared" si="15"/>
        <v>0</v>
      </c>
      <c r="AA24" s="20"/>
      <c r="AB24" s="20"/>
      <c r="AC24" s="21">
        <f t="shared" si="16"/>
        <v>0</v>
      </c>
      <c r="AD24" s="263"/>
      <c r="AE24" s="263"/>
      <c r="AF24" s="268"/>
      <c r="AG24" s="263"/>
      <c r="AH24" s="261"/>
      <c r="AI24" s="263"/>
      <c r="AJ24" s="261"/>
      <c r="AK24" s="263"/>
      <c r="AL24" s="261"/>
      <c r="AM24" s="249"/>
      <c r="AN24" s="249"/>
      <c r="AO24" s="251"/>
    </row>
    <row r="25" spans="1:41" x14ac:dyDescent="0.25">
      <c r="A25" s="283"/>
      <c r="B25" s="279"/>
      <c r="C25" s="281"/>
      <c r="D25" s="20" t="s">
        <v>68</v>
      </c>
      <c r="E25" s="20">
        <v>155</v>
      </c>
      <c r="F25" s="20"/>
      <c r="G25" s="20">
        <f>142</f>
        <v>142</v>
      </c>
      <c r="H25" s="20">
        <f t="shared" si="9"/>
        <v>-13</v>
      </c>
      <c r="I25" s="20">
        <v>142</v>
      </c>
      <c r="J25" s="20">
        <f>142</f>
        <v>142</v>
      </c>
      <c r="K25" s="20">
        <f t="shared" si="10"/>
        <v>0</v>
      </c>
      <c r="L25" s="20"/>
      <c r="M25" s="20"/>
      <c r="N25" s="20">
        <f t="shared" si="11"/>
        <v>-142</v>
      </c>
      <c r="O25" s="20"/>
      <c r="P25" s="20"/>
      <c r="Q25" s="20">
        <f t="shared" si="12"/>
        <v>0</v>
      </c>
      <c r="R25" s="20"/>
      <c r="S25" s="20"/>
      <c r="T25" s="20">
        <f t="shared" si="13"/>
        <v>0</v>
      </c>
      <c r="U25" s="20"/>
      <c r="V25" s="20"/>
      <c r="W25" s="20">
        <f t="shared" si="14"/>
        <v>0</v>
      </c>
      <c r="X25" s="20"/>
      <c r="Y25" s="20"/>
      <c r="Z25" s="20">
        <f t="shared" si="15"/>
        <v>0</v>
      </c>
      <c r="AA25" s="20"/>
      <c r="AB25" s="20"/>
      <c r="AC25" s="21">
        <f t="shared" si="16"/>
        <v>0</v>
      </c>
      <c r="AD25" s="263"/>
      <c r="AE25" s="263"/>
      <c r="AF25" s="268"/>
      <c r="AG25" s="263"/>
      <c r="AH25" s="261"/>
      <c r="AI25" s="263"/>
      <c r="AJ25" s="261"/>
      <c r="AK25" s="263"/>
      <c r="AL25" s="261"/>
      <c r="AM25" s="249"/>
      <c r="AN25" s="249"/>
      <c r="AO25" s="251"/>
    </row>
    <row r="26" spans="1:41" ht="18" thickBot="1" x14ac:dyDescent="0.3">
      <c r="A26" s="283"/>
      <c r="B26" s="298"/>
      <c r="C26" s="281"/>
      <c r="D26" s="20" t="s">
        <v>60</v>
      </c>
      <c r="E26" s="20">
        <v>125</v>
      </c>
      <c r="F26" s="20"/>
      <c r="G26" s="20">
        <f>116+9</f>
        <v>125</v>
      </c>
      <c r="H26" s="20">
        <f t="shared" si="9"/>
        <v>0</v>
      </c>
      <c r="I26" s="20"/>
      <c r="J26" s="20">
        <f>125</f>
        <v>125</v>
      </c>
      <c r="K26" s="20">
        <f t="shared" si="10"/>
        <v>0</v>
      </c>
      <c r="L26" s="20"/>
      <c r="M26" s="20"/>
      <c r="N26" s="20">
        <f t="shared" si="11"/>
        <v>-125</v>
      </c>
      <c r="O26" s="20"/>
      <c r="P26" s="20"/>
      <c r="Q26" s="20">
        <f t="shared" si="12"/>
        <v>0</v>
      </c>
      <c r="R26" s="22"/>
      <c r="S26" s="22"/>
      <c r="T26" s="22">
        <f t="shared" si="13"/>
        <v>0</v>
      </c>
      <c r="U26" s="22"/>
      <c r="V26" s="22"/>
      <c r="W26" s="22">
        <f t="shared" si="14"/>
        <v>0</v>
      </c>
      <c r="X26" s="20"/>
      <c r="Y26" s="20"/>
      <c r="Z26" s="20">
        <f t="shared" si="15"/>
        <v>0</v>
      </c>
      <c r="AA26" s="20"/>
      <c r="AB26" s="20"/>
      <c r="AC26" s="21">
        <f t="shared" si="16"/>
        <v>0</v>
      </c>
      <c r="AD26" s="263"/>
      <c r="AE26" s="263"/>
      <c r="AF26" s="268"/>
      <c r="AG26" s="263"/>
      <c r="AH26" s="261"/>
      <c r="AI26" s="263"/>
      <c r="AJ26" s="261"/>
      <c r="AK26" s="263"/>
      <c r="AL26" s="261"/>
      <c r="AM26" s="249"/>
      <c r="AN26" s="249"/>
      <c r="AO26" s="251"/>
    </row>
    <row r="27" spans="1:41" ht="18" thickBot="1" x14ac:dyDescent="0.3">
      <c r="A27" s="283"/>
      <c r="B27" s="272" t="s">
        <v>34</v>
      </c>
      <c r="C27" s="273"/>
      <c r="D27" s="274"/>
      <c r="E27" s="23">
        <f>+SUM(E20:E26)</f>
        <v>1037</v>
      </c>
      <c r="F27" s="23">
        <f>+SUM(F20:F26)</f>
        <v>0</v>
      </c>
      <c r="G27" s="23">
        <f>SUM(G20:G26)</f>
        <v>965</v>
      </c>
      <c r="H27" s="23">
        <f t="shared" ref="H27:AC27" si="17">+SUM(H20:H26)</f>
        <v>-72</v>
      </c>
      <c r="I27" s="23">
        <f t="shared" si="17"/>
        <v>157</v>
      </c>
      <c r="J27" s="23">
        <f t="shared" si="17"/>
        <v>965</v>
      </c>
      <c r="K27" s="23">
        <f t="shared" si="17"/>
        <v>0</v>
      </c>
      <c r="L27" s="23">
        <f t="shared" si="17"/>
        <v>0</v>
      </c>
      <c r="M27" s="23">
        <f t="shared" si="17"/>
        <v>0</v>
      </c>
      <c r="N27" s="23">
        <f t="shared" si="17"/>
        <v>-965</v>
      </c>
      <c r="O27" s="23">
        <f t="shared" si="17"/>
        <v>0</v>
      </c>
      <c r="P27" s="23">
        <f t="shared" si="17"/>
        <v>0</v>
      </c>
      <c r="Q27" s="23">
        <f t="shared" si="17"/>
        <v>0</v>
      </c>
      <c r="R27" s="24">
        <f t="shared" si="17"/>
        <v>0</v>
      </c>
      <c r="S27" s="24">
        <f t="shared" si="17"/>
        <v>0</v>
      </c>
      <c r="T27" s="24">
        <f t="shared" si="17"/>
        <v>0</v>
      </c>
      <c r="U27" s="24">
        <f t="shared" si="17"/>
        <v>0</v>
      </c>
      <c r="V27" s="24">
        <f t="shared" si="17"/>
        <v>0</v>
      </c>
      <c r="W27" s="24">
        <f t="shared" si="17"/>
        <v>0</v>
      </c>
      <c r="X27" s="23">
        <f t="shared" si="17"/>
        <v>0</v>
      </c>
      <c r="Y27" s="23">
        <f t="shared" si="17"/>
        <v>0</v>
      </c>
      <c r="Z27" s="23">
        <f t="shared" si="17"/>
        <v>0</v>
      </c>
      <c r="AA27" s="23">
        <f t="shared" si="17"/>
        <v>0</v>
      </c>
      <c r="AB27" s="23">
        <f t="shared" si="17"/>
        <v>0</v>
      </c>
      <c r="AC27" s="15">
        <f t="shared" si="17"/>
        <v>0</v>
      </c>
      <c r="AD27" s="264"/>
      <c r="AE27" s="264"/>
      <c r="AF27" s="269"/>
      <c r="AG27" s="264"/>
      <c r="AH27" s="262"/>
      <c r="AI27" s="264"/>
      <c r="AJ27" s="262"/>
      <c r="AK27" s="264"/>
      <c r="AL27" s="262"/>
      <c r="AM27" s="250"/>
      <c r="AN27" s="250"/>
      <c r="AO27" s="252"/>
    </row>
    <row r="28" spans="1:41" ht="18" thickBot="1" x14ac:dyDescent="0.3">
      <c r="A28" s="284"/>
      <c r="B28" s="275" t="s">
        <v>40</v>
      </c>
      <c r="C28" s="275"/>
      <c r="D28" s="276"/>
      <c r="E28" s="26">
        <f>E19+E27</f>
        <v>5999</v>
      </c>
      <c r="F28" s="26">
        <f t="shared" ref="F28:AC28" si="18">F19+F27</f>
        <v>0</v>
      </c>
      <c r="G28" s="26">
        <f t="shared" si="18"/>
        <v>5363</v>
      </c>
      <c r="H28" s="26">
        <f t="shared" si="18"/>
        <v>-636</v>
      </c>
      <c r="I28" s="26">
        <f t="shared" si="18"/>
        <v>157</v>
      </c>
      <c r="J28" s="26">
        <f t="shared" si="18"/>
        <v>5363</v>
      </c>
      <c r="K28" s="26">
        <f t="shared" si="18"/>
        <v>0</v>
      </c>
      <c r="L28" s="26">
        <f t="shared" si="18"/>
        <v>362</v>
      </c>
      <c r="M28" s="26">
        <f t="shared" si="18"/>
        <v>3957</v>
      </c>
      <c r="N28" s="26">
        <f t="shared" si="18"/>
        <v>-1406</v>
      </c>
      <c r="O28" s="26">
        <f t="shared" si="18"/>
        <v>512</v>
      </c>
      <c r="P28" s="26">
        <f t="shared" si="18"/>
        <v>3957</v>
      </c>
      <c r="Q28" s="26">
        <f t="shared" si="18"/>
        <v>0</v>
      </c>
      <c r="R28" s="26">
        <f t="shared" si="18"/>
        <v>0</v>
      </c>
      <c r="S28" s="26">
        <f t="shared" si="18"/>
        <v>2233</v>
      </c>
      <c r="T28" s="26">
        <f t="shared" si="18"/>
        <v>-1724</v>
      </c>
      <c r="U28" s="26">
        <f t="shared" si="18"/>
        <v>0</v>
      </c>
      <c r="V28" s="26">
        <f t="shared" si="18"/>
        <v>2120</v>
      </c>
      <c r="W28" s="26">
        <f t="shared" si="18"/>
        <v>-113</v>
      </c>
      <c r="X28" s="26">
        <f t="shared" si="18"/>
        <v>0</v>
      </c>
      <c r="Y28" s="26">
        <f t="shared" si="18"/>
        <v>1085</v>
      </c>
      <c r="Z28" s="26">
        <f t="shared" si="18"/>
        <v>-2872</v>
      </c>
      <c r="AA28" s="26">
        <f t="shared" si="18"/>
        <v>0</v>
      </c>
      <c r="AB28" s="26">
        <f t="shared" si="18"/>
        <v>1085</v>
      </c>
      <c r="AC28" s="26">
        <f t="shared" si="18"/>
        <v>0</v>
      </c>
      <c r="AD28" s="27">
        <f>SUM(AD6:AD27)</f>
        <v>362</v>
      </c>
      <c r="AE28" s="27">
        <f>SUM(AE6:AE27)</f>
        <v>3957</v>
      </c>
      <c r="AF28" s="27">
        <f>SUM(AF6:AF27)/2</f>
        <v>31.156500000000001</v>
      </c>
      <c r="AG28" s="27">
        <f t="shared" ref="AG28:AL28" si="19">SUM(AG6:AG27)</f>
        <v>23</v>
      </c>
      <c r="AH28" s="27">
        <f t="shared" si="19"/>
        <v>333</v>
      </c>
      <c r="AI28" s="27">
        <f t="shared" si="19"/>
        <v>9</v>
      </c>
      <c r="AJ28" s="27">
        <f t="shared" si="19"/>
        <v>161</v>
      </c>
      <c r="AK28" s="27">
        <f t="shared" si="19"/>
        <v>2</v>
      </c>
      <c r="AL28" s="27">
        <f t="shared" si="19"/>
        <v>24</v>
      </c>
      <c r="AM28" s="29">
        <f>L28*AF28/480/AG28</f>
        <v>1.0216171195652175</v>
      </c>
      <c r="AN28" s="30">
        <f>M28*AF28/480/AH28</f>
        <v>0.77131050112612609</v>
      </c>
      <c r="AO28" s="31"/>
    </row>
    <row r="29" spans="1:41" ht="18.75" customHeight="1" x14ac:dyDescent="0.25">
      <c r="A29" s="265" t="s">
        <v>32</v>
      </c>
      <c r="B29" s="187" t="s">
        <v>41</v>
      </c>
      <c r="C29" s="300" t="s">
        <v>37</v>
      </c>
      <c r="D29" s="34" t="s">
        <v>42</v>
      </c>
      <c r="E29" s="188">
        <v>1645</v>
      </c>
      <c r="F29" s="188"/>
      <c r="G29" s="188">
        <f>1433</f>
        <v>1433</v>
      </c>
      <c r="H29" s="188">
        <f t="shared" ref="H29:H31" si="20">G29-E29</f>
        <v>-212</v>
      </c>
      <c r="I29" s="188"/>
      <c r="J29" s="188">
        <f>100+200+300+350+400+83</f>
        <v>1433</v>
      </c>
      <c r="K29" s="188">
        <f t="shared" ref="K29:K31" si="21">J29-G29</f>
        <v>0</v>
      </c>
      <c r="L29" s="188"/>
      <c r="M29" s="188">
        <f>102+201+302+351-99-125-110+133+127+49+120+24+166+155+34</f>
        <v>1430</v>
      </c>
      <c r="N29" s="188">
        <f t="shared" ref="N29:N31" si="22">M29-J29</f>
        <v>-3</v>
      </c>
      <c r="O29" s="188"/>
      <c r="P29" s="188">
        <f>1075+166+155+34</f>
        <v>1430</v>
      </c>
      <c r="Q29" s="188">
        <f t="shared" ref="Q29:Q31" si="23">P29-M29</f>
        <v>0</v>
      </c>
      <c r="R29" s="188"/>
      <c r="S29" s="188">
        <f>970+260+50+150</f>
        <v>1430</v>
      </c>
      <c r="T29" s="35">
        <f t="shared" ref="T29:T31" si="24">S29-P29</f>
        <v>0</v>
      </c>
      <c r="U29" s="188"/>
      <c r="V29" s="188">
        <f>970+310+150</f>
        <v>1430</v>
      </c>
      <c r="W29" s="35">
        <f t="shared" ref="W29:W31" si="25">V29-S29</f>
        <v>0</v>
      </c>
      <c r="X29" s="188"/>
      <c r="Y29" s="188">
        <f>860+80+15+140+90+100</f>
        <v>1285</v>
      </c>
      <c r="Z29" s="188">
        <f t="shared" ref="Z29:Z31" si="26">Y29-P29</f>
        <v>-145</v>
      </c>
      <c r="AA29" s="188"/>
      <c r="AB29" s="188">
        <f>860+80+15+140+90+100</f>
        <v>1285</v>
      </c>
      <c r="AC29" s="33">
        <f t="shared" ref="AC29:AC31" si="27">AB29-Y29</f>
        <v>0</v>
      </c>
      <c r="AD29" s="267">
        <f>L32</f>
        <v>0</v>
      </c>
      <c r="AE29" s="263">
        <f>300+98+344+213+289+412+355+358+438+80</f>
        <v>2887</v>
      </c>
      <c r="AF29" s="268">
        <v>33.130000000000003</v>
      </c>
      <c r="AG29" s="263">
        <v>1</v>
      </c>
      <c r="AH29" s="261">
        <f>2+10+8+8+8+6+6+6+9+5+6+8+7+7+6+6+6+6+6+6+7+7+7+7+6+7+17+16+16+22+21+21+10+20+20+13+10+10+10+11+13</f>
        <v>403</v>
      </c>
      <c r="AI29" s="263"/>
      <c r="AJ29" s="261">
        <f>1+1+1+1+1+1+1+2+2+2+2+2+2+2+2+2+2+1+1+1+1+1+1+1+1+4+3+4+5+8+8+6+7+6+6+6+7+7+7</f>
        <v>119</v>
      </c>
      <c r="AK29" s="263"/>
      <c r="AL29" s="261">
        <f>1+1+1+1+1+1+1+1+1+1+1+1+1+1+1+1+2+2+2+2+2+1+1+1+1+1</f>
        <v>31</v>
      </c>
      <c r="AM29" s="249">
        <f>L32*AF29/480/AG29</f>
        <v>0</v>
      </c>
      <c r="AN29" s="249">
        <f>M32*AF29/480/AH29</f>
        <v>0.65818129652605462</v>
      </c>
      <c r="AO29" s="251"/>
    </row>
    <row r="30" spans="1:41" ht="18.75" customHeight="1" x14ac:dyDescent="0.25">
      <c r="A30" s="265"/>
      <c r="B30" s="36" t="s">
        <v>43</v>
      </c>
      <c r="C30" s="301"/>
      <c r="D30" s="38" t="s">
        <v>44</v>
      </c>
      <c r="E30" s="20">
        <v>1245</v>
      </c>
      <c r="F30" s="20"/>
      <c r="G30" s="20">
        <f>1237</f>
        <v>1237</v>
      </c>
      <c r="H30" s="20">
        <f t="shared" si="20"/>
        <v>-8</v>
      </c>
      <c r="I30" s="20"/>
      <c r="J30" s="20">
        <f>1237</f>
        <v>1237</v>
      </c>
      <c r="K30" s="20">
        <f t="shared" si="21"/>
        <v>0</v>
      </c>
      <c r="L30" s="20"/>
      <c r="M30" s="20">
        <f>300+99+125+110+98+101+59+41+12+93+57+100+35</f>
        <v>1230</v>
      </c>
      <c r="N30" s="20">
        <f t="shared" si="22"/>
        <v>-7</v>
      </c>
      <c r="O30" s="20"/>
      <c r="P30" s="20">
        <f>1038+57+100+35</f>
        <v>1230</v>
      </c>
      <c r="Q30" s="20">
        <f t="shared" si="23"/>
        <v>0</v>
      </c>
      <c r="R30" s="20"/>
      <c r="S30" s="20">
        <f>930+160+50+90</f>
        <v>1230</v>
      </c>
      <c r="T30" s="39">
        <f t="shared" si="24"/>
        <v>0</v>
      </c>
      <c r="U30" s="20"/>
      <c r="V30" s="20">
        <f>910+230+90</f>
        <v>1230</v>
      </c>
      <c r="W30" s="39">
        <f t="shared" si="25"/>
        <v>0</v>
      </c>
      <c r="X30" s="20"/>
      <c r="Y30" s="20">
        <f>750+75+40+90+100+130</f>
        <v>1185</v>
      </c>
      <c r="Z30" s="20">
        <f t="shared" si="26"/>
        <v>-45</v>
      </c>
      <c r="AA30" s="20"/>
      <c r="AB30" s="20">
        <f>750+75+40+90+100+130</f>
        <v>1185</v>
      </c>
      <c r="AC30" s="37">
        <f t="shared" si="27"/>
        <v>0</v>
      </c>
      <c r="AD30" s="263"/>
      <c r="AE30" s="263"/>
      <c r="AF30" s="268"/>
      <c r="AG30" s="263"/>
      <c r="AH30" s="261"/>
      <c r="AI30" s="263"/>
      <c r="AJ30" s="261"/>
      <c r="AK30" s="263"/>
      <c r="AL30" s="261"/>
      <c r="AM30" s="249"/>
      <c r="AN30" s="249"/>
      <c r="AO30" s="251"/>
    </row>
    <row r="31" spans="1:41" ht="18.75" customHeight="1" thickBot="1" x14ac:dyDescent="0.3">
      <c r="A31" s="265"/>
      <c r="B31" s="191" t="s">
        <v>45</v>
      </c>
      <c r="C31" s="302"/>
      <c r="D31" s="42" t="s">
        <v>46</v>
      </c>
      <c r="E31" s="25">
        <v>1300</v>
      </c>
      <c r="F31" s="25"/>
      <c r="G31" s="25">
        <f>1183</f>
        <v>1183</v>
      </c>
      <c r="H31" s="25">
        <f t="shared" si="20"/>
        <v>-117</v>
      </c>
      <c r="I31" s="25"/>
      <c r="J31" s="25">
        <f>520+663</f>
        <v>1183</v>
      </c>
      <c r="K31" s="25">
        <f t="shared" si="21"/>
        <v>0</v>
      </c>
      <c r="L31" s="25"/>
      <c r="M31" s="25">
        <f>110+27+199+280+238+135+183+11</f>
        <v>1183</v>
      </c>
      <c r="N31" s="25">
        <f t="shared" si="22"/>
        <v>0</v>
      </c>
      <c r="O31" s="25"/>
      <c r="P31" s="25">
        <f>854+135+183+11</f>
        <v>1183</v>
      </c>
      <c r="Q31" s="25">
        <f t="shared" si="23"/>
        <v>0</v>
      </c>
      <c r="R31" s="25"/>
      <c r="S31" s="25">
        <f>530+420+150+83</f>
        <v>1183</v>
      </c>
      <c r="T31" s="43">
        <f t="shared" si="24"/>
        <v>0</v>
      </c>
      <c r="U31" s="25"/>
      <c r="V31" s="25">
        <f>130+400+420+150+83</f>
        <v>1183</v>
      </c>
      <c r="W31" s="43">
        <f t="shared" si="25"/>
        <v>0</v>
      </c>
      <c r="X31" s="25"/>
      <c r="Y31" s="25">
        <f>100+190+190+320+190+120</f>
        <v>1110</v>
      </c>
      <c r="Z31" s="25">
        <f t="shared" si="26"/>
        <v>-73</v>
      </c>
      <c r="AA31" s="25"/>
      <c r="AB31" s="25">
        <f>100+190+190+320+190+120</f>
        <v>1110</v>
      </c>
      <c r="AC31" s="44">
        <f t="shared" si="27"/>
        <v>0</v>
      </c>
      <c r="AD31" s="263"/>
      <c r="AE31" s="263"/>
      <c r="AF31" s="268"/>
      <c r="AG31" s="263"/>
      <c r="AH31" s="261"/>
      <c r="AI31" s="263"/>
      <c r="AJ31" s="261"/>
      <c r="AK31" s="263"/>
      <c r="AL31" s="261"/>
      <c r="AM31" s="249"/>
      <c r="AN31" s="249"/>
      <c r="AO31" s="251"/>
    </row>
    <row r="32" spans="1:41" ht="18" thickBot="1" x14ac:dyDescent="0.3">
      <c r="A32" s="265"/>
      <c r="B32" s="253" t="s">
        <v>34</v>
      </c>
      <c r="C32" s="254"/>
      <c r="D32" s="255"/>
      <c r="E32" s="24">
        <f>+SUM(E29:E31)</f>
        <v>4190</v>
      </c>
      <c r="F32" s="24">
        <f t="shared" ref="F32:AC32" si="28">+SUM(F29:F31)</f>
        <v>0</v>
      </c>
      <c r="G32" s="24">
        <f t="shared" si="28"/>
        <v>3853</v>
      </c>
      <c r="H32" s="24">
        <f t="shared" si="28"/>
        <v>-337</v>
      </c>
      <c r="I32" s="24">
        <f t="shared" si="28"/>
        <v>0</v>
      </c>
      <c r="J32" s="24">
        <f t="shared" si="28"/>
        <v>3853</v>
      </c>
      <c r="K32" s="24">
        <f t="shared" si="28"/>
        <v>0</v>
      </c>
      <c r="L32" s="24">
        <f t="shared" si="28"/>
        <v>0</v>
      </c>
      <c r="M32" s="24">
        <f t="shared" si="28"/>
        <v>3843</v>
      </c>
      <c r="N32" s="24">
        <f t="shared" si="28"/>
        <v>-10</v>
      </c>
      <c r="O32" s="24">
        <f t="shared" si="28"/>
        <v>0</v>
      </c>
      <c r="P32" s="24">
        <f t="shared" si="28"/>
        <v>3843</v>
      </c>
      <c r="Q32" s="24">
        <f t="shared" si="28"/>
        <v>0</v>
      </c>
      <c r="R32" s="24">
        <f t="shared" si="28"/>
        <v>0</v>
      </c>
      <c r="S32" s="24">
        <f t="shared" si="28"/>
        <v>3843</v>
      </c>
      <c r="T32" s="24">
        <f t="shared" si="28"/>
        <v>0</v>
      </c>
      <c r="U32" s="24">
        <f t="shared" si="28"/>
        <v>0</v>
      </c>
      <c r="V32" s="24">
        <f t="shared" si="28"/>
        <v>3843</v>
      </c>
      <c r="W32" s="24">
        <f t="shared" si="28"/>
        <v>0</v>
      </c>
      <c r="X32" s="24">
        <f t="shared" si="28"/>
        <v>0</v>
      </c>
      <c r="Y32" s="24">
        <f t="shared" si="28"/>
        <v>3580</v>
      </c>
      <c r="Z32" s="24">
        <f t="shared" si="28"/>
        <v>-263</v>
      </c>
      <c r="AA32" s="24">
        <f t="shared" si="28"/>
        <v>0</v>
      </c>
      <c r="AB32" s="24">
        <f t="shared" si="28"/>
        <v>3580</v>
      </c>
      <c r="AC32" s="24">
        <f t="shared" si="28"/>
        <v>0</v>
      </c>
      <c r="AD32" s="264"/>
      <c r="AE32" s="264"/>
      <c r="AF32" s="269"/>
      <c r="AG32" s="264"/>
      <c r="AH32" s="262"/>
      <c r="AI32" s="264"/>
      <c r="AJ32" s="262"/>
      <c r="AK32" s="264"/>
      <c r="AL32" s="262"/>
      <c r="AM32" s="250"/>
      <c r="AN32" s="250"/>
      <c r="AO32" s="252"/>
    </row>
    <row r="33" spans="1:41" ht="18" customHeight="1" thickBot="1" x14ac:dyDescent="0.3">
      <c r="A33" s="266"/>
      <c r="B33" s="256" t="s">
        <v>40</v>
      </c>
      <c r="C33" s="256"/>
      <c r="D33" s="257"/>
      <c r="E33" s="26">
        <f>E32</f>
        <v>4190</v>
      </c>
      <c r="F33" s="26">
        <f t="shared" ref="F33:AC33" si="29">F32</f>
        <v>0</v>
      </c>
      <c r="G33" s="26">
        <f t="shared" si="29"/>
        <v>3853</v>
      </c>
      <c r="H33" s="26">
        <f t="shared" si="29"/>
        <v>-337</v>
      </c>
      <c r="I33" s="26">
        <f t="shared" si="29"/>
        <v>0</v>
      </c>
      <c r="J33" s="26">
        <f t="shared" si="29"/>
        <v>3853</v>
      </c>
      <c r="K33" s="26">
        <f t="shared" si="29"/>
        <v>0</v>
      </c>
      <c r="L33" s="26">
        <f t="shared" si="29"/>
        <v>0</v>
      </c>
      <c r="M33" s="26">
        <f t="shared" si="29"/>
        <v>3843</v>
      </c>
      <c r="N33" s="26">
        <f t="shared" si="29"/>
        <v>-10</v>
      </c>
      <c r="O33" s="26">
        <f t="shared" si="29"/>
        <v>0</v>
      </c>
      <c r="P33" s="26">
        <f t="shared" si="29"/>
        <v>3843</v>
      </c>
      <c r="Q33" s="26">
        <f t="shared" si="29"/>
        <v>0</v>
      </c>
      <c r="R33" s="26">
        <f t="shared" si="29"/>
        <v>0</v>
      </c>
      <c r="S33" s="26">
        <f t="shared" si="29"/>
        <v>3843</v>
      </c>
      <c r="T33" s="26">
        <f t="shared" si="29"/>
        <v>0</v>
      </c>
      <c r="U33" s="26">
        <f t="shared" si="29"/>
        <v>0</v>
      </c>
      <c r="V33" s="26">
        <f t="shared" si="29"/>
        <v>3843</v>
      </c>
      <c r="W33" s="26">
        <f t="shared" si="29"/>
        <v>0</v>
      </c>
      <c r="X33" s="26">
        <f t="shared" si="29"/>
        <v>0</v>
      </c>
      <c r="Y33" s="26">
        <f t="shared" si="29"/>
        <v>3580</v>
      </c>
      <c r="Z33" s="26">
        <f t="shared" si="29"/>
        <v>-263</v>
      </c>
      <c r="AA33" s="26">
        <f t="shared" si="29"/>
        <v>0</v>
      </c>
      <c r="AB33" s="26">
        <f t="shared" si="29"/>
        <v>3580</v>
      </c>
      <c r="AC33" s="26">
        <f t="shared" si="29"/>
        <v>0</v>
      </c>
      <c r="AD33" s="45">
        <f t="shared" ref="AD33:AL33" si="30">SUM(AD29:AD32)</f>
        <v>0</v>
      </c>
      <c r="AE33" s="45">
        <f t="shared" si="30"/>
        <v>2887</v>
      </c>
      <c r="AF33" s="46">
        <f t="shared" si="30"/>
        <v>33.130000000000003</v>
      </c>
      <c r="AG33" s="45">
        <f t="shared" si="30"/>
        <v>1</v>
      </c>
      <c r="AH33" s="45">
        <f t="shared" si="30"/>
        <v>403</v>
      </c>
      <c r="AI33" s="45">
        <f t="shared" si="30"/>
        <v>0</v>
      </c>
      <c r="AJ33" s="45">
        <f t="shared" si="30"/>
        <v>119</v>
      </c>
      <c r="AK33" s="45">
        <f t="shared" si="30"/>
        <v>0</v>
      </c>
      <c r="AL33" s="45">
        <f t="shared" si="30"/>
        <v>31</v>
      </c>
      <c r="AM33" s="47">
        <f>L33*AF33/480/AG33</f>
        <v>0</v>
      </c>
      <c r="AN33" s="48">
        <f>M33*AF33/480/AH33</f>
        <v>0.65818129652605462</v>
      </c>
      <c r="AO33" s="49"/>
    </row>
    <row r="34" spans="1:41" s="60" customFormat="1" ht="15.75" thickBot="1" x14ac:dyDescent="0.3">
      <c r="A34" s="50"/>
      <c r="B34" s="51"/>
      <c r="C34" s="51"/>
      <c r="D34" s="51"/>
      <c r="E34" s="51"/>
      <c r="F34" s="52"/>
      <c r="G34" s="51"/>
      <c r="H34" s="51"/>
      <c r="I34" s="190"/>
      <c r="J34" s="54"/>
      <c r="K34" s="51"/>
      <c r="L34" s="55"/>
      <c r="M34" s="51"/>
      <c r="N34" s="51"/>
      <c r="O34" s="56"/>
      <c r="P34" s="51"/>
      <c r="Q34" s="51"/>
      <c r="R34" s="55"/>
      <c r="S34" s="51"/>
      <c r="T34" s="51"/>
      <c r="U34" s="55"/>
      <c r="V34" s="51"/>
      <c r="W34" s="51"/>
      <c r="X34" s="55"/>
      <c r="Y34" s="51"/>
      <c r="Z34" s="51"/>
      <c r="AA34" s="55"/>
      <c r="AB34" s="51"/>
      <c r="AC34" s="51"/>
      <c r="AD34" s="189"/>
      <c r="AE34" s="58"/>
      <c r="AF34" s="51"/>
      <c r="AG34" s="189"/>
      <c r="AH34" s="58"/>
      <c r="AI34" s="189"/>
      <c r="AJ34" s="58"/>
      <c r="AK34" s="189"/>
      <c r="AL34" s="58"/>
      <c r="AM34" s="189"/>
      <c r="AN34" s="55"/>
      <c r="AO34" s="59"/>
    </row>
    <row r="35" spans="1:41" s="60" customFormat="1" ht="15.75" thickBot="1" x14ac:dyDescent="0.3">
      <c r="A35" s="258" t="s">
        <v>47</v>
      </c>
      <c r="B35" s="259"/>
      <c r="C35" s="259"/>
      <c r="D35" s="259"/>
      <c r="E35" s="260"/>
      <c r="F35" s="63">
        <f>F33+F28</f>
        <v>0</v>
      </c>
      <c r="G35" s="64"/>
      <c r="H35" s="64"/>
      <c r="I35" s="63">
        <f>I33+I28</f>
        <v>157</v>
      </c>
      <c r="J35" s="64"/>
      <c r="K35" s="65">
        <f>K33+K28</f>
        <v>0</v>
      </c>
      <c r="L35" s="66">
        <f>L33+L28</f>
        <v>362</v>
      </c>
      <c r="M35" s="64"/>
      <c r="N35" s="65">
        <f>N33+N28</f>
        <v>-1416</v>
      </c>
      <c r="O35" s="66">
        <f>O33+O28</f>
        <v>512</v>
      </c>
      <c r="P35" s="64"/>
      <c r="Q35" s="65">
        <f>Q33+Q28</f>
        <v>0</v>
      </c>
      <c r="R35" s="66">
        <f>R33+R28</f>
        <v>0</v>
      </c>
      <c r="S35" s="64"/>
      <c r="T35" s="65">
        <f>T33+T28</f>
        <v>-1724</v>
      </c>
      <c r="U35" s="66">
        <f>U33+U28</f>
        <v>0</v>
      </c>
      <c r="V35" s="64"/>
      <c r="W35" s="65">
        <f>W33+W28</f>
        <v>-113</v>
      </c>
      <c r="X35" s="66">
        <f>X33+X28</f>
        <v>0</v>
      </c>
      <c r="Y35" s="64"/>
      <c r="Z35" s="65">
        <f>Z33+Z28</f>
        <v>-3135</v>
      </c>
      <c r="AA35" s="66">
        <f>AA33+AA28</f>
        <v>0</v>
      </c>
      <c r="AB35" s="64"/>
      <c r="AC35" s="65">
        <f>AC33+AC28</f>
        <v>0</v>
      </c>
      <c r="AD35" s="67">
        <f>AD33+AD28</f>
        <v>362</v>
      </c>
      <c r="AE35" s="65">
        <f>AE33+AE28</f>
        <v>6844</v>
      </c>
      <c r="AF35" s="64"/>
      <c r="AG35" s="63">
        <f>AG33+AG28</f>
        <v>24</v>
      </c>
      <c r="AH35" s="68"/>
      <c r="AI35" s="63">
        <f>AI33+AI28</f>
        <v>9</v>
      </c>
      <c r="AJ35" s="68"/>
      <c r="AK35" s="63">
        <f>AK33+AK28</f>
        <v>2</v>
      </c>
      <c r="AL35" s="68"/>
      <c r="AM35" s="69">
        <f>SUM(AM33+AM28)/2</f>
        <v>0.51080855978260875</v>
      </c>
      <c r="AN35" s="69">
        <f>SUM(AN33+AN28)/2</f>
        <v>0.71474589882609041</v>
      </c>
      <c r="AO35" s="70"/>
    </row>
    <row r="36" spans="1:41" s="60" customFormat="1" ht="15" x14ac:dyDescent="0.25">
      <c r="O36" s="71"/>
    </row>
    <row r="37" spans="1:41" s="60" customFormat="1" ht="15" x14ac:dyDescent="0.25">
      <c r="O37" s="71"/>
      <c r="W37" s="60" t="s">
        <v>5</v>
      </c>
      <c r="Z37" s="60" t="s">
        <v>5</v>
      </c>
      <c r="AC37" s="60" t="s">
        <v>5</v>
      </c>
    </row>
  </sheetData>
  <mergeCells count="75">
    <mergeCell ref="AN29:AN32"/>
    <mergeCell ref="AO29:AO32"/>
    <mergeCell ref="B32:D32"/>
    <mergeCell ref="B33:D33"/>
    <mergeCell ref="A35:E35"/>
    <mergeCell ref="AH29:AH32"/>
    <mergeCell ref="AI29:AI32"/>
    <mergeCell ref="AJ29:AJ32"/>
    <mergeCell ref="AK29:AK32"/>
    <mergeCell ref="AL29:AL32"/>
    <mergeCell ref="AM29:AM32"/>
    <mergeCell ref="AN20:AN27"/>
    <mergeCell ref="AO20:AO27"/>
    <mergeCell ref="B27:D27"/>
    <mergeCell ref="B28:D28"/>
    <mergeCell ref="A29:A33"/>
    <mergeCell ref="C29:C31"/>
    <mergeCell ref="AD29:AD32"/>
    <mergeCell ref="AE29:AE32"/>
    <mergeCell ref="AF29:AF32"/>
    <mergeCell ref="AG29:AG32"/>
    <mergeCell ref="AH20:AH27"/>
    <mergeCell ref="AI20:AI27"/>
    <mergeCell ref="AJ20:AJ27"/>
    <mergeCell ref="AK20:AK27"/>
    <mergeCell ref="AL20:AL27"/>
    <mergeCell ref="AM20:AM27"/>
    <mergeCell ref="AO6:AO19"/>
    <mergeCell ref="B10:B13"/>
    <mergeCell ref="B14:B18"/>
    <mergeCell ref="B19:D19"/>
    <mergeCell ref="B20:B26"/>
    <mergeCell ref="C20:C26"/>
    <mergeCell ref="AD20:AD27"/>
    <mergeCell ref="AE20:AE27"/>
    <mergeCell ref="AF20:AF27"/>
    <mergeCell ref="AG20:AG27"/>
    <mergeCell ref="AI6:AI19"/>
    <mergeCell ref="AJ6:AJ19"/>
    <mergeCell ref="AK6:AK19"/>
    <mergeCell ref="AL6:AL19"/>
    <mergeCell ref="AM6:AM19"/>
    <mergeCell ref="AN6:AN19"/>
    <mergeCell ref="AM4:AN4"/>
    <mergeCell ref="AO4:AO5"/>
    <mergeCell ref="A6:A28"/>
    <mergeCell ref="B6:B9"/>
    <mergeCell ref="C6:C18"/>
    <mergeCell ref="AD6:AD19"/>
    <mergeCell ref="AE6:AE19"/>
    <mergeCell ref="AF6:AF19"/>
    <mergeCell ref="AG6:AG19"/>
    <mergeCell ref="AH6:AH19"/>
    <mergeCell ref="X4:Z4"/>
    <mergeCell ref="AA4:AC4"/>
    <mergeCell ref="AD4:AE4"/>
    <mergeCell ref="AG4:AH4"/>
    <mergeCell ref="AI4:AJ4"/>
    <mergeCell ref="AK4:AL4"/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35" max="5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L24" sqref="L24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27" style="1" bestFit="1" customWidth="1"/>
    <col min="4" max="4" width="26.85546875" style="1" customWidth="1"/>
    <col min="5" max="5" width="11.5703125" style="1" bestFit="1" customWidth="1"/>
    <col min="6" max="6" width="8.140625" style="1" bestFit="1" customWidth="1"/>
    <col min="7" max="7" width="7.7109375" style="1" bestFit="1" customWidth="1"/>
    <col min="8" max="8" width="7.42578125" style="1" bestFit="1" customWidth="1"/>
    <col min="9" max="9" width="8.140625" style="1" bestFit="1" customWidth="1"/>
    <col min="10" max="10" width="7.7109375" style="1" bestFit="1" customWidth="1"/>
    <col min="11" max="11" width="7.42578125" style="1" bestFit="1" customWidth="1"/>
    <col min="12" max="12" width="8.140625" style="1" customWidth="1"/>
    <col min="13" max="13" width="7.7109375" style="1" bestFit="1" customWidth="1"/>
    <col min="14" max="14" width="7.42578125" style="1" customWidth="1"/>
    <col min="15" max="15" width="7.85546875" style="72" customWidth="1"/>
    <col min="16" max="16" width="7.7109375" style="1" bestFit="1" customWidth="1"/>
    <col min="17" max="17" width="6.140625" style="1" bestFit="1" customWidth="1"/>
    <col min="18" max="18" width="7.85546875" style="1" customWidth="1"/>
    <col min="19" max="19" width="7.7109375" style="1" bestFit="1" customWidth="1"/>
    <col min="20" max="20" width="7.42578125" style="1" bestFit="1" customWidth="1"/>
    <col min="21" max="21" width="10.140625" style="1" customWidth="1"/>
    <col min="22" max="22" width="7.7109375" style="1" bestFit="1" customWidth="1"/>
    <col min="23" max="23" width="6.140625" style="1" bestFit="1" customWidth="1"/>
    <col min="24" max="24" width="7.85546875" style="1" bestFit="1" customWidth="1"/>
    <col min="25" max="25" width="7.7109375" style="1" bestFit="1" customWidth="1"/>
    <col min="26" max="26" width="7.42578125" style="1" bestFit="1" customWidth="1"/>
    <col min="27" max="27" width="8.140625" style="1" customWidth="1"/>
    <col min="28" max="28" width="7.7109375" style="1" bestFit="1" customWidth="1"/>
    <col min="29" max="29" width="5.42578125" style="1" bestFit="1" customWidth="1"/>
    <col min="30" max="30" width="8.140625" style="1" bestFit="1" customWidth="1"/>
    <col min="31" max="31" width="7.710937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45353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50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7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8" t="s">
        <v>26</v>
      </c>
      <c r="G5" s="9" t="s">
        <v>27</v>
      </c>
      <c r="H5" s="10" t="s">
        <v>28</v>
      </c>
      <c r="I5" s="7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12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7" t="s">
        <v>26</v>
      </c>
      <c r="AE5" s="9" t="s">
        <v>27</v>
      </c>
      <c r="AF5" s="8" t="s">
        <v>26</v>
      </c>
      <c r="AG5" s="8" t="s">
        <v>26</v>
      </c>
      <c r="AH5" s="9" t="s">
        <v>27</v>
      </c>
      <c r="AI5" s="8" t="s">
        <v>26</v>
      </c>
      <c r="AJ5" s="15" t="s">
        <v>27</v>
      </c>
      <c r="AK5" s="8" t="s">
        <v>26</v>
      </c>
      <c r="AL5" s="9" t="s">
        <v>27</v>
      </c>
      <c r="AM5" s="7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78" t="s">
        <v>36</v>
      </c>
      <c r="C6" s="280" t="s">
        <v>37</v>
      </c>
      <c r="D6" s="16" t="s">
        <v>38</v>
      </c>
      <c r="E6" s="17">
        <v>680</v>
      </c>
      <c r="F6" s="17"/>
      <c r="G6" s="17">
        <f>680</f>
        <v>680</v>
      </c>
      <c r="H6" s="17">
        <f t="shared" ref="H6:H9" si="0">G6-E6</f>
        <v>0</v>
      </c>
      <c r="I6" s="17"/>
      <c r="J6" s="17">
        <f>428+252</f>
        <v>680</v>
      </c>
      <c r="K6" s="17">
        <f t="shared" ref="K6:K9" si="1">J6-G6</f>
        <v>0</v>
      </c>
      <c r="L6" s="17">
        <v>62</v>
      </c>
      <c r="M6" s="17">
        <f>62</f>
        <v>62</v>
      </c>
      <c r="N6" s="17">
        <f t="shared" ref="N6:N9" si="2">M6-J6</f>
        <v>-618</v>
      </c>
      <c r="O6" s="17">
        <v>62</v>
      </c>
      <c r="P6" s="17">
        <f>62</f>
        <v>62</v>
      </c>
      <c r="Q6" s="17">
        <f t="shared" ref="Q6:Q9" si="3">P6-M6</f>
        <v>0</v>
      </c>
      <c r="R6" s="18"/>
      <c r="S6" s="18"/>
      <c r="T6" s="18">
        <f t="shared" ref="T6:T9" si="4">S6-P6</f>
        <v>-62</v>
      </c>
      <c r="U6" s="18"/>
      <c r="V6" s="18"/>
      <c r="W6" s="18">
        <f t="shared" ref="W6:W9" si="5">V6-S6</f>
        <v>0</v>
      </c>
      <c r="X6" s="17"/>
      <c r="Y6" s="17"/>
      <c r="Z6" s="17">
        <f t="shared" ref="Z6:Z9" si="6">Y6-P6</f>
        <v>-62</v>
      </c>
      <c r="AA6" s="17"/>
      <c r="AB6" s="17"/>
      <c r="AC6" s="19">
        <f t="shared" ref="AC6:AC9" si="7">AB6-Y6</f>
        <v>0</v>
      </c>
      <c r="AD6" s="267">
        <f>L10</f>
        <v>62</v>
      </c>
      <c r="AE6" s="267">
        <f>62</f>
        <v>62</v>
      </c>
      <c r="AF6" s="282">
        <v>24.192</v>
      </c>
      <c r="AG6" s="267">
        <v>10</v>
      </c>
      <c r="AH6" s="277">
        <f>6+8+6+10+10+10</f>
        <v>50</v>
      </c>
      <c r="AI6" s="267">
        <v>3</v>
      </c>
      <c r="AJ6" s="277">
        <f>1+2+2+2+3+3</f>
        <v>13</v>
      </c>
      <c r="AK6" s="267">
        <v>0</v>
      </c>
      <c r="AL6" s="277">
        <f>1+1+1+1</f>
        <v>4</v>
      </c>
      <c r="AM6" s="270">
        <f>L10*AF6/480/AG6</f>
        <v>0.31247999999999998</v>
      </c>
      <c r="AN6" s="270">
        <f>M10*AF6/480/AH6</f>
        <v>6.2496000000000003E-2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>
        <v>174</v>
      </c>
      <c r="J7" s="20">
        <f>425+174</f>
        <v>599</v>
      </c>
      <c r="K7" s="20">
        <f t="shared" si="1"/>
        <v>0</v>
      </c>
      <c r="L7" s="20"/>
      <c r="M7" s="20"/>
      <c r="N7" s="20">
        <f t="shared" si="2"/>
        <v>-599</v>
      </c>
      <c r="O7" s="20"/>
      <c r="P7" s="20"/>
      <c r="Q7" s="20">
        <f t="shared" si="3"/>
        <v>0</v>
      </c>
      <c r="R7" s="20"/>
      <c r="S7" s="20"/>
      <c r="T7" s="20">
        <f t="shared" si="4"/>
        <v>0</v>
      </c>
      <c r="U7" s="20"/>
      <c r="V7" s="20"/>
      <c r="W7" s="20">
        <f t="shared" si="5"/>
        <v>0</v>
      </c>
      <c r="X7" s="20"/>
      <c r="Y7" s="20"/>
      <c r="Z7" s="20">
        <f t="shared" si="6"/>
        <v>0</v>
      </c>
      <c r="AA7" s="20"/>
      <c r="AB7" s="20"/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/>
      <c r="M8" s="20"/>
      <c r="N8" s="20">
        <f t="shared" si="2"/>
        <v>-677</v>
      </c>
      <c r="O8" s="20"/>
      <c r="P8" s="20"/>
      <c r="Q8" s="20">
        <f t="shared" si="3"/>
        <v>0</v>
      </c>
      <c r="R8" s="20"/>
      <c r="S8" s="20"/>
      <c r="T8" s="20">
        <f t="shared" si="4"/>
        <v>0</v>
      </c>
      <c r="U8" s="20"/>
      <c r="V8" s="20"/>
      <c r="W8" s="20">
        <f t="shared" si="5"/>
        <v>0</v>
      </c>
      <c r="X8" s="20"/>
      <c r="Y8" s="20"/>
      <c r="Z8" s="20">
        <f t="shared" si="6"/>
        <v>0</v>
      </c>
      <c r="AA8" s="20"/>
      <c r="AB8" s="20"/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ht="18" thickBot="1" x14ac:dyDescent="0.3">
      <c r="A9" s="283"/>
      <c r="B9" s="279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>
        <v>106</v>
      </c>
      <c r="J9" s="20">
        <f>106</f>
        <v>106</v>
      </c>
      <c r="K9" s="20">
        <f t="shared" si="1"/>
        <v>0</v>
      </c>
      <c r="L9" s="20"/>
      <c r="M9" s="20"/>
      <c r="N9" s="20">
        <f t="shared" si="2"/>
        <v>-106</v>
      </c>
      <c r="O9" s="20"/>
      <c r="P9" s="20"/>
      <c r="Q9" s="20">
        <f t="shared" si="3"/>
        <v>0</v>
      </c>
      <c r="R9" s="22"/>
      <c r="S9" s="22"/>
      <c r="T9" s="22">
        <f t="shared" si="4"/>
        <v>0</v>
      </c>
      <c r="U9" s="22"/>
      <c r="V9" s="22"/>
      <c r="W9" s="22">
        <f t="shared" si="5"/>
        <v>0</v>
      </c>
      <c r="X9" s="20"/>
      <c r="Y9" s="20"/>
      <c r="Z9" s="20">
        <f t="shared" si="6"/>
        <v>0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ht="18" thickBot="1" x14ac:dyDescent="0.3">
      <c r="A10" s="283"/>
      <c r="B10" s="272" t="s">
        <v>34</v>
      </c>
      <c r="C10" s="273"/>
      <c r="D10" s="274"/>
      <c r="E10" s="23">
        <f>+SUM(E6:E9)</f>
        <v>2062</v>
      </c>
      <c r="F10" s="23">
        <f>+SUM(F6:F9)</f>
        <v>0</v>
      </c>
      <c r="G10" s="23">
        <f>SUM(G6:G9)</f>
        <v>2062</v>
      </c>
      <c r="H10" s="23">
        <f t="shared" ref="H10:AC10" si="8">+SUM(H6:H9)</f>
        <v>0</v>
      </c>
      <c r="I10" s="23">
        <f t="shared" si="8"/>
        <v>280</v>
      </c>
      <c r="J10" s="23">
        <f t="shared" si="8"/>
        <v>2062</v>
      </c>
      <c r="K10" s="23">
        <f t="shared" si="8"/>
        <v>0</v>
      </c>
      <c r="L10" s="23">
        <f t="shared" si="8"/>
        <v>62</v>
      </c>
      <c r="M10" s="23">
        <f t="shared" si="8"/>
        <v>62</v>
      </c>
      <c r="N10" s="23">
        <f t="shared" si="8"/>
        <v>-2000</v>
      </c>
      <c r="O10" s="23">
        <f t="shared" si="8"/>
        <v>62</v>
      </c>
      <c r="P10" s="23">
        <f t="shared" si="8"/>
        <v>62</v>
      </c>
      <c r="Q10" s="23">
        <f t="shared" si="8"/>
        <v>0</v>
      </c>
      <c r="R10" s="24">
        <f t="shared" si="8"/>
        <v>0</v>
      </c>
      <c r="S10" s="24">
        <f t="shared" si="8"/>
        <v>0</v>
      </c>
      <c r="T10" s="24">
        <f t="shared" si="8"/>
        <v>-62</v>
      </c>
      <c r="U10" s="24">
        <f t="shared" si="8"/>
        <v>0</v>
      </c>
      <c r="V10" s="24">
        <f t="shared" si="8"/>
        <v>0</v>
      </c>
      <c r="W10" s="24">
        <f t="shared" si="8"/>
        <v>0</v>
      </c>
      <c r="X10" s="23">
        <f t="shared" si="8"/>
        <v>0</v>
      </c>
      <c r="Y10" s="23">
        <f t="shared" si="8"/>
        <v>0</v>
      </c>
      <c r="Z10" s="23">
        <f t="shared" si="8"/>
        <v>-62</v>
      </c>
      <c r="AA10" s="23">
        <f t="shared" si="8"/>
        <v>0</v>
      </c>
      <c r="AB10" s="23">
        <f t="shared" si="8"/>
        <v>0</v>
      </c>
      <c r="AC10" s="15">
        <f t="shared" si="8"/>
        <v>0</v>
      </c>
      <c r="AD10" s="264"/>
      <c r="AE10" s="264"/>
      <c r="AF10" s="269"/>
      <c r="AG10" s="264"/>
      <c r="AH10" s="262"/>
      <c r="AI10" s="264"/>
      <c r="AJ10" s="262"/>
      <c r="AK10" s="264"/>
      <c r="AL10" s="262"/>
      <c r="AM10" s="250"/>
      <c r="AN10" s="250"/>
      <c r="AO10" s="252"/>
    </row>
    <row r="11" spans="1:41" ht="18" thickBot="1" x14ac:dyDescent="0.3">
      <c r="A11" s="284"/>
      <c r="B11" s="275" t="s">
        <v>40</v>
      </c>
      <c r="C11" s="275"/>
      <c r="D11" s="276"/>
      <c r="E11" s="26">
        <f>E10</f>
        <v>2062</v>
      </c>
      <c r="F11" s="26">
        <f t="shared" ref="F11:AC11" si="9">F10</f>
        <v>0</v>
      </c>
      <c r="G11" s="26">
        <f t="shared" si="9"/>
        <v>2062</v>
      </c>
      <c r="H11" s="26">
        <f t="shared" si="9"/>
        <v>0</v>
      </c>
      <c r="I11" s="26">
        <f t="shared" si="9"/>
        <v>280</v>
      </c>
      <c r="J11" s="26">
        <f t="shared" si="9"/>
        <v>2062</v>
      </c>
      <c r="K11" s="26">
        <f t="shared" si="9"/>
        <v>0</v>
      </c>
      <c r="L11" s="26">
        <f t="shared" si="9"/>
        <v>62</v>
      </c>
      <c r="M11" s="26">
        <f t="shared" si="9"/>
        <v>62</v>
      </c>
      <c r="N11" s="26">
        <f t="shared" si="9"/>
        <v>-2000</v>
      </c>
      <c r="O11" s="26">
        <f t="shared" si="9"/>
        <v>62</v>
      </c>
      <c r="P11" s="26">
        <f t="shared" si="9"/>
        <v>62</v>
      </c>
      <c r="Q11" s="26">
        <f t="shared" si="9"/>
        <v>0</v>
      </c>
      <c r="R11" s="26">
        <f t="shared" si="9"/>
        <v>0</v>
      </c>
      <c r="S11" s="26">
        <f t="shared" si="9"/>
        <v>0</v>
      </c>
      <c r="T11" s="26">
        <f t="shared" si="9"/>
        <v>-62</v>
      </c>
      <c r="U11" s="26">
        <f t="shared" si="9"/>
        <v>0</v>
      </c>
      <c r="V11" s="26">
        <f t="shared" si="9"/>
        <v>0</v>
      </c>
      <c r="W11" s="26">
        <f t="shared" si="9"/>
        <v>0</v>
      </c>
      <c r="X11" s="26">
        <f t="shared" si="9"/>
        <v>0</v>
      </c>
      <c r="Y11" s="26">
        <f t="shared" si="9"/>
        <v>0</v>
      </c>
      <c r="Z11" s="26">
        <f t="shared" si="9"/>
        <v>-62</v>
      </c>
      <c r="AA11" s="26">
        <f t="shared" si="9"/>
        <v>0</v>
      </c>
      <c r="AB11" s="26">
        <f t="shared" si="9"/>
        <v>0</v>
      </c>
      <c r="AC11" s="26">
        <f t="shared" si="9"/>
        <v>0</v>
      </c>
      <c r="AD11" s="27">
        <f t="shared" ref="AD11:AL11" si="10">SUM(AD6:AD10)</f>
        <v>62</v>
      </c>
      <c r="AE11" s="27">
        <f t="shared" si="10"/>
        <v>62</v>
      </c>
      <c r="AF11" s="28">
        <f t="shared" si="10"/>
        <v>24.192</v>
      </c>
      <c r="AG11" s="27">
        <f t="shared" si="10"/>
        <v>10</v>
      </c>
      <c r="AH11" s="27">
        <f t="shared" si="10"/>
        <v>50</v>
      </c>
      <c r="AI11" s="27">
        <f t="shared" si="10"/>
        <v>3</v>
      </c>
      <c r="AJ11" s="27">
        <f t="shared" si="10"/>
        <v>13</v>
      </c>
      <c r="AK11" s="27">
        <f t="shared" si="10"/>
        <v>0</v>
      </c>
      <c r="AL11" s="27">
        <f t="shared" si="10"/>
        <v>4</v>
      </c>
      <c r="AM11" s="29">
        <f>L11*AF11/480/AG11</f>
        <v>0.31247999999999998</v>
      </c>
      <c r="AN11" s="30">
        <f>M11*AF11/480/AH11</f>
        <v>6.2496000000000003E-2</v>
      </c>
      <c r="AO11" s="31"/>
    </row>
    <row r="12" spans="1:41" ht="18.75" customHeight="1" x14ac:dyDescent="0.25">
      <c r="A12" s="265" t="s">
        <v>32</v>
      </c>
      <c r="B12" s="32" t="s">
        <v>41</v>
      </c>
      <c r="C12" s="33" t="s">
        <v>37</v>
      </c>
      <c r="D12" s="34" t="s">
        <v>42</v>
      </c>
      <c r="E12" s="17">
        <v>1645</v>
      </c>
      <c r="F12" s="17"/>
      <c r="G12" s="17">
        <f>1433</f>
        <v>1433</v>
      </c>
      <c r="H12" s="17">
        <f t="shared" ref="H12:H14" si="11">G12-E12</f>
        <v>-212</v>
      </c>
      <c r="I12" s="17"/>
      <c r="J12" s="17">
        <f>100+200+300+350+400+83</f>
        <v>1433</v>
      </c>
      <c r="K12" s="17">
        <f t="shared" ref="K12:K14" si="12">J12-G12</f>
        <v>0</v>
      </c>
      <c r="L12" s="17"/>
      <c r="M12" s="17">
        <f>102+201+302+351-99</f>
        <v>857</v>
      </c>
      <c r="N12" s="17">
        <f t="shared" ref="N12:N14" si="13">M12-J12</f>
        <v>-576</v>
      </c>
      <c r="O12" s="17">
        <f>410-383</f>
        <v>27</v>
      </c>
      <c r="P12" s="17">
        <f>108+163+112+27</f>
        <v>410</v>
      </c>
      <c r="Q12" s="17">
        <f t="shared" ref="Q12:Q14" si="14">P12-M12</f>
        <v>-447</v>
      </c>
      <c r="R12" s="17"/>
      <c r="S12" s="17">
        <f>20+130+200</f>
        <v>350</v>
      </c>
      <c r="T12" s="35">
        <f t="shared" ref="T12:T14" si="15">S12-P12</f>
        <v>-60</v>
      </c>
      <c r="U12" s="17">
        <v>330</v>
      </c>
      <c r="V12" s="17">
        <f>20+330</f>
        <v>350</v>
      </c>
      <c r="W12" s="35">
        <f t="shared" ref="W12:W14" si="16">V12-S12</f>
        <v>0</v>
      </c>
      <c r="X12" s="17"/>
      <c r="Y12" s="17"/>
      <c r="Z12" s="17">
        <f t="shared" ref="Z12:Z14" si="17">Y12-P12</f>
        <v>-410</v>
      </c>
      <c r="AA12" s="17"/>
      <c r="AB12" s="17"/>
      <c r="AC12" s="33">
        <f t="shared" ref="AC12:AC14" si="18">AB12-Y12</f>
        <v>0</v>
      </c>
      <c r="AD12" s="267">
        <f>L15</f>
        <v>0</v>
      </c>
      <c r="AE12" s="263">
        <f>300</f>
        <v>300</v>
      </c>
      <c r="AF12" s="268">
        <v>33.130000000000003</v>
      </c>
      <c r="AG12" s="263">
        <v>21</v>
      </c>
      <c r="AH12" s="261">
        <f>2+10+8+8+8+6+6+6+9+5+6+8+7+7+6+6+6+6+6+6+7+7+7+7+6+7+17+16+16+22+21+21</f>
        <v>286</v>
      </c>
      <c r="AI12" s="263">
        <v>8</v>
      </c>
      <c r="AJ12" s="261">
        <f>1+1+1+1+1+1+1+2+2+2+2+2+2+2+2+2+2+1+1+1+1+1+1+1+1+4+3+4+5+8+8</f>
        <v>67</v>
      </c>
      <c r="AK12" s="263">
        <v>2</v>
      </c>
      <c r="AL12" s="261">
        <f>1+1+1+1+1+1+1+1+1+1+1+1+1+1+1+1+2+2+2</f>
        <v>22</v>
      </c>
      <c r="AM12" s="249">
        <f>L15*AF12/480/AG12</f>
        <v>0</v>
      </c>
      <c r="AN12" s="249">
        <f>M15*AF12/480/AH12</f>
        <v>0.30311247086247095</v>
      </c>
      <c r="AO12" s="251"/>
    </row>
    <row r="13" spans="1:41" ht="18.75" customHeight="1" x14ac:dyDescent="0.25">
      <c r="A13" s="265"/>
      <c r="B13" s="36" t="s">
        <v>43</v>
      </c>
      <c r="C13" s="37" t="s">
        <v>37</v>
      </c>
      <c r="D13" s="38" t="s">
        <v>44</v>
      </c>
      <c r="E13" s="20">
        <v>1245</v>
      </c>
      <c r="F13" s="20"/>
      <c r="G13" s="20">
        <f>1238</f>
        <v>1238</v>
      </c>
      <c r="H13" s="20">
        <f t="shared" si="11"/>
        <v>-7</v>
      </c>
      <c r="I13" s="20"/>
      <c r="J13" s="20">
        <f>650+588</f>
        <v>1238</v>
      </c>
      <c r="K13" s="20">
        <f t="shared" si="12"/>
        <v>0</v>
      </c>
      <c r="L13" s="20"/>
      <c r="M13" s="20">
        <f>300+99</f>
        <v>399</v>
      </c>
      <c r="N13" s="20">
        <f t="shared" si="13"/>
        <v>-839</v>
      </c>
      <c r="O13" s="20">
        <f>399-164</f>
        <v>235</v>
      </c>
      <c r="P13" s="20">
        <f>36+128+235</f>
        <v>399</v>
      </c>
      <c r="Q13" s="20">
        <f t="shared" si="14"/>
        <v>0</v>
      </c>
      <c r="R13" s="20">
        <v>300</v>
      </c>
      <c r="S13" s="20">
        <f>20+300</f>
        <v>320</v>
      </c>
      <c r="T13" s="39">
        <f t="shared" si="15"/>
        <v>-79</v>
      </c>
      <c r="U13" s="20">
        <v>20</v>
      </c>
      <c r="V13" s="20">
        <f>20</f>
        <v>20</v>
      </c>
      <c r="W13" s="39">
        <f t="shared" si="16"/>
        <v>-300</v>
      </c>
      <c r="X13" s="20"/>
      <c r="Y13" s="20"/>
      <c r="Z13" s="20">
        <f t="shared" si="17"/>
        <v>-399</v>
      </c>
      <c r="AA13" s="20"/>
      <c r="AB13" s="20"/>
      <c r="AC13" s="37">
        <f t="shared" si="18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ht="18.75" customHeight="1" thickBot="1" x14ac:dyDescent="0.3">
      <c r="A14" s="265"/>
      <c r="B14" s="40" t="s">
        <v>45</v>
      </c>
      <c r="C14" s="41" t="s">
        <v>37</v>
      </c>
      <c r="D14" s="42" t="s">
        <v>46</v>
      </c>
      <c r="E14" s="25">
        <v>1300</v>
      </c>
      <c r="F14" s="25"/>
      <c r="G14" s="25">
        <f>1183</f>
        <v>1183</v>
      </c>
      <c r="H14" s="25">
        <f t="shared" si="11"/>
        <v>-117</v>
      </c>
      <c r="I14" s="25"/>
      <c r="J14" s="25">
        <f>520+663</f>
        <v>1183</v>
      </c>
      <c r="K14" s="25">
        <f t="shared" si="12"/>
        <v>0</v>
      </c>
      <c r="L14" s="25"/>
      <c r="M14" s="25"/>
      <c r="N14" s="25">
        <f t="shared" si="13"/>
        <v>-1183</v>
      </c>
      <c r="O14" s="25"/>
      <c r="P14" s="25"/>
      <c r="Q14" s="25">
        <f t="shared" si="14"/>
        <v>0</v>
      </c>
      <c r="R14" s="25"/>
      <c r="S14" s="25"/>
      <c r="T14" s="43">
        <f t="shared" si="15"/>
        <v>0</v>
      </c>
      <c r="U14" s="25"/>
      <c r="V14" s="25"/>
      <c r="W14" s="43">
        <f t="shared" si="16"/>
        <v>0</v>
      </c>
      <c r="X14" s="25"/>
      <c r="Y14" s="25"/>
      <c r="Z14" s="25">
        <f t="shared" si="17"/>
        <v>0</v>
      </c>
      <c r="AA14" s="25"/>
      <c r="AB14" s="25"/>
      <c r="AC14" s="44">
        <f t="shared" si="18"/>
        <v>0</v>
      </c>
      <c r="AD14" s="263"/>
      <c r="AE14" s="263"/>
      <c r="AF14" s="268"/>
      <c r="AG14" s="263"/>
      <c r="AH14" s="261"/>
      <c r="AI14" s="263"/>
      <c r="AJ14" s="261"/>
      <c r="AK14" s="263"/>
      <c r="AL14" s="261"/>
      <c r="AM14" s="249"/>
      <c r="AN14" s="249"/>
      <c r="AO14" s="251"/>
    </row>
    <row r="15" spans="1:41" ht="18" thickBot="1" x14ac:dyDescent="0.3">
      <c r="A15" s="265"/>
      <c r="B15" s="253" t="s">
        <v>34</v>
      </c>
      <c r="C15" s="254"/>
      <c r="D15" s="255"/>
      <c r="E15" s="24">
        <f>+SUM(E12:E14)</f>
        <v>4190</v>
      </c>
      <c r="F15" s="24">
        <f t="shared" ref="F15:AC15" si="19">+SUM(F12:F14)</f>
        <v>0</v>
      </c>
      <c r="G15" s="24">
        <f t="shared" si="19"/>
        <v>3854</v>
      </c>
      <c r="H15" s="24">
        <f t="shared" si="19"/>
        <v>-336</v>
      </c>
      <c r="I15" s="24">
        <f t="shared" si="19"/>
        <v>0</v>
      </c>
      <c r="J15" s="24">
        <f t="shared" si="19"/>
        <v>3854</v>
      </c>
      <c r="K15" s="24">
        <f t="shared" si="19"/>
        <v>0</v>
      </c>
      <c r="L15" s="24">
        <f t="shared" si="19"/>
        <v>0</v>
      </c>
      <c r="M15" s="24">
        <f t="shared" si="19"/>
        <v>1256</v>
      </c>
      <c r="N15" s="24">
        <f t="shared" si="19"/>
        <v>-2598</v>
      </c>
      <c r="O15" s="24">
        <f t="shared" si="19"/>
        <v>262</v>
      </c>
      <c r="P15" s="24">
        <f t="shared" si="19"/>
        <v>809</v>
      </c>
      <c r="Q15" s="24">
        <f t="shared" si="19"/>
        <v>-447</v>
      </c>
      <c r="R15" s="24">
        <f t="shared" si="19"/>
        <v>300</v>
      </c>
      <c r="S15" s="24">
        <f t="shared" si="19"/>
        <v>670</v>
      </c>
      <c r="T15" s="24">
        <f t="shared" si="19"/>
        <v>-139</v>
      </c>
      <c r="U15" s="24">
        <f t="shared" si="19"/>
        <v>350</v>
      </c>
      <c r="V15" s="24">
        <f t="shared" si="19"/>
        <v>370</v>
      </c>
      <c r="W15" s="24">
        <f t="shared" si="19"/>
        <v>-300</v>
      </c>
      <c r="X15" s="24">
        <f t="shared" si="19"/>
        <v>0</v>
      </c>
      <c r="Y15" s="24">
        <f t="shared" si="19"/>
        <v>0</v>
      </c>
      <c r="Z15" s="24">
        <f t="shared" si="19"/>
        <v>-809</v>
      </c>
      <c r="AA15" s="24">
        <f t="shared" si="19"/>
        <v>0</v>
      </c>
      <c r="AB15" s="24">
        <f t="shared" si="19"/>
        <v>0</v>
      </c>
      <c r="AC15" s="24">
        <f t="shared" si="19"/>
        <v>0</v>
      </c>
      <c r="AD15" s="264"/>
      <c r="AE15" s="264"/>
      <c r="AF15" s="269"/>
      <c r="AG15" s="264"/>
      <c r="AH15" s="262"/>
      <c r="AI15" s="264"/>
      <c r="AJ15" s="262"/>
      <c r="AK15" s="264"/>
      <c r="AL15" s="262"/>
      <c r="AM15" s="250"/>
      <c r="AN15" s="250"/>
      <c r="AO15" s="252"/>
    </row>
    <row r="16" spans="1:41" ht="18" customHeight="1" thickBot="1" x14ac:dyDescent="0.3">
      <c r="A16" s="266"/>
      <c r="B16" s="256" t="s">
        <v>40</v>
      </c>
      <c r="C16" s="256"/>
      <c r="D16" s="257"/>
      <c r="E16" s="26">
        <f>E15</f>
        <v>4190</v>
      </c>
      <c r="F16" s="26">
        <f t="shared" ref="F16:AC16" si="20">F15</f>
        <v>0</v>
      </c>
      <c r="G16" s="26">
        <f t="shared" si="20"/>
        <v>3854</v>
      </c>
      <c r="H16" s="26">
        <f t="shared" si="20"/>
        <v>-336</v>
      </c>
      <c r="I16" s="26">
        <f t="shared" si="20"/>
        <v>0</v>
      </c>
      <c r="J16" s="26">
        <f t="shared" si="20"/>
        <v>3854</v>
      </c>
      <c r="K16" s="26">
        <f t="shared" si="20"/>
        <v>0</v>
      </c>
      <c r="L16" s="26">
        <f t="shared" si="20"/>
        <v>0</v>
      </c>
      <c r="M16" s="26">
        <f t="shared" si="20"/>
        <v>1256</v>
      </c>
      <c r="N16" s="26">
        <f t="shared" si="20"/>
        <v>-2598</v>
      </c>
      <c r="O16" s="26">
        <f t="shared" si="20"/>
        <v>262</v>
      </c>
      <c r="P16" s="26">
        <f t="shared" si="20"/>
        <v>809</v>
      </c>
      <c r="Q16" s="26">
        <f t="shared" si="20"/>
        <v>-447</v>
      </c>
      <c r="R16" s="26">
        <f t="shared" si="20"/>
        <v>300</v>
      </c>
      <c r="S16" s="26">
        <f t="shared" si="20"/>
        <v>670</v>
      </c>
      <c r="T16" s="26">
        <f t="shared" si="20"/>
        <v>-139</v>
      </c>
      <c r="U16" s="26">
        <f t="shared" si="20"/>
        <v>350</v>
      </c>
      <c r="V16" s="26">
        <f t="shared" si="20"/>
        <v>370</v>
      </c>
      <c r="W16" s="26">
        <f t="shared" si="20"/>
        <v>-300</v>
      </c>
      <c r="X16" s="26">
        <f t="shared" si="20"/>
        <v>0</v>
      </c>
      <c r="Y16" s="26">
        <f t="shared" si="20"/>
        <v>0</v>
      </c>
      <c r="Z16" s="26">
        <f t="shared" si="20"/>
        <v>-809</v>
      </c>
      <c r="AA16" s="26">
        <f t="shared" si="20"/>
        <v>0</v>
      </c>
      <c r="AB16" s="26">
        <f t="shared" si="20"/>
        <v>0</v>
      </c>
      <c r="AC16" s="26">
        <f t="shared" si="20"/>
        <v>0</v>
      </c>
      <c r="AD16" s="45">
        <f t="shared" ref="AD16:AL16" si="21">SUM(AD12:AD15)</f>
        <v>0</v>
      </c>
      <c r="AE16" s="45">
        <f t="shared" si="21"/>
        <v>300</v>
      </c>
      <c r="AF16" s="46">
        <f t="shared" si="21"/>
        <v>33.130000000000003</v>
      </c>
      <c r="AG16" s="45">
        <f t="shared" si="21"/>
        <v>21</v>
      </c>
      <c r="AH16" s="45">
        <f t="shared" si="21"/>
        <v>286</v>
      </c>
      <c r="AI16" s="45">
        <f t="shared" si="21"/>
        <v>8</v>
      </c>
      <c r="AJ16" s="45">
        <f t="shared" si="21"/>
        <v>67</v>
      </c>
      <c r="AK16" s="45">
        <f t="shared" si="21"/>
        <v>2</v>
      </c>
      <c r="AL16" s="45">
        <f t="shared" si="21"/>
        <v>22</v>
      </c>
      <c r="AM16" s="47">
        <f>L16*AF16/480/AG16</f>
        <v>0</v>
      </c>
      <c r="AN16" s="48">
        <f>M16*AF16/480/AH16</f>
        <v>0.30311247086247095</v>
      </c>
      <c r="AO16" s="49"/>
    </row>
    <row r="17" spans="1:41" s="60" customFormat="1" ht="15.75" thickBot="1" x14ac:dyDescent="0.3">
      <c r="A17" s="50"/>
      <c r="B17" s="51"/>
      <c r="C17" s="51"/>
      <c r="D17" s="51"/>
      <c r="E17" s="51"/>
      <c r="F17" s="52"/>
      <c r="G17" s="51"/>
      <c r="H17" s="51"/>
      <c r="I17" s="62"/>
      <c r="J17" s="54"/>
      <c r="K17" s="51"/>
      <c r="L17" s="55"/>
      <c r="M17" s="51"/>
      <c r="N17" s="51"/>
      <c r="O17" s="56"/>
      <c r="P17" s="51"/>
      <c r="Q17" s="51"/>
      <c r="R17" s="55"/>
      <c r="S17" s="51"/>
      <c r="T17" s="51"/>
      <c r="U17" s="55"/>
      <c r="V17" s="51"/>
      <c r="W17" s="51"/>
      <c r="X17" s="55"/>
      <c r="Y17" s="51"/>
      <c r="Z17" s="51"/>
      <c r="AA17" s="55"/>
      <c r="AB17" s="51"/>
      <c r="AC17" s="51"/>
      <c r="AD17" s="61"/>
      <c r="AE17" s="58"/>
      <c r="AF17" s="51"/>
      <c r="AG17" s="61"/>
      <c r="AH17" s="58"/>
      <c r="AI17" s="61"/>
      <c r="AJ17" s="58"/>
      <c r="AK17" s="61"/>
      <c r="AL17" s="58"/>
      <c r="AM17" s="61"/>
      <c r="AN17" s="55"/>
      <c r="AO17" s="59"/>
    </row>
    <row r="18" spans="1:41" s="60" customFormat="1" ht="15.75" thickBot="1" x14ac:dyDescent="0.3">
      <c r="A18" s="258" t="s">
        <v>47</v>
      </c>
      <c r="B18" s="259"/>
      <c r="C18" s="259"/>
      <c r="D18" s="259"/>
      <c r="E18" s="260"/>
      <c r="F18" s="63">
        <f>F16+F11</f>
        <v>0</v>
      </c>
      <c r="G18" s="64"/>
      <c r="H18" s="64"/>
      <c r="I18" s="63">
        <f>I16+I11</f>
        <v>280</v>
      </c>
      <c r="J18" s="64"/>
      <c r="K18" s="65">
        <f>K16+K11</f>
        <v>0</v>
      </c>
      <c r="L18" s="66">
        <f>L16+L11</f>
        <v>62</v>
      </c>
      <c r="M18" s="64"/>
      <c r="N18" s="65">
        <f>N16+N11</f>
        <v>-4598</v>
      </c>
      <c r="O18" s="66">
        <f>O16+O11</f>
        <v>324</v>
      </c>
      <c r="P18" s="64"/>
      <c r="Q18" s="65">
        <f>Q16+Q11</f>
        <v>-447</v>
      </c>
      <c r="R18" s="66">
        <f>R16+R11</f>
        <v>300</v>
      </c>
      <c r="S18" s="64"/>
      <c r="T18" s="65">
        <f>T16+T11</f>
        <v>-201</v>
      </c>
      <c r="U18" s="66">
        <f>U16+U11</f>
        <v>350</v>
      </c>
      <c r="V18" s="64"/>
      <c r="W18" s="65">
        <f>W16+W11</f>
        <v>-300</v>
      </c>
      <c r="X18" s="66">
        <f>X16+X11</f>
        <v>0</v>
      </c>
      <c r="Y18" s="64"/>
      <c r="Z18" s="65">
        <f>Z16+Z11</f>
        <v>-871</v>
      </c>
      <c r="AA18" s="66">
        <f>AA16+AA11</f>
        <v>0</v>
      </c>
      <c r="AB18" s="64"/>
      <c r="AC18" s="65">
        <f>AC16+AC11</f>
        <v>0</v>
      </c>
      <c r="AD18" s="67">
        <f>AD16+AD11</f>
        <v>62</v>
      </c>
      <c r="AE18" s="65">
        <f>AE16+AE11</f>
        <v>362</v>
      </c>
      <c r="AF18" s="64"/>
      <c r="AG18" s="63">
        <f>AG16+AG11</f>
        <v>31</v>
      </c>
      <c r="AH18" s="68"/>
      <c r="AI18" s="63">
        <f>AI16+AI11</f>
        <v>11</v>
      </c>
      <c r="AJ18" s="68"/>
      <c r="AK18" s="63">
        <f>AK16+AK11</f>
        <v>2</v>
      </c>
      <c r="AL18" s="68"/>
      <c r="AM18" s="69">
        <f>SUM(AM16+AM11)/2</f>
        <v>0.15623999999999999</v>
      </c>
      <c r="AN18" s="69">
        <f>SUM(AN16+AN11)/2</f>
        <v>0.18280423543123547</v>
      </c>
      <c r="AO18" s="70"/>
    </row>
    <row r="19" spans="1:41" s="60" customFormat="1" ht="15" x14ac:dyDescent="0.25">
      <c r="O19" s="71"/>
      <c r="P19" s="60">
        <v>526</v>
      </c>
    </row>
    <row r="20" spans="1:41" s="60" customFormat="1" ht="15" x14ac:dyDescent="0.25">
      <c r="O20" s="71"/>
      <c r="P20" s="60">
        <v>524</v>
      </c>
      <c r="W20" s="60" t="s">
        <v>5</v>
      </c>
      <c r="Z20" s="60" t="s">
        <v>5</v>
      </c>
      <c r="AC20" s="60" t="s">
        <v>5</v>
      </c>
    </row>
    <row r="21" spans="1:41" x14ac:dyDescent="0.25">
      <c r="P21" s="1">
        <v>206</v>
      </c>
    </row>
    <row r="25" spans="1:41" x14ac:dyDescent="0.25">
      <c r="P25" s="1">
        <f>526-P12</f>
        <v>116</v>
      </c>
    </row>
    <row r="26" spans="1:41" x14ac:dyDescent="0.25">
      <c r="P26" s="1">
        <f>524-P13</f>
        <v>125</v>
      </c>
    </row>
    <row r="27" spans="1:41" x14ac:dyDescent="0.25">
      <c r="P27" s="1">
        <f>SUM(P25:P26)</f>
        <v>241</v>
      </c>
    </row>
    <row r="28" spans="1:41" x14ac:dyDescent="0.25">
      <c r="P28" s="1">
        <v>262</v>
      </c>
    </row>
    <row r="29" spans="1:41" x14ac:dyDescent="0.25">
      <c r="P29" s="1">
        <f>SUM(P27:P28)</f>
        <v>503</v>
      </c>
    </row>
  </sheetData>
  <mergeCells count="57">
    <mergeCell ref="A18:E18"/>
    <mergeCell ref="AJ12:AJ15"/>
    <mergeCell ref="AK12:AK15"/>
    <mergeCell ref="AF12:AF15"/>
    <mergeCell ref="AG12:AG15"/>
    <mergeCell ref="AH12:AH15"/>
    <mergeCell ref="AI12:AI15"/>
    <mergeCell ref="AL12:AL15"/>
    <mergeCell ref="AM12:AM15"/>
    <mergeCell ref="AN12:AN15"/>
    <mergeCell ref="AO12:AO15"/>
    <mergeCell ref="AO6:AO10"/>
    <mergeCell ref="AN6:AN10"/>
    <mergeCell ref="B10:D10"/>
    <mergeCell ref="B11:D11"/>
    <mergeCell ref="A12:A16"/>
    <mergeCell ref="AD12:AD15"/>
    <mergeCell ref="AE12:AE15"/>
    <mergeCell ref="B15:D15"/>
    <mergeCell ref="B16:D16"/>
    <mergeCell ref="AI6:AI10"/>
    <mergeCell ref="AJ6:AJ10"/>
    <mergeCell ref="AK6:AK10"/>
    <mergeCell ref="AL6:AL10"/>
    <mergeCell ref="AM6:AM10"/>
    <mergeCell ref="AM4:AN4"/>
    <mergeCell ref="AO4:AO5"/>
    <mergeCell ref="A6:A11"/>
    <mergeCell ref="B6:B9"/>
    <mergeCell ref="C6:C9"/>
    <mergeCell ref="AD6:AD10"/>
    <mergeCell ref="AE6:AE10"/>
    <mergeCell ref="AF6:AF10"/>
    <mergeCell ref="AG6:AG10"/>
    <mergeCell ref="AH6:AH10"/>
    <mergeCell ref="X4:Z4"/>
    <mergeCell ref="AA4:AC4"/>
    <mergeCell ref="AD4:AE4"/>
    <mergeCell ref="AG4:AH4"/>
    <mergeCell ref="AI4:AJ4"/>
    <mergeCell ref="AK4:AL4"/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18" max="55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3" sqref="K13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5.7109375" style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6.14062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6.140625" style="1" bestFit="1" customWidth="1"/>
    <col min="18" max="18" width="7.85546875" style="1" customWidth="1"/>
    <col min="19" max="19" width="8.85546875" style="1" customWidth="1"/>
    <col min="20" max="20" width="7.42578125" style="1" bestFit="1" customWidth="1"/>
    <col min="21" max="21" width="8.42578125" style="1" customWidth="1"/>
    <col min="22" max="22" width="7.85546875" style="1" customWidth="1"/>
    <col min="23" max="23" width="7.425781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45374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50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194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197" t="s">
        <v>26</v>
      </c>
      <c r="G5" s="9" t="s">
        <v>27</v>
      </c>
      <c r="H5" s="10" t="s">
        <v>28</v>
      </c>
      <c r="I5" s="194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198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194" t="s">
        <v>26</v>
      </c>
      <c r="AE5" s="9" t="s">
        <v>27</v>
      </c>
      <c r="AF5" s="197" t="s">
        <v>26</v>
      </c>
      <c r="AG5" s="197" t="s">
        <v>26</v>
      </c>
      <c r="AH5" s="9" t="s">
        <v>27</v>
      </c>
      <c r="AI5" s="197" t="s">
        <v>26</v>
      </c>
      <c r="AJ5" s="15" t="s">
        <v>27</v>
      </c>
      <c r="AK5" s="197" t="s">
        <v>26</v>
      </c>
      <c r="AL5" s="9" t="s">
        <v>27</v>
      </c>
      <c r="AM5" s="194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196">
        <v>680</v>
      </c>
      <c r="F6" s="196"/>
      <c r="G6" s="196">
        <f>680</f>
        <v>680</v>
      </c>
      <c r="H6" s="196">
        <f t="shared" ref="H6:H18" si="0">G6-E6</f>
        <v>0</v>
      </c>
      <c r="I6" s="196"/>
      <c r="J6" s="196">
        <f>428+252</f>
        <v>680</v>
      </c>
      <c r="K6" s="196">
        <f t="shared" ref="K6:K18" si="1">J6-G6</f>
        <v>0</v>
      </c>
      <c r="L6" s="196">
        <v>10</v>
      </c>
      <c r="M6" s="196">
        <f>62+144+4+9+26+75+226+36+4+6+7+45+26+10</f>
        <v>680</v>
      </c>
      <c r="N6" s="196">
        <f t="shared" ref="N6:N18" si="2">M6-J6</f>
        <v>0</v>
      </c>
      <c r="O6" s="196"/>
      <c r="P6" s="119">
        <f>546+36+4+6+7+45+26</f>
        <v>670</v>
      </c>
      <c r="Q6" s="196">
        <f t="shared" ref="Q6:Q18" si="3">P6-M6</f>
        <v>-10</v>
      </c>
      <c r="R6" s="18">
        <f>675-592</f>
        <v>83</v>
      </c>
      <c r="S6" s="18">
        <f>210+330+40+12+83</f>
        <v>675</v>
      </c>
      <c r="T6" s="18">
        <f t="shared" ref="T6:T18" si="4">S6-P6</f>
        <v>5</v>
      </c>
      <c r="U6" s="18">
        <f>642-580</f>
        <v>62</v>
      </c>
      <c r="V6" s="18">
        <f>200+340+40+62</f>
        <v>642</v>
      </c>
      <c r="W6" s="18">
        <f t="shared" ref="W6:W18" si="5">V6-S6</f>
        <v>-33</v>
      </c>
      <c r="X6" s="196">
        <f>575-225</f>
        <v>350</v>
      </c>
      <c r="Y6" s="196">
        <f>175+10+40+350</f>
        <v>575</v>
      </c>
      <c r="Z6" s="196">
        <f t="shared" ref="Z6:Z18" si="6">Y6-P6</f>
        <v>-95</v>
      </c>
      <c r="AA6" s="196">
        <v>350</v>
      </c>
      <c r="AB6" s="196">
        <f>175+10+40+350</f>
        <v>575</v>
      </c>
      <c r="AC6" s="19">
        <f t="shared" ref="AC6:AC18" si="7">AB6-Y6</f>
        <v>0</v>
      </c>
      <c r="AD6" s="267">
        <f>L19</f>
        <v>442</v>
      </c>
      <c r="AE6" s="267">
        <f>62+144+4+20+190+196+47+175+261+297+182+288+308+374+343+307+397+362+442</f>
        <v>4399</v>
      </c>
      <c r="AF6" s="282">
        <v>24.192</v>
      </c>
      <c r="AG6" s="267">
        <v>13</v>
      </c>
      <c r="AH6" s="277">
        <f>6+8+6+10+10+10+20+6+22+13+22+8+10+9+11+13+26+20+20+20+15+13+13</f>
        <v>311</v>
      </c>
      <c r="AI6" s="267">
        <v>8</v>
      </c>
      <c r="AJ6" s="277">
        <f>1+2+2+2+3+3+5+4+5+5+11+11+7+7+7+7+14+12+12+12+10+9+8</f>
        <v>159</v>
      </c>
      <c r="AK6" s="267">
        <v>1</v>
      </c>
      <c r="AL6" s="277">
        <f>1+1+1+1+1+1+1+1+1+1+1+1+2+1+1+1+1+1+1</f>
        <v>20</v>
      </c>
      <c r="AM6" s="270">
        <f>L19*AF6/480/AG6</f>
        <v>1.7135999999999998</v>
      </c>
      <c r="AN6" s="270">
        <f>M19*AF6/480/AH6</f>
        <v>0.71256848874598067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>
        <v>17</v>
      </c>
      <c r="M7" s="20">
        <f>20+117+9+13+48+110+29+97+43+5+27+50+14+17</f>
        <v>599</v>
      </c>
      <c r="N7" s="20">
        <f t="shared" si="2"/>
        <v>0</v>
      </c>
      <c r="O7" s="20"/>
      <c r="P7" s="20">
        <f>292+29+122+43+5+27+64</f>
        <v>582</v>
      </c>
      <c r="Q7" s="20">
        <f t="shared" si="3"/>
        <v>-17</v>
      </c>
      <c r="R7" s="20">
        <f>587-491</f>
        <v>96</v>
      </c>
      <c r="S7" s="20">
        <f>160+140+90+90+11+96</f>
        <v>587</v>
      </c>
      <c r="T7" s="20">
        <f t="shared" si="4"/>
        <v>5</v>
      </c>
      <c r="U7" s="20">
        <v>61</v>
      </c>
      <c r="V7" s="20">
        <f>150+240+90+61</f>
        <v>541</v>
      </c>
      <c r="W7" s="20">
        <f t="shared" si="5"/>
        <v>-46</v>
      </c>
      <c r="X7" s="20"/>
      <c r="Y7" s="20">
        <f>480</f>
        <v>480</v>
      </c>
      <c r="Z7" s="20">
        <f t="shared" si="6"/>
        <v>-102</v>
      </c>
      <c r="AA7" s="20"/>
      <c r="AB7" s="20">
        <f>480</f>
        <v>480</v>
      </c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>
        <v>28</v>
      </c>
      <c r="M8" s="20">
        <f>73+187+25+59+76+42+58+4+3+5+31+100-14+28</f>
        <v>677</v>
      </c>
      <c r="N8" s="20">
        <f t="shared" si="2"/>
        <v>0</v>
      </c>
      <c r="O8" s="20"/>
      <c r="P8" s="20">
        <f>420+42+58+4+3+5+31+86</f>
        <v>649</v>
      </c>
      <c r="Q8" s="20">
        <f t="shared" si="3"/>
        <v>-28</v>
      </c>
      <c r="R8" s="20">
        <f>666-525</f>
        <v>141</v>
      </c>
      <c r="S8" s="20">
        <f>250+150+50+50+25+141</f>
        <v>666</v>
      </c>
      <c r="T8" s="20">
        <f t="shared" si="4"/>
        <v>17</v>
      </c>
      <c r="U8" s="20">
        <v>135</v>
      </c>
      <c r="V8" s="20">
        <f>250+200+50+135</f>
        <v>635</v>
      </c>
      <c r="W8" s="20">
        <f t="shared" si="5"/>
        <v>-31</v>
      </c>
      <c r="X8" s="20">
        <f>510-435</f>
        <v>75</v>
      </c>
      <c r="Y8" s="20">
        <f>180+45+80+130+75</f>
        <v>510</v>
      </c>
      <c r="Z8" s="20">
        <f t="shared" si="6"/>
        <v>-139</v>
      </c>
      <c r="AA8" s="20">
        <v>75</v>
      </c>
      <c r="AB8" s="20">
        <f>180+45+80+130+75</f>
        <v>510</v>
      </c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>
        <v>8</v>
      </c>
      <c r="M9" s="20">
        <f>42+27+5+5+19+8</f>
        <v>106</v>
      </c>
      <c r="N9" s="20">
        <f t="shared" si="2"/>
        <v>0</v>
      </c>
      <c r="O9" s="20"/>
      <c r="P9" s="20">
        <f>42+27+5+5+19</f>
        <v>98</v>
      </c>
      <c r="Q9" s="20">
        <f t="shared" si="3"/>
        <v>-8</v>
      </c>
      <c r="R9" s="20">
        <f>103-24</f>
        <v>79</v>
      </c>
      <c r="S9" s="20">
        <f>10+14+79</f>
        <v>103</v>
      </c>
      <c r="T9" s="20">
        <f t="shared" si="4"/>
        <v>5</v>
      </c>
      <c r="U9" s="20"/>
      <c r="V9" s="20">
        <f>74</f>
        <v>74</v>
      </c>
      <c r="W9" s="20">
        <f t="shared" si="5"/>
        <v>-29</v>
      </c>
      <c r="X9" s="20"/>
      <c r="Y9" s="20"/>
      <c r="Z9" s="20">
        <f t="shared" si="6"/>
        <v>-98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303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/>
      <c r="M10" s="20">
        <f>37+134+20+12+19</f>
        <v>222</v>
      </c>
      <c r="N10" s="20">
        <f t="shared" si="2"/>
        <v>-1</v>
      </c>
      <c r="O10" s="20"/>
      <c r="P10" s="20">
        <f>37+134+20+12+19</f>
        <v>222</v>
      </c>
      <c r="Q10" s="20">
        <f t="shared" si="3"/>
        <v>0</v>
      </c>
      <c r="R10" s="20">
        <v>32</v>
      </c>
      <c r="S10" s="20">
        <f>170+20+32</f>
        <v>222</v>
      </c>
      <c r="T10" s="20">
        <f t="shared" si="4"/>
        <v>0</v>
      </c>
      <c r="U10" s="20">
        <v>62</v>
      </c>
      <c r="V10" s="20">
        <f>160+62</f>
        <v>222</v>
      </c>
      <c r="W10" s="20">
        <f t="shared" si="5"/>
        <v>0</v>
      </c>
      <c r="X10" s="20"/>
      <c r="Y10" s="20">
        <f>180</f>
        <v>180</v>
      </c>
      <c r="Z10" s="20">
        <f t="shared" si="6"/>
        <v>-42</v>
      </c>
      <c r="AA10" s="20"/>
      <c r="AB10" s="20">
        <f>180</f>
        <v>180</v>
      </c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>
        <f>172+55</f>
        <v>227</v>
      </c>
      <c r="N11" s="20">
        <f t="shared" si="2"/>
        <v>0</v>
      </c>
      <c r="O11" s="20"/>
      <c r="P11" s="20">
        <f>172+55</f>
        <v>227</v>
      </c>
      <c r="Q11" s="20">
        <f t="shared" si="3"/>
        <v>0</v>
      </c>
      <c r="R11" s="20">
        <v>7</v>
      </c>
      <c r="S11" s="20">
        <f>160+60+7</f>
        <v>227</v>
      </c>
      <c r="T11" s="20">
        <f t="shared" si="4"/>
        <v>0</v>
      </c>
      <c r="U11" s="20">
        <v>7</v>
      </c>
      <c r="V11" s="20">
        <f>10+210+7</f>
        <v>227</v>
      </c>
      <c r="W11" s="20">
        <f t="shared" si="5"/>
        <v>0</v>
      </c>
      <c r="X11" s="20"/>
      <c r="Y11" s="20">
        <f>200</f>
        <v>200</v>
      </c>
      <c r="Z11" s="20">
        <f t="shared" si="6"/>
        <v>-27</v>
      </c>
      <c r="AA11" s="20"/>
      <c r="AB11" s="20">
        <f>200</f>
        <v>200</v>
      </c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>
        <v>2</v>
      </c>
      <c r="M12" s="20">
        <f>156+20+12+52+2</f>
        <v>242</v>
      </c>
      <c r="N12" s="20">
        <f t="shared" si="2"/>
        <v>0</v>
      </c>
      <c r="O12" s="20"/>
      <c r="P12" s="20">
        <f>156+20+12+52</f>
        <v>240</v>
      </c>
      <c r="Q12" s="20">
        <f t="shared" si="3"/>
        <v>-2</v>
      </c>
      <c r="R12" s="20">
        <v>59</v>
      </c>
      <c r="S12" s="20">
        <f>10+171+59</f>
        <v>240</v>
      </c>
      <c r="T12" s="20">
        <f t="shared" si="4"/>
        <v>0</v>
      </c>
      <c r="U12" s="20">
        <v>70</v>
      </c>
      <c r="V12" s="20">
        <f>170+70</f>
        <v>240</v>
      </c>
      <c r="W12" s="20">
        <f t="shared" si="5"/>
        <v>0</v>
      </c>
      <c r="X12" s="20"/>
      <c r="Y12" s="20">
        <f>180</f>
        <v>180</v>
      </c>
      <c r="Z12" s="20">
        <f t="shared" si="6"/>
        <v>-60</v>
      </c>
      <c r="AA12" s="20"/>
      <c r="AB12" s="20">
        <f>180</f>
        <v>180</v>
      </c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x14ac:dyDescent="0.25">
      <c r="A13" s="283"/>
      <c r="B13" s="298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>
        <v>21</v>
      </c>
      <c r="M13" s="20">
        <f>10+108+4+4+24+21</f>
        <v>171</v>
      </c>
      <c r="N13" s="20">
        <f t="shared" si="2"/>
        <v>0</v>
      </c>
      <c r="O13" s="20"/>
      <c r="P13" s="20">
        <f>10+108+4+4+24</f>
        <v>150</v>
      </c>
      <c r="Q13" s="20">
        <f t="shared" si="3"/>
        <v>-21</v>
      </c>
      <c r="R13" s="20">
        <v>154</v>
      </c>
      <c r="S13" s="20">
        <f>10+154</f>
        <v>164</v>
      </c>
      <c r="T13" s="20">
        <f t="shared" si="4"/>
        <v>14</v>
      </c>
      <c r="U13" s="20">
        <v>140</v>
      </c>
      <c r="V13" s="20">
        <f>10+140</f>
        <v>150</v>
      </c>
      <c r="W13" s="20">
        <f t="shared" si="5"/>
        <v>-14</v>
      </c>
      <c r="X13" s="20"/>
      <c r="Y13" s="20">
        <f>20</f>
        <v>20</v>
      </c>
      <c r="Z13" s="20">
        <f t="shared" si="6"/>
        <v>-130</v>
      </c>
      <c r="AA13" s="20"/>
      <c r="AB13" s="20">
        <f>20</f>
        <v>20</v>
      </c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x14ac:dyDescent="0.25">
      <c r="A14" s="283"/>
      <c r="B14" s="279" t="s">
        <v>57</v>
      </c>
      <c r="C14" s="281"/>
      <c r="D14" s="20" t="s">
        <v>58</v>
      </c>
      <c r="E14" s="20">
        <v>350</v>
      </c>
      <c r="F14" s="20"/>
      <c r="G14" s="20">
        <f>328</f>
        <v>328</v>
      </c>
      <c r="H14" s="20">
        <f t="shared" si="0"/>
        <v>-22</v>
      </c>
      <c r="I14" s="20"/>
      <c r="J14" s="20">
        <f>328</f>
        <v>328</v>
      </c>
      <c r="K14" s="20">
        <f t="shared" si="1"/>
        <v>0</v>
      </c>
      <c r="L14" s="20">
        <v>41</v>
      </c>
      <c r="M14" s="20">
        <f>151+134+2+41</f>
        <v>328</v>
      </c>
      <c r="N14" s="20">
        <f t="shared" si="2"/>
        <v>0</v>
      </c>
      <c r="O14" s="20"/>
      <c r="P14" s="20">
        <f>151+134+2</f>
        <v>287</v>
      </c>
      <c r="Q14" s="20">
        <f t="shared" si="3"/>
        <v>-41</v>
      </c>
      <c r="R14" s="18"/>
      <c r="S14" s="18">
        <f>280</f>
        <v>280</v>
      </c>
      <c r="T14" s="18">
        <f t="shared" si="4"/>
        <v>-7</v>
      </c>
      <c r="U14" s="18"/>
      <c r="V14" s="18">
        <f>280</f>
        <v>280</v>
      </c>
      <c r="W14" s="18">
        <f t="shared" si="5"/>
        <v>0</v>
      </c>
      <c r="X14" s="20"/>
      <c r="Y14" s="20"/>
      <c r="Z14" s="20">
        <f t="shared" si="6"/>
        <v>-287</v>
      </c>
      <c r="AA14" s="20"/>
      <c r="AB14" s="20"/>
      <c r="AC14" s="21">
        <f t="shared" si="7"/>
        <v>0</v>
      </c>
      <c r="AD14" s="263"/>
      <c r="AE14" s="263"/>
      <c r="AF14" s="268"/>
      <c r="AG14" s="263"/>
      <c r="AH14" s="261"/>
      <c r="AI14" s="263"/>
      <c r="AJ14" s="261"/>
      <c r="AK14" s="263"/>
      <c r="AL14" s="261"/>
      <c r="AM14" s="249"/>
      <c r="AN14" s="249"/>
      <c r="AO14" s="251"/>
    </row>
    <row r="15" spans="1:41" x14ac:dyDescent="0.25">
      <c r="A15" s="283"/>
      <c r="B15" s="279"/>
      <c r="C15" s="281"/>
      <c r="D15" s="20" t="s">
        <v>33</v>
      </c>
      <c r="E15" s="20">
        <v>375</v>
      </c>
      <c r="F15" s="20"/>
      <c r="G15" s="20">
        <f>350</f>
        <v>350</v>
      </c>
      <c r="H15" s="20">
        <f t="shared" si="0"/>
        <v>-25</v>
      </c>
      <c r="I15" s="20"/>
      <c r="J15" s="20">
        <f>350</f>
        <v>350</v>
      </c>
      <c r="K15" s="20">
        <f t="shared" si="1"/>
        <v>0</v>
      </c>
      <c r="L15" s="20">
        <v>29</v>
      </c>
      <c r="M15" s="20">
        <f>152+120+21+28+29</f>
        <v>350</v>
      </c>
      <c r="N15" s="20">
        <f t="shared" si="2"/>
        <v>0</v>
      </c>
      <c r="O15" s="20"/>
      <c r="P15" s="20">
        <f>152+120+21+28</f>
        <v>321</v>
      </c>
      <c r="Q15" s="20">
        <f t="shared" si="3"/>
        <v>-29</v>
      </c>
      <c r="R15" s="20">
        <v>56</v>
      </c>
      <c r="S15" s="20">
        <f>338</f>
        <v>338</v>
      </c>
      <c r="T15" s="20">
        <f t="shared" si="4"/>
        <v>17</v>
      </c>
      <c r="U15" s="20">
        <v>56</v>
      </c>
      <c r="V15" s="20">
        <f>338</f>
        <v>338</v>
      </c>
      <c r="W15" s="20">
        <f t="shared" si="5"/>
        <v>0</v>
      </c>
      <c r="X15" s="20"/>
      <c r="Y15" s="20"/>
      <c r="Z15" s="20">
        <f t="shared" si="6"/>
        <v>-321</v>
      </c>
      <c r="AA15" s="20"/>
      <c r="AB15" s="20"/>
      <c r="AC15" s="21">
        <f t="shared" si="7"/>
        <v>0</v>
      </c>
      <c r="AD15" s="263"/>
      <c r="AE15" s="263"/>
      <c r="AF15" s="268"/>
      <c r="AG15" s="263"/>
      <c r="AH15" s="261"/>
      <c r="AI15" s="263"/>
      <c r="AJ15" s="261"/>
      <c r="AK15" s="263"/>
      <c r="AL15" s="261"/>
      <c r="AM15" s="249"/>
      <c r="AN15" s="249"/>
      <c r="AO15" s="251"/>
    </row>
    <row r="16" spans="1:41" x14ac:dyDescent="0.25">
      <c r="A16" s="283"/>
      <c r="B16" s="279"/>
      <c r="C16" s="281"/>
      <c r="D16" s="20" t="s">
        <v>59</v>
      </c>
      <c r="E16" s="20">
        <v>375</v>
      </c>
      <c r="F16" s="20"/>
      <c r="G16" s="20">
        <f>213</f>
        <v>213</v>
      </c>
      <c r="H16" s="20">
        <f t="shared" si="0"/>
        <v>-162</v>
      </c>
      <c r="I16" s="20"/>
      <c r="J16" s="20">
        <f>213</f>
        <v>213</v>
      </c>
      <c r="K16" s="20">
        <f t="shared" si="1"/>
        <v>0</v>
      </c>
      <c r="L16" s="20">
        <v>13</v>
      </c>
      <c r="M16" s="20">
        <f>200+13</f>
        <v>213</v>
      </c>
      <c r="N16" s="20">
        <f t="shared" si="2"/>
        <v>0</v>
      </c>
      <c r="O16" s="20"/>
      <c r="P16" s="20">
        <f>200</f>
        <v>200</v>
      </c>
      <c r="Q16" s="20">
        <f t="shared" si="3"/>
        <v>-13</v>
      </c>
      <c r="R16" s="20">
        <v>10</v>
      </c>
      <c r="S16" s="20">
        <f>10</f>
        <v>10</v>
      </c>
      <c r="T16" s="20">
        <f t="shared" si="4"/>
        <v>-190</v>
      </c>
      <c r="U16" s="20"/>
      <c r="V16" s="20"/>
      <c r="W16" s="20">
        <f t="shared" si="5"/>
        <v>-10</v>
      </c>
      <c r="X16" s="20"/>
      <c r="Y16" s="20"/>
      <c r="Z16" s="20">
        <f t="shared" si="6"/>
        <v>-200</v>
      </c>
      <c r="AA16" s="20"/>
      <c r="AB16" s="20"/>
      <c r="AC16" s="21">
        <f t="shared" si="7"/>
        <v>0</v>
      </c>
      <c r="AD16" s="263"/>
      <c r="AE16" s="263"/>
      <c r="AF16" s="268"/>
      <c r="AG16" s="263"/>
      <c r="AH16" s="261"/>
      <c r="AI16" s="263"/>
      <c r="AJ16" s="261"/>
      <c r="AK16" s="263"/>
      <c r="AL16" s="261"/>
      <c r="AM16" s="249"/>
      <c r="AN16" s="249"/>
      <c r="AO16" s="251"/>
    </row>
    <row r="17" spans="1:41" x14ac:dyDescent="0.25">
      <c r="A17" s="283"/>
      <c r="B17" s="279"/>
      <c r="C17" s="281"/>
      <c r="D17" s="20" t="s">
        <v>60</v>
      </c>
      <c r="E17" s="20">
        <v>350</v>
      </c>
      <c r="F17" s="20"/>
      <c r="G17" s="20">
        <f>237</f>
        <v>237</v>
      </c>
      <c r="H17" s="20">
        <f t="shared" si="0"/>
        <v>-113</v>
      </c>
      <c r="I17" s="20"/>
      <c r="J17" s="20">
        <f>237</f>
        <v>237</v>
      </c>
      <c r="K17" s="20">
        <f t="shared" si="1"/>
        <v>0</v>
      </c>
      <c r="L17" s="20"/>
      <c r="M17" s="20">
        <f>47+190</f>
        <v>237</v>
      </c>
      <c r="N17" s="20">
        <f t="shared" si="2"/>
        <v>0</v>
      </c>
      <c r="O17" s="20"/>
      <c r="P17" s="20">
        <f>239</f>
        <v>239</v>
      </c>
      <c r="Q17" s="20">
        <f t="shared" si="3"/>
        <v>2</v>
      </c>
      <c r="R17" s="20">
        <v>210</v>
      </c>
      <c r="S17" s="20">
        <f>220</f>
        <v>220</v>
      </c>
      <c r="T17" s="20">
        <f t="shared" si="4"/>
        <v>-19</v>
      </c>
      <c r="U17" s="20">
        <v>10</v>
      </c>
      <c r="V17" s="20">
        <f>10</f>
        <v>10</v>
      </c>
      <c r="W17" s="20">
        <f t="shared" si="5"/>
        <v>-210</v>
      </c>
      <c r="X17" s="20"/>
      <c r="Y17" s="20"/>
      <c r="Z17" s="20">
        <f t="shared" si="6"/>
        <v>-239</v>
      </c>
      <c r="AA17" s="20"/>
      <c r="AB17" s="20"/>
      <c r="AC17" s="21">
        <f t="shared" si="7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" thickBot="1" x14ac:dyDescent="0.3">
      <c r="A18" s="283"/>
      <c r="B18" s="299"/>
      <c r="C18" s="281"/>
      <c r="D18" s="20" t="s">
        <v>61</v>
      </c>
      <c r="E18" s="20">
        <v>350</v>
      </c>
      <c r="F18" s="20"/>
      <c r="G18" s="20">
        <f>345</f>
        <v>345</v>
      </c>
      <c r="H18" s="20">
        <f t="shared" si="0"/>
        <v>-5</v>
      </c>
      <c r="I18" s="20"/>
      <c r="J18" s="20">
        <f>345</f>
        <v>345</v>
      </c>
      <c r="K18" s="20">
        <f t="shared" si="1"/>
        <v>0</v>
      </c>
      <c r="L18" s="20">
        <v>273</v>
      </c>
      <c r="M18" s="20">
        <f>72+273</f>
        <v>345</v>
      </c>
      <c r="N18" s="20">
        <f t="shared" si="2"/>
        <v>0</v>
      </c>
      <c r="O18" s="20"/>
      <c r="P18" s="20">
        <f>72</f>
        <v>72</v>
      </c>
      <c r="Q18" s="20">
        <f t="shared" si="3"/>
        <v>-273</v>
      </c>
      <c r="R18" s="25">
        <v>80</v>
      </c>
      <c r="S18" s="25">
        <f>340</f>
        <v>340</v>
      </c>
      <c r="T18" s="25">
        <f t="shared" si="4"/>
        <v>268</v>
      </c>
      <c r="U18" s="25"/>
      <c r="V18" s="25">
        <f>10</f>
        <v>10</v>
      </c>
      <c r="W18" s="25">
        <f t="shared" si="5"/>
        <v>-330</v>
      </c>
      <c r="X18" s="20"/>
      <c r="Y18" s="20"/>
      <c r="Z18" s="20">
        <f t="shared" si="6"/>
        <v>-72</v>
      </c>
      <c r="AA18" s="20"/>
      <c r="AB18" s="20"/>
      <c r="AC18" s="21">
        <f t="shared" si="7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83"/>
      <c r="B19" s="272" t="s">
        <v>34</v>
      </c>
      <c r="C19" s="273"/>
      <c r="D19" s="274"/>
      <c r="E19" s="23">
        <f>+SUM(E6:E18)</f>
        <v>4962</v>
      </c>
      <c r="F19" s="23">
        <f>+SUM(F6:F18)</f>
        <v>0</v>
      </c>
      <c r="G19" s="23">
        <f>SUM(G6:G18)</f>
        <v>4398</v>
      </c>
      <c r="H19" s="23">
        <f t="shared" ref="H19:AC19" si="8">+SUM(H6:H18)</f>
        <v>-564</v>
      </c>
      <c r="I19" s="23">
        <f t="shared" si="8"/>
        <v>0</v>
      </c>
      <c r="J19" s="23">
        <f t="shared" si="8"/>
        <v>4398</v>
      </c>
      <c r="K19" s="23">
        <f t="shared" si="8"/>
        <v>0</v>
      </c>
      <c r="L19" s="23">
        <f t="shared" si="8"/>
        <v>442</v>
      </c>
      <c r="M19" s="23">
        <f t="shared" si="8"/>
        <v>4397</v>
      </c>
      <c r="N19" s="23">
        <f t="shared" si="8"/>
        <v>-1</v>
      </c>
      <c r="O19" s="23">
        <f t="shared" si="8"/>
        <v>0</v>
      </c>
      <c r="P19" s="23">
        <f t="shared" si="8"/>
        <v>3957</v>
      </c>
      <c r="Q19" s="23">
        <f t="shared" si="8"/>
        <v>-440</v>
      </c>
      <c r="R19" s="24">
        <f t="shared" si="8"/>
        <v>1007</v>
      </c>
      <c r="S19" s="24">
        <f t="shared" si="8"/>
        <v>4072</v>
      </c>
      <c r="T19" s="24">
        <f t="shared" si="8"/>
        <v>115</v>
      </c>
      <c r="U19" s="24">
        <f t="shared" si="8"/>
        <v>603</v>
      </c>
      <c r="V19" s="24">
        <f t="shared" si="8"/>
        <v>3369</v>
      </c>
      <c r="W19" s="24">
        <f t="shared" si="8"/>
        <v>-703</v>
      </c>
      <c r="X19" s="23">
        <f t="shared" si="8"/>
        <v>425</v>
      </c>
      <c r="Y19" s="23">
        <f t="shared" si="8"/>
        <v>2145</v>
      </c>
      <c r="Z19" s="23">
        <f t="shared" si="8"/>
        <v>-1812</v>
      </c>
      <c r="AA19" s="23">
        <f t="shared" si="8"/>
        <v>425</v>
      </c>
      <c r="AB19" s="23">
        <f t="shared" si="8"/>
        <v>2145</v>
      </c>
      <c r="AC19" s="15">
        <f t="shared" si="8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.75" customHeight="1" x14ac:dyDescent="0.25">
      <c r="A20" s="283"/>
      <c r="B20" s="297" t="s">
        <v>62</v>
      </c>
      <c r="C20" s="280" t="s">
        <v>63</v>
      </c>
      <c r="D20" s="16" t="s">
        <v>33</v>
      </c>
      <c r="E20" s="196">
        <v>155</v>
      </c>
      <c r="F20" s="196"/>
      <c r="G20" s="196">
        <f>130+8</f>
        <v>138</v>
      </c>
      <c r="H20" s="196">
        <f t="shared" ref="H20:H26" si="9">G20-E20</f>
        <v>-17</v>
      </c>
      <c r="I20" s="196"/>
      <c r="J20" s="196">
        <f>100+30+8</f>
        <v>138</v>
      </c>
      <c r="K20" s="196">
        <f t="shared" ref="K20:K26" si="10">J20-G20</f>
        <v>0</v>
      </c>
      <c r="L20" s="196"/>
      <c r="M20" s="196"/>
      <c r="N20" s="196">
        <f t="shared" ref="N20:N26" si="11">M20-J20</f>
        <v>-138</v>
      </c>
      <c r="O20" s="196"/>
      <c r="P20" s="119"/>
      <c r="Q20" s="196">
        <f t="shared" ref="Q20:Q26" si="12">P20-M20</f>
        <v>0</v>
      </c>
      <c r="R20" s="18"/>
      <c r="S20" s="18"/>
      <c r="T20" s="18">
        <f t="shared" ref="T20:T26" si="13">S20-P20</f>
        <v>0</v>
      </c>
      <c r="U20" s="18"/>
      <c r="V20" s="18"/>
      <c r="W20" s="18">
        <f t="shared" ref="W20:W26" si="14">V20-S20</f>
        <v>0</v>
      </c>
      <c r="X20" s="196"/>
      <c r="Y20" s="196"/>
      <c r="Z20" s="196">
        <f t="shared" ref="Z20:Z26" si="15">Y20-P20</f>
        <v>0</v>
      </c>
      <c r="AA20" s="196"/>
      <c r="AB20" s="196"/>
      <c r="AC20" s="19">
        <f t="shared" ref="AC20:AC26" si="16">AB20-Y20</f>
        <v>0</v>
      </c>
      <c r="AD20" s="267">
        <f>L27</f>
        <v>0</v>
      </c>
      <c r="AE20" s="267"/>
      <c r="AF20" s="282">
        <v>38.121000000000002</v>
      </c>
      <c r="AG20" s="267">
        <v>10</v>
      </c>
      <c r="AH20" s="277">
        <f>5+5+5+10+10+10</f>
        <v>45</v>
      </c>
      <c r="AI20" s="267">
        <v>6</v>
      </c>
      <c r="AJ20" s="277">
        <f>2+2+2+4+6</f>
        <v>16</v>
      </c>
      <c r="AK20" s="267">
        <v>1</v>
      </c>
      <c r="AL20" s="277">
        <f>1+1+1+1+1+1</f>
        <v>6</v>
      </c>
      <c r="AM20" s="270">
        <f>L27*AF20/480/AG20</f>
        <v>0</v>
      </c>
      <c r="AN20" s="270">
        <f>M27*AF20/480/AH20</f>
        <v>0</v>
      </c>
      <c r="AO20" s="271"/>
    </row>
    <row r="21" spans="1:41" x14ac:dyDescent="0.25">
      <c r="A21" s="283"/>
      <c r="B21" s="279"/>
      <c r="C21" s="281"/>
      <c r="D21" s="20" t="s">
        <v>64</v>
      </c>
      <c r="E21" s="20">
        <v>155</v>
      </c>
      <c r="F21" s="20"/>
      <c r="G21" s="20">
        <f>124+17</f>
        <v>141</v>
      </c>
      <c r="H21" s="20">
        <f t="shared" si="9"/>
        <v>-14</v>
      </c>
      <c r="I21" s="20"/>
      <c r="J21" s="20">
        <f>141</f>
        <v>141</v>
      </c>
      <c r="K21" s="20">
        <f t="shared" si="10"/>
        <v>0</v>
      </c>
      <c r="L21" s="20"/>
      <c r="M21" s="20"/>
      <c r="N21" s="20">
        <f t="shared" si="11"/>
        <v>-141</v>
      </c>
      <c r="O21" s="20"/>
      <c r="P21" s="20"/>
      <c r="Q21" s="20">
        <f t="shared" si="12"/>
        <v>0</v>
      </c>
      <c r="R21" s="20"/>
      <c r="S21" s="20"/>
      <c r="T21" s="20">
        <f t="shared" si="13"/>
        <v>0</v>
      </c>
      <c r="U21" s="20"/>
      <c r="V21" s="20"/>
      <c r="W21" s="20">
        <f t="shared" si="14"/>
        <v>0</v>
      </c>
      <c r="X21" s="20"/>
      <c r="Y21" s="20"/>
      <c r="Z21" s="20">
        <f t="shared" si="15"/>
        <v>0</v>
      </c>
      <c r="AA21" s="20"/>
      <c r="AB21" s="20"/>
      <c r="AC21" s="21">
        <f t="shared" si="16"/>
        <v>0</v>
      </c>
      <c r="AD21" s="263"/>
      <c r="AE21" s="263"/>
      <c r="AF21" s="268"/>
      <c r="AG21" s="263"/>
      <c r="AH21" s="261"/>
      <c r="AI21" s="263"/>
      <c r="AJ21" s="261"/>
      <c r="AK21" s="263"/>
      <c r="AL21" s="261"/>
      <c r="AM21" s="249"/>
      <c r="AN21" s="249"/>
      <c r="AO21" s="251"/>
    </row>
    <row r="22" spans="1:41" x14ac:dyDescent="0.25">
      <c r="A22" s="283"/>
      <c r="B22" s="279"/>
      <c r="C22" s="281"/>
      <c r="D22" s="20" t="s">
        <v>65</v>
      </c>
      <c r="E22" s="20">
        <v>155</v>
      </c>
      <c r="F22" s="20"/>
      <c r="G22" s="20">
        <f>116+9</f>
        <v>125</v>
      </c>
      <c r="H22" s="20">
        <f t="shared" si="9"/>
        <v>-30</v>
      </c>
      <c r="I22" s="20"/>
      <c r="J22" s="20">
        <f>116+9</f>
        <v>125</v>
      </c>
      <c r="K22" s="20">
        <f t="shared" si="10"/>
        <v>0</v>
      </c>
      <c r="L22" s="20"/>
      <c r="M22" s="20"/>
      <c r="N22" s="20">
        <f t="shared" si="11"/>
        <v>-125</v>
      </c>
      <c r="O22" s="20"/>
      <c r="P22" s="20"/>
      <c r="Q22" s="20">
        <f t="shared" si="12"/>
        <v>0</v>
      </c>
      <c r="R22" s="20"/>
      <c r="S22" s="20"/>
      <c r="T22" s="20">
        <f t="shared" si="13"/>
        <v>0</v>
      </c>
      <c r="U22" s="20"/>
      <c r="V22" s="20"/>
      <c r="W22" s="20">
        <f t="shared" si="14"/>
        <v>0</v>
      </c>
      <c r="X22" s="20"/>
      <c r="Y22" s="20"/>
      <c r="Z22" s="20">
        <f t="shared" si="15"/>
        <v>0</v>
      </c>
      <c r="AA22" s="20"/>
      <c r="AB22" s="20"/>
      <c r="AC22" s="21">
        <f t="shared" si="16"/>
        <v>0</v>
      </c>
      <c r="AD22" s="263"/>
      <c r="AE22" s="263"/>
      <c r="AF22" s="268"/>
      <c r="AG22" s="263"/>
      <c r="AH22" s="261"/>
      <c r="AI22" s="263"/>
      <c r="AJ22" s="261"/>
      <c r="AK22" s="263"/>
      <c r="AL22" s="261"/>
      <c r="AM22" s="249"/>
      <c r="AN22" s="249"/>
      <c r="AO22" s="251"/>
    </row>
    <row r="23" spans="1:41" x14ac:dyDescent="0.25">
      <c r="A23" s="283"/>
      <c r="B23" s="279"/>
      <c r="C23" s="281"/>
      <c r="D23" s="20" t="s">
        <v>66</v>
      </c>
      <c r="E23" s="20">
        <v>137</v>
      </c>
      <c r="F23" s="20"/>
      <c r="G23" s="20">
        <f>124+15</f>
        <v>139</v>
      </c>
      <c r="H23" s="20">
        <f t="shared" si="9"/>
        <v>2</v>
      </c>
      <c r="I23" s="20"/>
      <c r="J23" s="20">
        <f>124+15</f>
        <v>139</v>
      </c>
      <c r="K23" s="20">
        <f t="shared" si="10"/>
        <v>0</v>
      </c>
      <c r="L23" s="20"/>
      <c r="M23" s="20"/>
      <c r="N23" s="20">
        <f t="shared" si="11"/>
        <v>-139</v>
      </c>
      <c r="O23" s="20"/>
      <c r="P23" s="20"/>
      <c r="Q23" s="20">
        <f t="shared" si="12"/>
        <v>0</v>
      </c>
      <c r="R23" s="20"/>
      <c r="S23" s="20"/>
      <c r="T23" s="20">
        <f t="shared" si="13"/>
        <v>0</v>
      </c>
      <c r="U23" s="20"/>
      <c r="V23" s="20"/>
      <c r="W23" s="20">
        <f t="shared" si="14"/>
        <v>0</v>
      </c>
      <c r="X23" s="20"/>
      <c r="Y23" s="20"/>
      <c r="Z23" s="20">
        <f t="shared" si="15"/>
        <v>0</v>
      </c>
      <c r="AA23" s="20"/>
      <c r="AB23" s="20"/>
      <c r="AC23" s="21">
        <f t="shared" si="16"/>
        <v>0</v>
      </c>
      <c r="AD23" s="263"/>
      <c r="AE23" s="263"/>
      <c r="AF23" s="268"/>
      <c r="AG23" s="263"/>
      <c r="AH23" s="261"/>
      <c r="AI23" s="263"/>
      <c r="AJ23" s="261"/>
      <c r="AK23" s="263"/>
      <c r="AL23" s="261"/>
      <c r="AM23" s="249"/>
      <c r="AN23" s="249"/>
      <c r="AO23" s="251"/>
    </row>
    <row r="24" spans="1:41" x14ac:dyDescent="0.25">
      <c r="A24" s="283"/>
      <c r="B24" s="279"/>
      <c r="C24" s="281"/>
      <c r="D24" s="20" t="s">
        <v>67</v>
      </c>
      <c r="E24" s="20">
        <v>155</v>
      </c>
      <c r="F24" s="20"/>
      <c r="G24" s="20">
        <f>146+9</f>
        <v>155</v>
      </c>
      <c r="H24" s="20">
        <f t="shared" si="9"/>
        <v>0</v>
      </c>
      <c r="I24" s="20"/>
      <c r="J24" s="20">
        <f>155</f>
        <v>155</v>
      </c>
      <c r="K24" s="20">
        <f t="shared" si="10"/>
        <v>0</v>
      </c>
      <c r="L24" s="20"/>
      <c r="M24" s="20"/>
      <c r="N24" s="20">
        <f t="shared" si="11"/>
        <v>-155</v>
      </c>
      <c r="O24" s="20"/>
      <c r="P24" s="20"/>
      <c r="Q24" s="20">
        <f t="shared" si="12"/>
        <v>0</v>
      </c>
      <c r="R24" s="20"/>
      <c r="S24" s="20"/>
      <c r="T24" s="20">
        <f t="shared" si="13"/>
        <v>0</v>
      </c>
      <c r="U24" s="20"/>
      <c r="V24" s="20"/>
      <c r="W24" s="20">
        <f t="shared" si="14"/>
        <v>0</v>
      </c>
      <c r="X24" s="20"/>
      <c r="Y24" s="20"/>
      <c r="Z24" s="20">
        <f t="shared" si="15"/>
        <v>0</v>
      </c>
      <c r="AA24" s="20"/>
      <c r="AB24" s="20"/>
      <c r="AC24" s="21">
        <f t="shared" si="16"/>
        <v>0</v>
      </c>
      <c r="AD24" s="263"/>
      <c r="AE24" s="263"/>
      <c r="AF24" s="268"/>
      <c r="AG24" s="263"/>
      <c r="AH24" s="261"/>
      <c r="AI24" s="263"/>
      <c r="AJ24" s="261"/>
      <c r="AK24" s="263"/>
      <c r="AL24" s="261"/>
      <c r="AM24" s="249"/>
      <c r="AN24" s="249"/>
      <c r="AO24" s="251"/>
    </row>
    <row r="25" spans="1:41" x14ac:dyDescent="0.25">
      <c r="A25" s="283"/>
      <c r="B25" s="279"/>
      <c r="C25" s="281"/>
      <c r="D25" s="20" t="s">
        <v>68</v>
      </c>
      <c r="E25" s="20">
        <v>155</v>
      </c>
      <c r="F25" s="20"/>
      <c r="G25" s="20">
        <f>142</f>
        <v>142</v>
      </c>
      <c r="H25" s="20">
        <f t="shared" si="9"/>
        <v>-13</v>
      </c>
      <c r="I25" s="20"/>
      <c r="J25" s="20">
        <f>142</f>
        <v>142</v>
      </c>
      <c r="K25" s="20">
        <f t="shared" si="10"/>
        <v>0</v>
      </c>
      <c r="L25" s="20"/>
      <c r="M25" s="20"/>
      <c r="N25" s="20">
        <f t="shared" si="11"/>
        <v>-142</v>
      </c>
      <c r="O25" s="20"/>
      <c r="P25" s="20"/>
      <c r="Q25" s="20">
        <f t="shared" si="12"/>
        <v>0</v>
      </c>
      <c r="R25" s="20"/>
      <c r="S25" s="20"/>
      <c r="T25" s="20">
        <f t="shared" si="13"/>
        <v>0</v>
      </c>
      <c r="U25" s="20"/>
      <c r="V25" s="20"/>
      <c r="W25" s="20">
        <f t="shared" si="14"/>
        <v>0</v>
      </c>
      <c r="X25" s="20"/>
      <c r="Y25" s="20"/>
      <c r="Z25" s="20">
        <f t="shared" si="15"/>
        <v>0</v>
      </c>
      <c r="AA25" s="20"/>
      <c r="AB25" s="20"/>
      <c r="AC25" s="21">
        <f t="shared" si="16"/>
        <v>0</v>
      </c>
      <c r="AD25" s="263"/>
      <c r="AE25" s="263"/>
      <c r="AF25" s="268"/>
      <c r="AG25" s="263"/>
      <c r="AH25" s="261"/>
      <c r="AI25" s="263"/>
      <c r="AJ25" s="261"/>
      <c r="AK25" s="263"/>
      <c r="AL25" s="261"/>
      <c r="AM25" s="249"/>
      <c r="AN25" s="249"/>
      <c r="AO25" s="251"/>
    </row>
    <row r="26" spans="1:41" ht="18" thickBot="1" x14ac:dyDescent="0.3">
      <c r="A26" s="283"/>
      <c r="B26" s="298"/>
      <c r="C26" s="281"/>
      <c r="D26" s="20" t="s">
        <v>60</v>
      </c>
      <c r="E26" s="20">
        <v>125</v>
      </c>
      <c r="F26" s="20"/>
      <c r="G26" s="20">
        <f>116+9</f>
        <v>125</v>
      </c>
      <c r="H26" s="20">
        <f t="shared" si="9"/>
        <v>0</v>
      </c>
      <c r="I26" s="20"/>
      <c r="J26" s="20">
        <f>125</f>
        <v>125</v>
      </c>
      <c r="K26" s="20">
        <f t="shared" si="10"/>
        <v>0</v>
      </c>
      <c r="L26" s="20"/>
      <c r="M26" s="20"/>
      <c r="N26" s="20">
        <f t="shared" si="11"/>
        <v>-125</v>
      </c>
      <c r="O26" s="20"/>
      <c r="P26" s="20"/>
      <c r="Q26" s="20">
        <f t="shared" si="12"/>
        <v>0</v>
      </c>
      <c r="R26" s="22"/>
      <c r="S26" s="22"/>
      <c r="T26" s="22">
        <f t="shared" si="13"/>
        <v>0</v>
      </c>
      <c r="U26" s="22"/>
      <c r="V26" s="22"/>
      <c r="W26" s="22">
        <f t="shared" si="14"/>
        <v>0</v>
      </c>
      <c r="X26" s="20"/>
      <c r="Y26" s="20"/>
      <c r="Z26" s="20">
        <f t="shared" si="15"/>
        <v>0</v>
      </c>
      <c r="AA26" s="20"/>
      <c r="AB26" s="20"/>
      <c r="AC26" s="21">
        <f t="shared" si="16"/>
        <v>0</v>
      </c>
      <c r="AD26" s="263"/>
      <c r="AE26" s="263"/>
      <c r="AF26" s="268"/>
      <c r="AG26" s="263"/>
      <c r="AH26" s="261"/>
      <c r="AI26" s="263"/>
      <c r="AJ26" s="261"/>
      <c r="AK26" s="263"/>
      <c r="AL26" s="261"/>
      <c r="AM26" s="249"/>
      <c r="AN26" s="249"/>
      <c r="AO26" s="251"/>
    </row>
    <row r="27" spans="1:41" ht="18" thickBot="1" x14ac:dyDescent="0.3">
      <c r="A27" s="283"/>
      <c r="B27" s="272" t="s">
        <v>34</v>
      </c>
      <c r="C27" s="273"/>
      <c r="D27" s="274"/>
      <c r="E27" s="23">
        <f>+SUM(E20:E26)</f>
        <v>1037</v>
      </c>
      <c r="F27" s="23">
        <f>+SUM(F20:F26)</f>
        <v>0</v>
      </c>
      <c r="G27" s="23">
        <f>SUM(G20:G26)</f>
        <v>965</v>
      </c>
      <c r="H27" s="23">
        <f t="shared" ref="H27:AC27" si="17">+SUM(H20:H26)</f>
        <v>-72</v>
      </c>
      <c r="I27" s="23">
        <f t="shared" si="17"/>
        <v>0</v>
      </c>
      <c r="J27" s="23">
        <f t="shared" si="17"/>
        <v>965</v>
      </c>
      <c r="K27" s="23">
        <f t="shared" si="17"/>
        <v>0</v>
      </c>
      <c r="L27" s="23">
        <f t="shared" si="17"/>
        <v>0</v>
      </c>
      <c r="M27" s="23">
        <f t="shared" si="17"/>
        <v>0</v>
      </c>
      <c r="N27" s="23">
        <f t="shared" si="17"/>
        <v>-965</v>
      </c>
      <c r="O27" s="23">
        <f t="shared" si="17"/>
        <v>0</v>
      </c>
      <c r="P27" s="23">
        <f t="shared" si="17"/>
        <v>0</v>
      </c>
      <c r="Q27" s="23">
        <f t="shared" si="17"/>
        <v>0</v>
      </c>
      <c r="R27" s="24">
        <f t="shared" si="17"/>
        <v>0</v>
      </c>
      <c r="S27" s="24">
        <f t="shared" si="17"/>
        <v>0</v>
      </c>
      <c r="T27" s="24">
        <f t="shared" si="17"/>
        <v>0</v>
      </c>
      <c r="U27" s="24">
        <f t="shared" si="17"/>
        <v>0</v>
      </c>
      <c r="V27" s="24">
        <f t="shared" si="17"/>
        <v>0</v>
      </c>
      <c r="W27" s="24">
        <f t="shared" si="17"/>
        <v>0</v>
      </c>
      <c r="X27" s="23">
        <f t="shared" si="17"/>
        <v>0</v>
      </c>
      <c r="Y27" s="23">
        <f t="shared" si="17"/>
        <v>0</v>
      </c>
      <c r="Z27" s="23">
        <f t="shared" si="17"/>
        <v>0</v>
      </c>
      <c r="AA27" s="23">
        <f t="shared" si="17"/>
        <v>0</v>
      </c>
      <c r="AB27" s="23">
        <f t="shared" si="17"/>
        <v>0</v>
      </c>
      <c r="AC27" s="15">
        <f t="shared" si="17"/>
        <v>0</v>
      </c>
      <c r="AD27" s="264"/>
      <c r="AE27" s="264"/>
      <c r="AF27" s="269"/>
      <c r="AG27" s="264"/>
      <c r="AH27" s="262"/>
      <c r="AI27" s="264"/>
      <c r="AJ27" s="262"/>
      <c r="AK27" s="264"/>
      <c r="AL27" s="262"/>
      <c r="AM27" s="250"/>
      <c r="AN27" s="250"/>
      <c r="AO27" s="252"/>
    </row>
    <row r="28" spans="1:41" ht="18" thickBot="1" x14ac:dyDescent="0.3">
      <c r="A28" s="284"/>
      <c r="B28" s="275" t="s">
        <v>40</v>
      </c>
      <c r="C28" s="275"/>
      <c r="D28" s="276"/>
      <c r="E28" s="26">
        <f>E19+E27</f>
        <v>5999</v>
      </c>
      <c r="F28" s="26">
        <f t="shared" ref="F28:AC28" si="18">F19+F27</f>
        <v>0</v>
      </c>
      <c r="G28" s="26">
        <f t="shared" si="18"/>
        <v>5363</v>
      </c>
      <c r="H28" s="26">
        <f t="shared" si="18"/>
        <v>-636</v>
      </c>
      <c r="I28" s="26">
        <f t="shared" si="18"/>
        <v>0</v>
      </c>
      <c r="J28" s="26">
        <f t="shared" si="18"/>
        <v>5363</v>
      </c>
      <c r="K28" s="26">
        <f t="shared" si="18"/>
        <v>0</v>
      </c>
      <c r="L28" s="26">
        <f t="shared" si="18"/>
        <v>442</v>
      </c>
      <c r="M28" s="26">
        <f t="shared" si="18"/>
        <v>4397</v>
      </c>
      <c r="N28" s="26">
        <f t="shared" si="18"/>
        <v>-966</v>
      </c>
      <c r="O28" s="26">
        <f t="shared" si="18"/>
        <v>0</v>
      </c>
      <c r="P28" s="26">
        <f t="shared" si="18"/>
        <v>3957</v>
      </c>
      <c r="Q28" s="26">
        <f t="shared" si="18"/>
        <v>-440</v>
      </c>
      <c r="R28" s="26">
        <f t="shared" si="18"/>
        <v>1007</v>
      </c>
      <c r="S28" s="26">
        <f t="shared" si="18"/>
        <v>4072</v>
      </c>
      <c r="T28" s="26">
        <f t="shared" si="18"/>
        <v>115</v>
      </c>
      <c r="U28" s="26">
        <f t="shared" si="18"/>
        <v>603</v>
      </c>
      <c r="V28" s="26">
        <f t="shared" si="18"/>
        <v>3369</v>
      </c>
      <c r="W28" s="26">
        <f t="shared" si="18"/>
        <v>-703</v>
      </c>
      <c r="X28" s="26">
        <f t="shared" si="18"/>
        <v>425</v>
      </c>
      <c r="Y28" s="26">
        <f t="shared" si="18"/>
        <v>2145</v>
      </c>
      <c r="Z28" s="26">
        <f t="shared" si="18"/>
        <v>-1812</v>
      </c>
      <c r="AA28" s="26">
        <f t="shared" si="18"/>
        <v>425</v>
      </c>
      <c r="AB28" s="26">
        <f t="shared" si="18"/>
        <v>2145</v>
      </c>
      <c r="AC28" s="26">
        <f t="shared" si="18"/>
        <v>0</v>
      </c>
      <c r="AD28" s="27">
        <f>SUM(AD6:AD27)</f>
        <v>442</v>
      </c>
      <c r="AE28" s="27">
        <f>SUM(AE6:AE27)</f>
        <v>4399</v>
      </c>
      <c r="AF28" s="27">
        <f>SUM(AF6:AF27)/2</f>
        <v>31.156500000000001</v>
      </c>
      <c r="AG28" s="27">
        <f t="shared" ref="AG28:AL28" si="19">SUM(AG6:AG27)</f>
        <v>23</v>
      </c>
      <c r="AH28" s="27">
        <f t="shared" si="19"/>
        <v>356</v>
      </c>
      <c r="AI28" s="27">
        <f t="shared" si="19"/>
        <v>14</v>
      </c>
      <c r="AJ28" s="27">
        <f t="shared" si="19"/>
        <v>175</v>
      </c>
      <c r="AK28" s="27">
        <f t="shared" si="19"/>
        <v>2</v>
      </c>
      <c r="AL28" s="27">
        <f t="shared" si="19"/>
        <v>26</v>
      </c>
      <c r="AM28" s="29">
        <f>L28*AF28/480/AG28</f>
        <v>1.2473888586956523</v>
      </c>
      <c r="AN28" s="30">
        <f>M28*AF28/480/AH28</f>
        <v>0.80170371313202249</v>
      </c>
      <c r="AO28" s="31"/>
    </row>
    <row r="29" spans="1:41" ht="18.75" customHeight="1" x14ac:dyDescent="0.25">
      <c r="A29" s="265" t="s">
        <v>32</v>
      </c>
      <c r="B29" s="195" t="s">
        <v>41</v>
      </c>
      <c r="C29" s="300" t="s">
        <v>37</v>
      </c>
      <c r="D29" s="34" t="s">
        <v>42</v>
      </c>
      <c r="E29" s="196">
        <v>1645</v>
      </c>
      <c r="F29" s="196"/>
      <c r="G29" s="196">
        <f>1430</f>
        <v>1430</v>
      </c>
      <c r="H29" s="196">
        <f t="shared" ref="H29:H31" si="20">G29-E29</f>
        <v>-215</v>
      </c>
      <c r="I29" s="196"/>
      <c r="J29" s="196">
        <f>1430</f>
        <v>1430</v>
      </c>
      <c r="K29" s="196">
        <f t="shared" ref="K29:K31" si="21">J29-G29</f>
        <v>0</v>
      </c>
      <c r="L29" s="196"/>
      <c r="M29" s="196">
        <f>102+201+302+351-99-125-110+133+127+49+120+24+166+155+34</f>
        <v>1430</v>
      </c>
      <c r="N29" s="196">
        <f t="shared" ref="N29:N31" si="22">M29-J29</f>
        <v>0</v>
      </c>
      <c r="O29" s="196"/>
      <c r="P29" s="196">
        <f>1075+166+155+34</f>
        <v>1430</v>
      </c>
      <c r="Q29" s="196">
        <f t="shared" ref="Q29:Q31" si="23">P29-M29</f>
        <v>0</v>
      </c>
      <c r="R29" s="196"/>
      <c r="S29" s="196">
        <f>970+260+50+150</f>
        <v>1430</v>
      </c>
      <c r="T29" s="35">
        <f t="shared" ref="T29:T31" si="24">S29-P29</f>
        <v>0</v>
      </c>
      <c r="U29" s="196"/>
      <c r="V29" s="196">
        <f>970+310+150</f>
        <v>1430</v>
      </c>
      <c r="W29" s="35">
        <f t="shared" ref="W29:W31" si="25">V29-S29</f>
        <v>0</v>
      </c>
      <c r="X29" s="196"/>
      <c r="Y29" s="196">
        <f>860+80+15+140+90+100</f>
        <v>1285</v>
      </c>
      <c r="Z29" s="196">
        <f t="shared" ref="Z29:Z31" si="26">Y29-P29</f>
        <v>-145</v>
      </c>
      <c r="AA29" s="196"/>
      <c r="AB29" s="196">
        <f>860+80+15+140+90+100</f>
        <v>1285</v>
      </c>
      <c r="AC29" s="33">
        <f t="shared" ref="AC29:AC31" si="27">AB29-Y29</f>
        <v>0</v>
      </c>
      <c r="AD29" s="267">
        <f>L32</f>
        <v>0</v>
      </c>
      <c r="AE29" s="263">
        <f>300+98+344+213+289+412+355+358+438+80</f>
        <v>2887</v>
      </c>
      <c r="AF29" s="268">
        <v>33.130000000000003</v>
      </c>
      <c r="AG29" s="263">
        <v>1</v>
      </c>
      <c r="AH29" s="261">
        <f>2+10+8+8+8+6+6+6+9+5+6+8+7+7+6+6+6+6+6+6+7+7+7+7+6+7+17+16+16+22+21+21+10+20+20+13+10+10+10+11+13</f>
        <v>403</v>
      </c>
      <c r="AI29" s="263"/>
      <c r="AJ29" s="261">
        <f>1+1+1+1+1+1+1+2+2+2+2+2+2+2+2+2+2+1+1+1+1+1+1+1+1+4+3+4+5+8+8+6+7+6+6+6+7+7+7</f>
        <v>119</v>
      </c>
      <c r="AK29" s="263"/>
      <c r="AL29" s="261">
        <f>1+1+1+1+1+1+1+1+1+1+1+1+1+1+1+1+2+2+2+2+2+1+1+1+1+1</f>
        <v>31</v>
      </c>
      <c r="AM29" s="249">
        <f>L32*AF29/480/AG29</f>
        <v>0</v>
      </c>
      <c r="AN29" s="249">
        <f>M32*AF29/480/AH29</f>
        <v>0.65818129652605462</v>
      </c>
      <c r="AO29" s="251"/>
    </row>
    <row r="30" spans="1:41" ht="18.75" customHeight="1" x14ac:dyDescent="0.25">
      <c r="A30" s="265"/>
      <c r="B30" s="36" t="s">
        <v>43</v>
      </c>
      <c r="C30" s="301"/>
      <c r="D30" s="38" t="s">
        <v>44</v>
      </c>
      <c r="E30" s="20">
        <v>1245</v>
      </c>
      <c r="F30" s="20"/>
      <c r="G30" s="20">
        <f>1231</f>
        <v>1231</v>
      </c>
      <c r="H30" s="20">
        <f t="shared" si="20"/>
        <v>-14</v>
      </c>
      <c r="I30" s="20"/>
      <c r="J30" s="20">
        <f>1231</f>
        <v>1231</v>
      </c>
      <c r="K30" s="20">
        <f t="shared" si="21"/>
        <v>0</v>
      </c>
      <c r="L30" s="20"/>
      <c r="M30" s="20">
        <f>300+99+125+110+98+101+59+41+12+93+57+100+35</f>
        <v>1230</v>
      </c>
      <c r="N30" s="20">
        <f t="shared" si="22"/>
        <v>-1</v>
      </c>
      <c r="O30" s="20"/>
      <c r="P30" s="20">
        <f>1038+57+100+35</f>
        <v>1230</v>
      </c>
      <c r="Q30" s="20">
        <f t="shared" si="23"/>
        <v>0</v>
      </c>
      <c r="R30" s="20"/>
      <c r="S30" s="20">
        <f>930+160+50+90</f>
        <v>1230</v>
      </c>
      <c r="T30" s="39">
        <f t="shared" si="24"/>
        <v>0</v>
      </c>
      <c r="U30" s="20"/>
      <c r="V30" s="20">
        <f>910+230+90</f>
        <v>1230</v>
      </c>
      <c r="W30" s="39">
        <f t="shared" si="25"/>
        <v>0</v>
      </c>
      <c r="X30" s="20"/>
      <c r="Y30" s="20">
        <f>750+75+40+90+100+130</f>
        <v>1185</v>
      </c>
      <c r="Z30" s="20">
        <f t="shared" si="26"/>
        <v>-45</v>
      </c>
      <c r="AA30" s="20"/>
      <c r="AB30" s="20">
        <f>750+75+40+90+100+130</f>
        <v>1185</v>
      </c>
      <c r="AC30" s="37">
        <f t="shared" si="27"/>
        <v>0</v>
      </c>
      <c r="AD30" s="263"/>
      <c r="AE30" s="263"/>
      <c r="AF30" s="268"/>
      <c r="AG30" s="263"/>
      <c r="AH30" s="261"/>
      <c r="AI30" s="263"/>
      <c r="AJ30" s="261"/>
      <c r="AK30" s="263"/>
      <c r="AL30" s="261"/>
      <c r="AM30" s="249"/>
      <c r="AN30" s="249"/>
      <c r="AO30" s="251"/>
    </row>
    <row r="31" spans="1:41" ht="18.75" customHeight="1" thickBot="1" x14ac:dyDescent="0.3">
      <c r="A31" s="265"/>
      <c r="B31" s="199" t="s">
        <v>45</v>
      </c>
      <c r="C31" s="302"/>
      <c r="D31" s="42" t="s">
        <v>46</v>
      </c>
      <c r="E31" s="25">
        <v>1300</v>
      </c>
      <c r="F31" s="25"/>
      <c r="G31" s="25">
        <f>1183</f>
        <v>1183</v>
      </c>
      <c r="H31" s="25">
        <f t="shared" si="20"/>
        <v>-117</v>
      </c>
      <c r="I31" s="25"/>
      <c r="J31" s="25">
        <f>520+663</f>
        <v>1183</v>
      </c>
      <c r="K31" s="25">
        <f t="shared" si="21"/>
        <v>0</v>
      </c>
      <c r="L31" s="25"/>
      <c r="M31" s="25">
        <f>110+27+199+280+238+135+183+11</f>
        <v>1183</v>
      </c>
      <c r="N31" s="25">
        <f t="shared" si="22"/>
        <v>0</v>
      </c>
      <c r="O31" s="25"/>
      <c r="P31" s="25">
        <f>854+135+183+11</f>
        <v>1183</v>
      </c>
      <c r="Q31" s="25">
        <f t="shared" si="23"/>
        <v>0</v>
      </c>
      <c r="R31" s="25"/>
      <c r="S31" s="25">
        <f>530+420+150+83</f>
        <v>1183</v>
      </c>
      <c r="T31" s="43">
        <f t="shared" si="24"/>
        <v>0</v>
      </c>
      <c r="U31" s="25"/>
      <c r="V31" s="25">
        <f>130+400+420+150+83</f>
        <v>1183</v>
      </c>
      <c r="W31" s="43">
        <f t="shared" si="25"/>
        <v>0</v>
      </c>
      <c r="X31" s="25"/>
      <c r="Y31" s="25">
        <f>100+190+190+320+190+120</f>
        <v>1110</v>
      </c>
      <c r="Z31" s="25">
        <f t="shared" si="26"/>
        <v>-73</v>
      </c>
      <c r="AA31" s="25"/>
      <c r="AB31" s="25">
        <f>100+190+190+320+190+120</f>
        <v>1110</v>
      </c>
      <c r="AC31" s="44">
        <f t="shared" si="27"/>
        <v>0</v>
      </c>
      <c r="AD31" s="263"/>
      <c r="AE31" s="263"/>
      <c r="AF31" s="268"/>
      <c r="AG31" s="263"/>
      <c r="AH31" s="261"/>
      <c r="AI31" s="263"/>
      <c r="AJ31" s="261"/>
      <c r="AK31" s="263"/>
      <c r="AL31" s="261"/>
      <c r="AM31" s="249"/>
      <c r="AN31" s="249"/>
      <c r="AO31" s="251"/>
    </row>
    <row r="32" spans="1:41" ht="18" thickBot="1" x14ac:dyDescent="0.3">
      <c r="A32" s="265"/>
      <c r="B32" s="253" t="s">
        <v>34</v>
      </c>
      <c r="C32" s="254"/>
      <c r="D32" s="255"/>
      <c r="E32" s="24">
        <f>+SUM(E29:E31)</f>
        <v>4190</v>
      </c>
      <c r="F32" s="24">
        <f t="shared" ref="F32:AC32" si="28">+SUM(F29:F31)</f>
        <v>0</v>
      </c>
      <c r="G32" s="24">
        <f t="shared" si="28"/>
        <v>3844</v>
      </c>
      <c r="H32" s="24">
        <f t="shared" si="28"/>
        <v>-346</v>
      </c>
      <c r="I32" s="24">
        <f t="shared" si="28"/>
        <v>0</v>
      </c>
      <c r="J32" s="24">
        <f t="shared" si="28"/>
        <v>3844</v>
      </c>
      <c r="K32" s="24">
        <f t="shared" si="28"/>
        <v>0</v>
      </c>
      <c r="L32" s="24">
        <f t="shared" si="28"/>
        <v>0</v>
      </c>
      <c r="M32" s="24">
        <f t="shared" si="28"/>
        <v>3843</v>
      </c>
      <c r="N32" s="24">
        <f t="shared" si="28"/>
        <v>-1</v>
      </c>
      <c r="O32" s="24">
        <f t="shared" si="28"/>
        <v>0</v>
      </c>
      <c r="P32" s="24">
        <f t="shared" si="28"/>
        <v>3843</v>
      </c>
      <c r="Q32" s="24">
        <f t="shared" si="28"/>
        <v>0</v>
      </c>
      <c r="R32" s="24">
        <f t="shared" si="28"/>
        <v>0</v>
      </c>
      <c r="S32" s="24">
        <f t="shared" si="28"/>
        <v>3843</v>
      </c>
      <c r="T32" s="24">
        <f t="shared" si="28"/>
        <v>0</v>
      </c>
      <c r="U32" s="24">
        <f t="shared" si="28"/>
        <v>0</v>
      </c>
      <c r="V32" s="24">
        <f t="shared" si="28"/>
        <v>3843</v>
      </c>
      <c r="W32" s="24">
        <f t="shared" si="28"/>
        <v>0</v>
      </c>
      <c r="X32" s="24">
        <f t="shared" si="28"/>
        <v>0</v>
      </c>
      <c r="Y32" s="24">
        <f t="shared" si="28"/>
        <v>3580</v>
      </c>
      <c r="Z32" s="24">
        <f t="shared" si="28"/>
        <v>-263</v>
      </c>
      <c r="AA32" s="24">
        <f t="shared" si="28"/>
        <v>0</v>
      </c>
      <c r="AB32" s="24">
        <f t="shared" si="28"/>
        <v>3580</v>
      </c>
      <c r="AC32" s="24">
        <f t="shared" si="28"/>
        <v>0</v>
      </c>
      <c r="AD32" s="264"/>
      <c r="AE32" s="264"/>
      <c r="AF32" s="269"/>
      <c r="AG32" s="264"/>
      <c r="AH32" s="262"/>
      <c r="AI32" s="264"/>
      <c r="AJ32" s="262"/>
      <c r="AK32" s="264"/>
      <c r="AL32" s="262"/>
      <c r="AM32" s="250"/>
      <c r="AN32" s="250"/>
      <c r="AO32" s="252"/>
    </row>
    <row r="33" spans="1:41" ht="18" customHeight="1" thickBot="1" x14ac:dyDescent="0.3">
      <c r="A33" s="266"/>
      <c r="B33" s="256" t="s">
        <v>40</v>
      </c>
      <c r="C33" s="256"/>
      <c r="D33" s="257"/>
      <c r="E33" s="26">
        <f>E32</f>
        <v>4190</v>
      </c>
      <c r="F33" s="26">
        <f t="shared" ref="F33:AC33" si="29">F32</f>
        <v>0</v>
      </c>
      <c r="G33" s="26">
        <f t="shared" si="29"/>
        <v>3844</v>
      </c>
      <c r="H33" s="26">
        <f t="shared" si="29"/>
        <v>-346</v>
      </c>
      <c r="I33" s="26">
        <f t="shared" si="29"/>
        <v>0</v>
      </c>
      <c r="J33" s="26">
        <f t="shared" si="29"/>
        <v>3844</v>
      </c>
      <c r="K33" s="26">
        <f t="shared" si="29"/>
        <v>0</v>
      </c>
      <c r="L33" s="26">
        <f t="shared" si="29"/>
        <v>0</v>
      </c>
      <c r="M33" s="26">
        <f t="shared" si="29"/>
        <v>3843</v>
      </c>
      <c r="N33" s="26">
        <f t="shared" si="29"/>
        <v>-1</v>
      </c>
      <c r="O33" s="26">
        <f t="shared" si="29"/>
        <v>0</v>
      </c>
      <c r="P33" s="26">
        <f t="shared" si="29"/>
        <v>3843</v>
      </c>
      <c r="Q33" s="26">
        <f t="shared" si="29"/>
        <v>0</v>
      </c>
      <c r="R33" s="26">
        <f t="shared" si="29"/>
        <v>0</v>
      </c>
      <c r="S33" s="26">
        <f t="shared" si="29"/>
        <v>3843</v>
      </c>
      <c r="T33" s="26">
        <f t="shared" si="29"/>
        <v>0</v>
      </c>
      <c r="U33" s="26">
        <f t="shared" si="29"/>
        <v>0</v>
      </c>
      <c r="V33" s="26">
        <f t="shared" si="29"/>
        <v>3843</v>
      </c>
      <c r="W33" s="26">
        <f t="shared" si="29"/>
        <v>0</v>
      </c>
      <c r="X33" s="26">
        <f t="shared" si="29"/>
        <v>0</v>
      </c>
      <c r="Y33" s="26">
        <f t="shared" si="29"/>
        <v>3580</v>
      </c>
      <c r="Z33" s="26">
        <f t="shared" si="29"/>
        <v>-263</v>
      </c>
      <c r="AA33" s="26">
        <f t="shared" si="29"/>
        <v>0</v>
      </c>
      <c r="AB33" s="26">
        <f t="shared" si="29"/>
        <v>3580</v>
      </c>
      <c r="AC33" s="26">
        <f t="shared" si="29"/>
        <v>0</v>
      </c>
      <c r="AD33" s="45">
        <f t="shared" ref="AD33:AL33" si="30">SUM(AD29:AD32)</f>
        <v>0</v>
      </c>
      <c r="AE33" s="45">
        <f t="shared" si="30"/>
        <v>2887</v>
      </c>
      <c r="AF33" s="46">
        <f t="shared" si="30"/>
        <v>33.130000000000003</v>
      </c>
      <c r="AG33" s="45">
        <f t="shared" si="30"/>
        <v>1</v>
      </c>
      <c r="AH33" s="45">
        <f t="shared" si="30"/>
        <v>403</v>
      </c>
      <c r="AI33" s="45">
        <f t="shared" si="30"/>
        <v>0</v>
      </c>
      <c r="AJ33" s="45">
        <f t="shared" si="30"/>
        <v>119</v>
      </c>
      <c r="AK33" s="45">
        <f t="shared" si="30"/>
        <v>0</v>
      </c>
      <c r="AL33" s="45">
        <f t="shared" si="30"/>
        <v>31</v>
      </c>
      <c r="AM33" s="47">
        <f>L33*AF33/480/AG33</f>
        <v>0</v>
      </c>
      <c r="AN33" s="48">
        <f>M33*AF33/480/AH33</f>
        <v>0.65818129652605462</v>
      </c>
      <c r="AO33" s="49"/>
    </row>
    <row r="34" spans="1:41" s="60" customFormat="1" ht="15.75" thickBot="1" x14ac:dyDescent="0.3">
      <c r="A34" s="50"/>
      <c r="B34" s="51"/>
      <c r="C34" s="51"/>
      <c r="D34" s="51"/>
      <c r="E34" s="51"/>
      <c r="F34" s="52"/>
      <c r="G34" s="51"/>
      <c r="H34" s="51"/>
      <c r="I34" s="193"/>
      <c r="J34" s="54"/>
      <c r="K34" s="51"/>
      <c r="L34" s="55"/>
      <c r="M34" s="51"/>
      <c r="N34" s="51"/>
      <c r="O34" s="56"/>
      <c r="P34" s="51"/>
      <c r="Q34" s="51"/>
      <c r="R34" s="55"/>
      <c r="S34" s="51"/>
      <c r="T34" s="51"/>
      <c r="U34" s="55"/>
      <c r="V34" s="51"/>
      <c r="W34" s="51"/>
      <c r="X34" s="55"/>
      <c r="Y34" s="51"/>
      <c r="Z34" s="51"/>
      <c r="AA34" s="55"/>
      <c r="AB34" s="51"/>
      <c r="AC34" s="51"/>
      <c r="AD34" s="192"/>
      <c r="AE34" s="58"/>
      <c r="AF34" s="51"/>
      <c r="AG34" s="192"/>
      <c r="AH34" s="58"/>
      <c r="AI34" s="192"/>
      <c r="AJ34" s="58"/>
      <c r="AK34" s="192"/>
      <c r="AL34" s="58"/>
      <c r="AM34" s="192"/>
      <c r="AN34" s="55"/>
      <c r="AO34" s="59"/>
    </row>
    <row r="35" spans="1:41" s="60" customFormat="1" ht="15.75" thickBot="1" x14ac:dyDescent="0.3">
      <c r="A35" s="258" t="s">
        <v>47</v>
      </c>
      <c r="B35" s="259"/>
      <c r="C35" s="259"/>
      <c r="D35" s="259"/>
      <c r="E35" s="260"/>
      <c r="F35" s="63">
        <f>F33+F28</f>
        <v>0</v>
      </c>
      <c r="G35" s="64"/>
      <c r="H35" s="64"/>
      <c r="I35" s="63">
        <f>I33+I28</f>
        <v>0</v>
      </c>
      <c r="J35" s="64"/>
      <c r="K35" s="65">
        <f>K33+K28</f>
        <v>0</v>
      </c>
      <c r="L35" s="66">
        <f>L33+L28</f>
        <v>442</v>
      </c>
      <c r="M35" s="64"/>
      <c r="N35" s="65">
        <f>N33+N28</f>
        <v>-967</v>
      </c>
      <c r="O35" s="66">
        <f>O33+O28</f>
        <v>0</v>
      </c>
      <c r="P35" s="64"/>
      <c r="Q35" s="65">
        <f>Q33+Q28</f>
        <v>-440</v>
      </c>
      <c r="R35" s="66">
        <f>R33+R28</f>
        <v>1007</v>
      </c>
      <c r="S35" s="64"/>
      <c r="T35" s="65">
        <f>T33+T28</f>
        <v>115</v>
      </c>
      <c r="U35" s="66">
        <f>U33+U28</f>
        <v>603</v>
      </c>
      <c r="V35" s="64"/>
      <c r="W35" s="65">
        <f>W33+W28</f>
        <v>-703</v>
      </c>
      <c r="X35" s="66">
        <f>X33+X28</f>
        <v>425</v>
      </c>
      <c r="Y35" s="64"/>
      <c r="Z35" s="65">
        <f>Z33+Z28</f>
        <v>-2075</v>
      </c>
      <c r="AA35" s="66">
        <f>AA33+AA28</f>
        <v>425</v>
      </c>
      <c r="AB35" s="64"/>
      <c r="AC35" s="65">
        <f>AC33+AC28</f>
        <v>0</v>
      </c>
      <c r="AD35" s="67">
        <f>AD33+AD28</f>
        <v>442</v>
      </c>
      <c r="AE35" s="65">
        <f>AE33+AE28</f>
        <v>7286</v>
      </c>
      <c r="AF35" s="64"/>
      <c r="AG35" s="63">
        <f>AG33+AG28</f>
        <v>24</v>
      </c>
      <c r="AH35" s="68"/>
      <c r="AI35" s="63">
        <f>AI33+AI28</f>
        <v>14</v>
      </c>
      <c r="AJ35" s="68"/>
      <c r="AK35" s="63">
        <f>AK33+AK28</f>
        <v>2</v>
      </c>
      <c r="AL35" s="68"/>
      <c r="AM35" s="69">
        <f>SUM(AM33+AM28)/2</f>
        <v>0.62369442934782615</v>
      </c>
      <c r="AN35" s="69">
        <f>SUM(AN33+AN28)/2</f>
        <v>0.72994250482903855</v>
      </c>
      <c r="AO35" s="70"/>
    </row>
    <row r="36" spans="1:41" s="60" customFormat="1" ht="15" x14ac:dyDescent="0.25">
      <c r="O36" s="71"/>
    </row>
    <row r="37" spans="1:41" s="60" customFormat="1" ht="15" x14ac:dyDescent="0.25">
      <c r="O37" s="71"/>
      <c r="W37" s="60" t="s">
        <v>5</v>
      </c>
      <c r="Z37" s="60" t="s">
        <v>5</v>
      </c>
      <c r="AC37" s="60" t="s">
        <v>5</v>
      </c>
    </row>
  </sheetData>
  <mergeCells count="75"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  <mergeCell ref="AM4:AN4"/>
    <mergeCell ref="AO4:AO5"/>
    <mergeCell ref="A6:A28"/>
    <mergeCell ref="B6:B9"/>
    <mergeCell ref="C6:C18"/>
    <mergeCell ref="AD6:AD19"/>
    <mergeCell ref="AE6:AE19"/>
    <mergeCell ref="AF6:AF19"/>
    <mergeCell ref="AG6:AG19"/>
    <mergeCell ref="AH6:AH19"/>
    <mergeCell ref="X4:Z4"/>
    <mergeCell ref="AA4:AC4"/>
    <mergeCell ref="AD4:AE4"/>
    <mergeCell ref="AG4:AH4"/>
    <mergeCell ref="AI4:AJ4"/>
    <mergeCell ref="AK4:AL4"/>
    <mergeCell ref="AO6:AO19"/>
    <mergeCell ref="B10:B13"/>
    <mergeCell ref="B14:B18"/>
    <mergeCell ref="B19:D19"/>
    <mergeCell ref="B20:B26"/>
    <mergeCell ref="C20:C26"/>
    <mergeCell ref="AD20:AD27"/>
    <mergeCell ref="AE20:AE27"/>
    <mergeCell ref="AF20:AF27"/>
    <mergeCell ref="AG20:AG27"/>
    <mergeCell ref="AI6:AI19"/>
    <mergeCell ref="AJ6:AJ19"/>
    <mergeCell ref="AK6:AK19"/>
    <mergeCell ref="AL6:AL19"/>
    <mergeCell ref="AM6:AM19"/>
    <mergeCell ref="AN6:AN19"/>
    <mergeCell ref="AN20:AN27"/>
    <mergeCell ref="AO20:AO27"/>
    <mergeCell ref="B27:D27"/>
    <mergeCell ref="B28:D28"/>
    <mergeCell ref="A29:A33"/>
    <mergeCell ref="C29:C31"/>
    <mergeCell ref="AD29:AD32"/>
    <mergeCell ref="AE29:AE32"/>
    <mergeCell ref="AF29:AF32"/>
    <mergeCell ref="AG29:AG32"/>
    <mergeCell ref="AH20:AH27"/>
    <mergeCell ref="AI20:AI27"/>
    <mergeCell ref="AJ20:AJ27"/>
    <mergeCell ref="AK20:AK27"/>
    <mergeCell ref="AL20:AL27"/>
    <mergeCell ref="AM20:AM27"/>
    <mergeCell ref="AN29:AN32"/>
    <mergeCell ref="AO29:AO32"/>
    <mergeCell ref="B32:D32"/>
    <mergeCell ref="B33:D33"/>
    <mergeCell ref="A35:E35"/>
    <mergeCell ref="AH29:AH32"/>
    <mergeCell ref="AI29:AI32"/>
    <mergeCell ref="AJ29:AJ32"/>
    <mergeCell ref="AK29:AK32"/>
    <mergeCell ref="AL29:AL32"/>
    <mergeCell ref="AM29:AM32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35" max="55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70" zoomScaleNormal="70"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I26" sqref="I26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5.7109375" style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6.14062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6.140625" style="1" bestFit="1" customWidth="1"/>
    <col min="18" max="18" width="7.85546875" style="1" customWidth="1"/>
    <col min="19" max="19" width="8.85546875" style="1" customWidth="1"/>
    <col min="20" max="20" width="7.42578125" style="1" bestFit="1" customWidth="1"/>
    <col min="21" max="21" width="8.42578125" style="1" customWidth="1"/>
    <col min="22" max="22" width="7.85546875" style="1" customWidth="1"/>
    <col min="23" max="23" width="7.425781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45376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51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202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205" t="s">
        <v>26</v>
      </c>
      <c r="G5" s="9" t="s">
        <v>27</v>
      </c>
      <c r="H5" s="10" t="s">
        <v>28</v>
      </c>
      <c r="I5" s="202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206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202" t="s">
        <v>26</v>
      </c>
      <c r="AE5" s="9" t="s">
        <v>27</v>
      </c>
      <c r="AF5" s="205" t="s">
        <v>26</v>
      </c>
      <c r="AG5" s="205" t="s">
        <v>26</v>
      </c>
      <c r="AH5" s="9" t="s">
        <v>27</v>
      </c>
      <c r="AI5" s="205" t="s">
        <v>26</v>
      </c>
      <c r="AJ5" s="15" t="s">
        <v>27</v>
      </c>
      <c r="AK5" s="205" t="s">
        <v>26</v>
      </c>
      <c r="AL5" s="9" t="s">
        <v>27</v>
      </c>
      <c r="AM5" s="202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204">
        <v>680</v>
      </c>
      <c r="F6" s="204"/>
      <c r="G6" s="204">
        <f>680</f>
        <v>680</v>
      </c>
      <c r="H6" s="204">
        <f t="shared" ref="H6:H18" si="0">G6-E6</f>
        <v>0</v>
      </c>
      <c r="I6" s="204"/>
      <c r="J6" s="204">
        <f>428+252</f>
        <v>680</v>
      </c>
      <c r="K6" s="204">
        <f t="shared" ref="K6:K18" si="1">J6-G6</f>
        <v>0</v>
      </c>
      <c r="L6" s="204"/>
      <c r="M6" s="204">
        <f>62+144+4+9+26+75+226+36+4+6+7+45+26+10</f>
        <v>680</v>
      </c>
      <c r="N6" s="204">
        <f t="shared" ref="N6:N18" si="2">M6-J6</f>
        <v>0</v>
      </c>
      <c r="O6" s="204">
        <v>9</v>
      </c>
      <c r="P6" s="119">
        <f>546+36+4+6+7+45+26+9</f>
        <v>679</v>
      </c>
      <c r="Q6" s="204">
        <f t="shared" ref="Q6:Q18" si="3">P6-M6</f>
        <v>-1</v>
      </c>
      <c r="R6" s="18">
        <v>4</v>
      </c>
      <c r="S6" s="18">
        <f>210+330+40+12+83+4</f>
        <v>679</v>
      </c>
      <c r="T6" s="18">
        <f t="shared" ref="T6:T18" si="4">S6-P6</f>
        <v>0</v>
      </c>
      <c r="U6" s="18">
        <f>674-642</f>
        <v>32</v>
      </c>
      <c r="V6" s="18">
        <f>200+340+40+62+32</f>
        <v>674</v>
      </c>
      <c r="W6" s="18">
        <f t="shared" ref="W6:W18" si="5">V6-S6</f>
        <v>-5</v>
      </c>
      <c r="X6" s="204">
        <v>50</v>
      </c>
      <c r="Y6" s="204">
        <f>175+10+40+350+50</f>
        <v>625</v>
      </c>
      <c r="Z6" s="204">
        <f t="shared" ref="Z6:Z18" si="6">Y6-P6</f>
        <v>-54</v>
      </c>
      <c r="AA6" s="204">
        <v>50</v>
      </c>
      <c r="AB6" s="204">
        <f>175+10+40+350+50</f>
        <v>625</v>
      </c>
      <c r="AC6" s="19">
        <f t="shared" ref="AC6:AC18" si="7">AB6-Y6</f>
        <v>0</v>
      </c>
      <c r="AD6" s="267">
        <f>L19</f>
        <v>2</v>
      </c>
      <c r="AE6" s="267">
        <f>62+144+4+20+190+196+47+175+261+297+182+288+308+374+343+307+397+362+442+2</f>
        <v>4401</v>
      </c>
      <c r="AF6" s="282">
        <v>24.192</v>
      </c>
      <c r="AG6" s="267"/>
      <c r="AH6" s="277">
        <f>6+8+6+10+10+10+20+6+22+13+22+8+10+9+11+13+26+20+20+20+15+13+13</f>
        <v>311</v>
      </c>
      <c r="AI6" s="267"/>
      <c r="AJ6" s="277">
        <f>1+2+2+2+3+3+5+4+5+5+11+11+7+7+7+7+14+12+12+12+10+9+8</f>
        <v>159</v>
      </c>
      <c r="AK6" s="267"/>
      <c r="AL6" s="277">
        <f>1+1+1+1+1+1+1+1+1+1+1+1+2+1+1+1+1+1+1</f>
        <v>20</v>
      </c>
      <c r="AM6" s="270" t="e">
        <f>L19*AF6/480/AG6</f>
        <v>#DIV/0!</v>
      </c>
      <c r="AN6" s="270">
        <f>M19*AF6/480/AH6</f>
        <v>0.71289260450160774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/>
      <c r="M7" s="20">
        <f>20+117+9+13+48+110+29+97+43+5+27+50+14+17</f>
        <v>599</v>
      </c>
      <c r="N7" s="20">
        <f t="shared" si="2"/>
        <v>0</v>
      </c>
      <c r="O7" s="20">
        <v>11</v>
      </c>
      <c r="P7" s="20">
        <f>292+29+122+43+5+27+64+11</f>
        <v>593</v>
      </c>
      <c r="Q7" s="20">
        <f t="shared" si="3"/>
        <v>-6</v>
      </c>
      <c r="R7" s="20">
        <v>6</v>
      </c>
      <c r="S7" s="20">
        <f>160+140+90+90+11+96+6</f>
        <v>593</v>
      </c>
      <c r="T7" s="20">
        <f t="shared" si="4"/>
        <v>0</v>
      </c>
      <c r="U7" s="20">
        <v>40</v>
      </c>
      <c r="V7" s="20">
        <f>150+240+90+61+40</f>
        <v>581</v>
      </c>
      <c r="W7" s="20">
        <f t="shared" si="5"/>
        <v>-12</v>
      </c>
      <c r="X7" s="20">
        <v>70</v>
      </c>
      <c r="Y7" s="20">
        <f>480+70</f>
        <v>550</v>
      </c>
      <c r="Z7" s="20">
        <f t="shared" si="6"/>
        <v>-43</v>
      </c>
      <c r="AA7" s="20">
        <v>70</v>
      </c>
      <c r="AB7" s="20">
        <f>480+70</f>
        <v>550</v>
      </c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/>
      <c r="M8" s="20">
        <f>73+187+25+59+76+42+58+4+3+5+31+100-14+28</f>
        <v>677</v>
      </c>
      <c r="N8" s="20">
        <f t="shared" si="2"/>
        <v>0</v>
      </c>
      <c r="O8" s="20">
        <v>24</v>
      </c>
      <c r="P8" s="20">
        <f>420+42+58+4+3+5+31+86+24</f>
        <v>673</v>
      </c>
      <c r="Q8" s="20">
        <f t="shared" si="3"/>
        <v>-4</v>
      </c>
      <c r="R8" s="20">
        <v>7</v>
      </c>
      <c r="S8" s="20">
        <f>250+150+50+50+25+141+7</f>
        <v>673</v>
      </c>
      <c r="T8" s="20">
        <f t="shared" si="4"/>
        <v>0</v>
      </c>
      <c r="U8" s="20">
        <v>14</v>
      </c>
      <c r="V8" s="20">
        <f>250+200+50+135+14</f>
        <v>649</v>
      </c>
      <c r="W8" s="20">
        <f t="shared" si="5"/>
        <v>-24</v>
      </c>
      <c r="X8" s="20">
        <v>100</v>
      </c>
      <c r="Y8" s="20">
        <f>180+45+80+130+75+100</f>
        <v>610</v>
      </c>
      <c r="Z8" s="20">
        <f t="shared" si="6"/>
        <v>-63</v>
      </c>
      <c r="AA8" s="20">
        <v>100</v>
      </c>
      <c r="AB8" s="20">
        <f>180+45+80+130+75+100</f>
        <v>610</v>
      </c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>
        <f>42+27+5+5+19+8</f>
        <v>106</v>
      </c>
      <c r="N9" s="20">
        <f t="shared" si="2"/>
        <v>0</v>
      </c>
      <c r="O9" s="20">
        <v>3</v>
      </c>
      <c r="P9" s="20">
        <f>42+27+5+5+19+5+3</f>
        <v>106</v>
      </c>
      <c r="Q9" s="20">
        <f t="shared" si="3"/>
        <v>0</v>
      </c>
      <c r="R9" s="20"/>
      <c r="S9" s="20">
        <f>10+14+79</f>
        <v>103</v>
      </c>
      <c r="T9" s="20">
        <f t="shared" si="4"/>
        <v>-3</v>
      </c>
      <c r="U9" s="20"/>
      <c r="V9" s="20">
        <f>74</f>
        <v>74</v>
      </c>
      <c r="W9" s="20">
        <f t="shared" si="5"/>
        <v>-29</v>
      </c>
      <c r="X9" s="20"/>
      <c r="Y9" s="20"/>
      <c r="Z9" s="20">
        <f t="shared" si="6"/>
        <v>-106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303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>
        <v>1</v>
      </c>
      <c r="M10" s="20">
        <f>37+134+20+12+19+1</f>
        <v>223</v>
      </c>
      <c r="N10" s="20">
        <f t="shared" si="2"/>
        <v>0</v>
      </c>
      <c r="O10" s="20">
        <v>1</v>
      </c>
      <c r="P10" s="20">
        <f>37+134+20+12+19+1</f>
        <v>223</v>
      </c>
      <c r="Q10" s="20">
        <f t="shared" si="3"/>
        <v>0</v>
      </c>
      <c r="R10" s="20">
        <v>1</v>
      </c>
      <c r="S10" s="20">
        <f>170+20+32+1</f>
        <v>223</v>
      </c>
      <c r="T10" s="20">
        <f t="shared" si="4"/>
        <v>0</v>
      </c>
      <c r="U10" s="20"/>
      <c r="V10" s="20">
        <f>160+62</f>
        <v>222</v>
      </c>
      <c r="W10" s="20">
        <f t="shared" si="5"/>
        <v>-1</v>
      </c>
      <c r="X10" s="20">
        <v>20</v>
      </c>
      <c r="Y10" s="20">
        <f>180+20</f>
        <v>200</v>
      </c>
      <c r="Z10" s="20">
        <f t="shared" si="6"/>
        <v>-23</v>
      </c>
      <c r="AA10" s="20">
        <v>20</v>
      </c>
      <c r="AB10" s="20">
        <f>180+20</f>
        <v>200</v>
      </c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>
        <f>172+55</f>
        <v>227</v>
      </c>
      <c r="N11" s="20">
        <f t="shared" si="2"/>
        <v>0</v>
      </c>
      <c r="O11" s="20"/>
      <c r="P11" s="20">
        <f>172+55</f>
        <v>227</v>
      </c>
      <c r="Q11" s="20">
        <f t="shared" si="3"/>
        <v>0</v>
      </c>
      <c r="R11" s="20"/>
      <c r="S11" s="20">
        <f>160+60+7</f>
        <v>227</v>
      </c>
      <c r="T11" s="20">
        <f t="shared" si="4"/>
        <v>0</v>
      </c>
      <c r="U11" s="20"/>
      <c r="V11" s="20">
        <f>10+210+7</f>
        <v>227</v>
      </c>
      <c r="W11" s="20">
        <f t="shared" si="5"/>
        <v>0</v>
      </c>
      <c r="X11" s="20"/>
      <c r="Y11" s="20">
        <f>200</f>
        <v>200</v>
      </c>
      <c r="Z11" s="20">
        <f t="shared" si="6"/>
        <v>-27</v>
      </c>
      <c r="AA11" s="20"/>
      <c r="AB11" s="20">
        <f>200</f>
        <v>200</v>
      </c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/>
      <c r="M12" s="20">
        <f>156+20+12+52+2</f>
        <v>242</v>
      </c>
      <c r="N12" s="20">
        <f t="shared" si="2"/>
        <v>0</v>
      </c>
      <c r="O12" s="20"/>
      <c r="P12" s="20">
        <f>156+20+12+52</f>
        <v>240</v>
      </c>
      <c r="Q12" s="20">
        <f t="shared" si="3"/>
        <v>-2</v>
      </c>
      <c r="R12" s="20"/>
      <c r="S12" s="20">
        <f>10+171+59</f>
        <v>240</v>
      </c>
      <c r="T12" s="20">
        <f t="shared" si="4"/>
        <v>0</v>
      </c>
      <c r="U12" s="20"/>
      <c r="V12" s="20">
        <f>170+70</f>
        <v>240</v>
      </c>
      <c r="W12" s="20">
        <f t="shared" si="5"/>
        <v>0</v>
      </c>
      <c r="X12" s="20">
        <v>20</v>
      </c>
      <c r="Y12" s="20">
        <f>180+20</f>
        <v>200</v>
      </c>
      <c r="Z12" s="20">
        <f t="shared" si="6"/>
        <v>-40</v>
      </c>
      <c r="AA12" s="20">
        <v>20</v>
      </c>
      <c r="AB12" s="20">
        <f>180+20</f>
        <v>200</v>
      </c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x14ac:dyDescent="0.25">
      <c r="A13" s="283"/>
      <c r="B13" s="298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/>
      <c r="M13" s="20">
        <f>10+108+4+4+24+21</f>
        <v>171</v>
      </c>
      <c r="N13" s="20">
        <f t="shared" si="2"/>
        <v>0</v>
      </c>
      <c r="O13" s="20">
        <v>20</v>
      </c>
      <c r="P13" s="20">
        <f>10+108+4+4+24+20</f>
        <v>170</v>
      </c>
      <c r="Q13" s="20">
        <f t="shared" si="3"/>
        <v>-1</v>
      </c>
      <c r="R13" s="20">
        <v>6</v>
      </c>
      <c r="S13" s="20">
        <f>10+154+6</f>
        <v>170</v>
      </c>
      <c r="T13" s="20">
        <f t="shared" si="4"/>
        <v>0</v>
      </c>
      <c r="U13" s="20"/>
      <c r="V13" s="20">
        <f>10+140</f>
        <v>150</v>
      </c>
      <c r="W13" s="20">
        <f t="shared" si="5"/>
        <v>-20</v>
      </c>
      <c r="X13" s="20"/>
      <c r="Y13" s="20">
        <f>20</f>
        <v>20</v>
      </c>
      <c r="Z13" s="20">
        <f t="shared" si="6"/>
        <v>-150</v>
      </c>
      <c r="AA13" s="20"/>
      <c r="AB13" s="20">
        <f>20</f>
        <v>20</v>
      </c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x14ac:dyDescent="0.25">
      <c r="A14" s="283"/>
      <c r="B14" s="279" t="s">
        <v>57</v>
      </c>
      <c r="C14" s="281"/>
      <c r="D14" s="20" t="s">
        <v>58</v>
      </c>
      <c r="E14" s="20">
        <v>350</v>
      </c>
      <c r="F14" s="20"/>
      <c r="G14" s="20">
        <f>328</f>
        <v>328</v>
      </c>
      <c r="H14" s="20">
        <f t="shared" si="0"/>
        <v>-22</v>
      </c>
      <c r="I14" s="20"/>
      <c r="J14" s="20">
        <f>328</f>
        <v>328</v>
      </c>
      <c r="K14" s="20">
        <f t="shared" si="1"/>
        <v>0</v>
      </c>
      <c r="L14" s="20"/>
      <c r="M14" s="20">
        <f>151+134+2+41</f>
        <v>328</v>
      </c>
      <c r="N14" s="20">
        <f t="shared" si="2"/>
        <v>0</v>
      </c>
      <c r="O14" s="20">
        <v>41</v>
      </c>
      <c r="P14" s="20">
        <f>151+134+2+41</f>
        <v>328</v>
      </c>
      <c r="Q14" s="20">
        <f t="shared" si="3"/>
        <v>0</v>
      </c>
      <c r="R14" s="18">
        <v>48</v>
      </c>
      <c r="S14" s="18">
        <f>280+48</f>
        <v>328</v>
      </c>
      <c r="T14" s="18">
        <f t="shared" si="4"/>
        <v>0</v>
      </c>
      <c r="U14" s="18"/>
      <c r="V14" s="18">
        <f>280</f>
        <v>280</v>
      </c>
      <c r="W14" s="18">
        <f t="shared" si="5"/>
        <v>-48</v>
      </c>
      <c r="X14" s="20"/>
      <c r="Y14" s="20"/>
      <c r="Z14" s="20">
        <f t="shared" si="6"/>
        <v>-328</v>
      </c>
      <c r="AA14" s="20"/>
      <c r="AB14" s="20"/>
      <c r="AC14" s="21">
        <f t="shared" si="7"/>
        <v>0</v>
      </c>
      <c r="AD14" s="263"/>
      <c r="AE14" s="263"/>
      <c r="AF14" s="268"/>
      <c r="AG14" s="263"/>
      <c r="AH14" s="261"/>
      <c r="AI14" s="263"/>
      <c r="AJ14" s="261"/>
      <c r="AK14" s="263"/>
      <c r="AL14" s="261"/>
      <c r="AM14" s="249"/>
      <c r="AN14" s="249"/>
      <c r="AO14" s="251"/>
    </row>
    <row r="15" spans="1:41" x14ac:dyDescent="0.25">
      <c r="A15" s="283"/>
      <c r="B15" s="279"/>
      <c r="C15" s="281"/>
      <c r="D15" s="20" t="s">
        <v>33</v>
      </c>
      <c r="E15" s="20">
        <v>375</v>
      </c>
      <c r="F15" s="20"/>
      <c r="G15" s="20">
        <f>350</f>
        <v>350</v>
      </c>
      <c r="H15" s="20">
        <f t="shared" si="0"/>
        <v>-25</v>
      </c>
      <c r="I15" s="20"/>
      <c r="J15" s="20">
        <f>350</f>
        <v>350</v>
      </c>
      <c r="K15" s="20">
        <f t="shared" si="1"/>
        <v>0</v>
      </c>
      <c r="L15" s="20"/>
      <c r="M15" s="20">
        <f>152+120+21+28+29</f>
        <v>350</v>
      </c>
      <c r="N15" s="20">
        <f t="shared" si="2"/>
        <v>0</v>
      </c>
      <c r="O15" s="20">
        <v>29</v>
      </c>
      <c r="P15" s="20">
        <f>152+120+21+28+29</f>
        <v>350</v>
      </c>
      <c r="Q15" s="20">
        <f t="shared" si="3"/>
        <v>0</v>
      </c>
      <c r="R15" s="20">
        <v>12</v>
      </c>
      <c r="S15" s="20">
        <f>338+12</f>
        <v>350</v>
      </c>
      <c r="T15" s="20">
        <f t="shared" si="4"/>
        <v>0</v>
      </c>
      <c r="U15" s="20"/>
      <c r="V15" s="20">
        <f>338</f>
        <v>338</v>
      </c>
      <c r="W15" s="20">
        <f t="shared" si="5"/>
        <v>-12</v>
      </c>
      <c r="X15" s="20"/>
      <c r="Y15" s="20"/>
      <c r="Z15" s="20">
        <f t="shared" si="6"/>
        <v>-350</v>
      </c>
      <c r="AA15" s="20"/>
      <c r="AB15" s="20"/>
      <c r="AC15" s="21">
        <f t="shared" si="7"/>
        <v>0</v>
      </c>
      <c r="AD15" s="263"/>
      <c r="AE15" s="263"/>
      <c r="AF15" s="268"/>
      <c r="AG15" s="263"/>
      <c r="AH15" s="261"/>
      <c r="AI15" s="263"/>
      <c r="AJ15" s="261"/>
      <c r="AK15" s="263"/>
      <c r="AL15" s="261"/>
      <c r="AM15" s="249"/>
      <c r="AN15" s="249"/>
      <c r="AO15" s="251"/>
    </row>
    <row r="16" spans="1:41" x14ac:dyDescent="0.25">
      <c r="A16" s="283"/>
      <c r="B16" s="279"/>
      <c r="C16" s="281"/>
      <c r="D16" s="20" t="s">
        <v>59</v>
      </c>
      <c r="E16" s="20">
        <v>375</v>
      </c>
      <c r="F16" s="20"/>
      <c r="G16" s="20">
        <f>213</f>
        <v>213</v>
      </c>
      <c r="H16" s="20">
        <f t="shared" si="0"/>
        <v>-162</v>
      </c>
      <c r="I16" s="20"/>
      <c r="J16" s="20">
        <f>213</f>
        <v>213</v>
      </c>
      <c r="K16" s="20">
        <f t="shared" si="1"/>
        <v>0</v>
      </c>
      <c r="L16" s="20"/>
      <c r="M16" s="20">
        <f>200+13</f>
        <v>213</v>
      </c>
      <c r="N16" s="20">
        <f t="shared" si="2"/>
        <v>0</v>
      </c>
      <c r="O16" s="20">
        <v>13</v>
      </c>
      <c r="P16" s="20">
        <f>200+13</f>
        <v>213</v>
      </c>
      <c r="Q16" s="20">
        <f t="shared" si="3"/>
        <v>0</v>
      </c>
      <c r="R16" s="20">
        <v>203</v>
      </c>
      <c r="S16" s="20">
        <f>10+203</f>
        <v>213</v>
      </c>
      <c r="T16" s="20">
        <f t="shared" si="4"/>
        <v>0</v>
      </c>
      <c r="U16" s="20"/>
      <c r="V16" s="20"/>
      <c r="W16" s="20">
        <f t="shared" si="5"/>
        <v>-213</v>
      </c>
      <c r="X16" s="20"/>
      <c r="Y16" s="20"/>
      <c r="Z16" s="20">
        <f t="shared" si="6"/>
        <v>-213</v>
      </c>
      <c r="AA16" s="20"/>
      <c r="AB16" s="20"/>
      <c r="AC16" s="21">
        <f t="shared" si="7"/>
        <v>0</v>
      </c>
      <c r="AD16" s="263"/>
      <c r="AE16" s="263"/>
      <c r="AF16" s="268"/>
      <c r="AG16" s="263"/>
      <c r="AH16" s="261"/>
      <c r="AI16" s="263"/>
      <c r="AJ16" s="261"/>
      <c r="AK16" s="263"/>
      <c r="AL16" s="261"/>
      <c r="AM16" s="249"/>
      <c r="AN16" s="249"/>
      <c r="AO16" s="251"/>
    </row>
    <row r="17" spans="1:41" x14ac:dyDescent="0.25">
      <c r="A17" s="283"/>
      <c r="B17" s="279"/>
      <c r="C17" s="281"/>
      <c r="D17" s="20" t="s">
        <v>60</v>
      </c>
      <c r="E17" s="20">
        <v>350</v>
      </c>
      <c r="F17" s="20"/>
      <c r="G17" s="20">
        <f>237</f>
        <v>237</v>
      </c>
      <c r="H17" s="20">
        <f t="shared" si="0"/>
        <v>-113</v>
      </c>
      <c r="I17" s="20"/>
      <c r="J17" s="20">
        <f>237</f>
        <v>237</v>
      </c>
      <c r="K17" s="20">
        <f t="shared" si="1"/>
        <v>0</v>
      </c>
      <c r="L17" s="20"/>
      <c r="M17" s="20">
        <f>47+190</f>
        <v>237</v>
      </c>
      <c r="N17" s="20">
        <f t="shared" si="2"/>
        <v>0</v>
      </c>
      <c r="O17" s="20"/>
      <c r="P17" s="20">
        <f>237</f>
        <v>237</v>
      </c>
      <c r="Q17" s="20">
        <f t="shared" si="3"/>
        <v>0</v>
      </c>
      <c r="R17" s="20">
        <v>17</v>
      </c>
      <c r="S17" s="20">
        <f>220+17</f>
        <v>237</v>
      </c>
      <c r="T17" s="20">
        <f t="shared" si="4"/>
        <v>0</v>
      </c>
      <c r="U17" s="20"/>
      <c r="V17" s="20">
        <f>10</f>
        <v>10</v>
      </c>
      <c r="W17" s="20">
        <f t="shared" si="5"/>
        <v>-227</v>
      </c>
      <c r="X17" s="20"/>
      <c r="Y17" s="20"/>
      <c r="Z17" s="20">
        <f t="shared" si="6"/>
        <v>-237</v>
      </c>
      <c r="AA17" s="20"/>
      <c r="AB17" s="20"/>
      <c r="AC17" s="21">
        <f t="shared" si="7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" thickBot="1" x14ac:dyDescent="0.3">
      <c r="A18" s="283"/>
      <c r="B18" s="299"/>
      <c r="C18" s="281"/>
      <c r="D18" s="20" t="s">
        <v>61</v>
      </c>
      <c r="E18" s="20">
        <v>350</v>
      </c>
      <c r="F18" s="20">
        <v>1</v>
      </c>
      <c r="G18" s="20">
        <f>345+1</f>
        <v>346</v>
      </c>
      <c r="H18" s="20">
        <f t="shared" si="0"/>
        <v>-4</v>
      </c>
      <c r="I18" s="20">
        <v>1</v>
      </c>
      <c r="J18" s="20">
        <f>345+1</f>
        <v>346</v>
      </c>
      <c r="K18" s="20">
        <f t="shared" si="1"/>
        <v>0</v>
      </c>
      <c r="L18" s="20">
        <v>1</v>
      </c>
      <c r="M18" s="20">
        <f>72+273+1</f>
        <v>346</v>
      </c>
      <c r="N18" s="20">
        <f t="shared" si="2"/>
        <v>0</v>
      </c>
      <c r="O18" s="20">
        <v>274</v>
      </c>
      <c r="P18" s="20">
        <f>72+274</f>
        <v>346</v>
      </c>
      <c r="Q18" s="20">
        <f t="shared" si="3"/>
        <v>0</v>
      </c>
      <c r="R18" s="25">
        <v>6</v>
      </c>
      <c r="S18" s="25">
        <f>340+6</f>
        <v>346</v>
      </c>
      <c r="T18" s="25">
        <f t="shared" si="4"/>
        <v>0</v>
      </c>
      <c r="U18" s="25"/>
      <c r="V18" s="25">
        <f>10</f>
        <v>10</v>
      </c>
      <c r="W18" s="25">
        <f t="shared" si="5"/>
        <v>-336</v>
      </c>
      <c r="X18" s="20"/>
      <c r="Y18" s="20"/>
      <c r="Z18" s="20">
        <f t="shared" si="6"/>
        <v>-346</v>
      </c>
      <c r="AA18" s="20"/>
      <c r="AB18" s="20"/>
      <c r="AC18" s="21">
        <f t="shared" si="7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83"/>
      <c r="B19" s="272" t="s">
        <v>34</v>
      </c>
      <c r="C19" s="273"/>
      <c r="D19" s="274"/>
      <c r="E19" s="23">
        <f>+SUM(E6:E18)</f>
        <v>4962</v>
      </c>
      <c r="F19" s="23">
        <f>+SUM(F6:F18)</f>
        <v>1</v>
      </c>
      <c r="G19" s="23">
        <f>SUM(G6:G18)</f>
        <v>4399</v>
      </c>
      <c r="H19" s="23">
        <f t="shared" ref="H19:AC19" si="8">+SUM(H6:H18)</f>
        <v>-563</v>
      </c>
      <c r="I19" s="23">
        <f t="shared" si="8"/>
        <v>1</v>
      </c>
      <c r="J19" s="23">
        <f t="shared" si="8"/>
        <v>4399</v>
      </c>
      <c r="K19" s="23">
        <f t="shared" si="8"/>
        <v>0</v>
      </c>
      <c r="L19" s="23">
        <f t="shared" si="8"/>
        <v>2</v>
      </c>
      <c r="M19" s="23">
        <f t="shared" si="8"/>
        <v>4399</v>
      </c>
      <c r="N19" s="23">
        <f t="shared" si="8"/>
        <v>0</v>
      </c>
      <c r="O19" s="23">
        <f t="shared" si="8"/>
        <v>425</v>
      </c>
      <c r="P19" s="23">
        <f t="shared" si="8"/>
        <v>4385</v>
      </c>
      <c r="Q19" s="23">
        <f t="shared" si="8"/>
        <v>-14</v>
      </c>
      <c r="R19" s="24">
        <f t="shared" si="8"/>
        <v>310</v>
      </c>
      <c r="S19" s="24">
        <f t="shared" si="8"/>
        <v>4382</v>
      </c>
      <c r="T19" s="24">
        <f t="shared" si="8"/>
        <v>-3</v>
      </c>
      <c r="U19" s="24">
        <f t="shared" si="8"/>
        <v>86</v>
      </c>
      <c r="V19" s="24">
        <f t="shared" si="8"/>
        <v>3455</v>
      </c>
      <c r="W19" s="24">
        <f t="shared" si="8"/>
        <v>-927</v>
      </c>
      <c r="X19" s="23">
        <f t="shared" si="8"/>
        <v>260</v>
      </c>
      <c r="Y19" s="23">
        <f t="shared" si="8"/>
        <v>2405</v>
      </c>
      <c r="Z19" s="23">
        <f t="shared" si="8"/>
        <v>-1980</v>
      </c>
      <c r="AA19" s="23">
        <f t="shared" si="8"/>
        <v>260</v>
      </c>
      <c r="AB19" s="23">
        <f t="shared" si="8"/>
        <v>2405</v>
      </c>
      <c r="AC19" s="15">
        <f t="shared" si="8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.75" customHeight="1" x14ac:dyDescent="0.25">
      <c r="A20" s="283"/>
      <c r="B20" s="297" t="s">
        <v>62</v>
      </c>
      <c r="C20" s="280" t="s">
        <v>63</v>
      </c>
      <c r="D20" s="16" t="s">
        <v>33</v>
      </c>
      <c r="E20" s="204">
        <v>155</v>
      </c>
      <c r="F20" s="204"/>
      <c r="G20" s="204">
        <f>130+8</f>
        <v>138</v>
      </c>
      <c r="H20" s="204">
        <f t="shared" ref="H20:H26" si="9">G20-E20</f>
        <v>-17</v>
      </c>
      <c r="I20" s="204"/>
      <c r="J20" s="204">
        <f>100+30+8</f>
        <v>138</v>
      </c>
      <c r="K20" s="204">
        <f t="shared" ref="K20:K26" si="10">J20-G20</f>
        <v>0</v>
      </c>
      <c r="L20" s="204">
        <v>25</v>
      </c>
      <c r="M20" s="204">
        <f>25</f>
        <v>25</v>
      </c>
      <c r="N20" s="204">
        <f t="shared" ref="N20:N26" si="11">M20-J20</f>
        <v>-113</v>
      </c>
      <c r="O20" s="204">
        <v>10</v>
      </c>
      <c r="P20" s="119">
        <f>10</f>
        <v>10</v>
      </c>
      <c r="Q20" s="204">
        <f t="shared" ref="Q20:Q26" si="12">P20-M20</f>
        <v>-15</v>
      </c>
      <c r="R20" s="18"/>
      <c r="S20" s="18"/>
      <c r="T20" s="18">
        <f t="shared" ref="T20:T26" si="13">S20-P20</f>
        <v>-10</v>
      </c>
      <c r="U20" s="18"/>
      <c r="V20" s="18"/>
      <c r="W20" s="18">
        <f t="shared" ref="W20:W26" si="14">V20-S20</f>
        <v>0</v>
      </c>
      <c r="X20" s="204"/>
      <c r="Y20" s="204"/>
      <c r="Z20" s="204">
        <f t="shared" ref="Z20:Z26" si="15">Y20-P20</f>
        <v>-10</v>
      </c>
      <c r="AA20" s="204"/>
      <c r="AB20" s="204"/>
      <c r="AC20" s="19">
        <f t="shared" ref="AC20:AC26" si="16">AB20-Y20</f>
        <v>0</v>
      </c>
      <c r="AD20" s="267">
        <f>L27</f>
        <v>25</v>
      </c>
      <c r="AE20" s="267">
        <f>25</f>
        <v>25</v>
      </c>
      <c r="AF20" s="282">
        <v>38.121000000000002</v>
      </c>
      <c r="AG20" s="267">
        <v>22</v>
      </c>
      <c r="AH20" s="277">
        <f>5+5+5+10+10+10+22</f>
        <v>67</v>
      </c>
      <c r="AI20" s="267">
        <v>7</v>
      </c>
      <c r="AJ20" s="277">
        <f>2+2+2+4+6+7</f>
        <v>23</v>
      </c>
      <c r="AK20" s="267">
        <v>2</v>
      </c>
      <c r="AL20" s="277">
        <f>1+1+1+1+1+1+2</f>
        <v>8</v>
      </c>
      <c r="AM20" s="270">
        <f>L27*AF20/480/AG20</f>
        <v>9.0248579545454552E-2</v>
      </c>
      <c r="AN20" s="270">
        <f>M27*AF20/480/AH20</f>
        <v>2.963386194029851E-2</v>
      </c>
      <c r="AO20" s="271"/>
    </row>
    <row r="21" spans="1:41" x14ac:dyDescent="0.25">
      <c r="A21" s="283"/>
      <c r="B21" s="279"/>
      <c r="C21" s="281"/>
      <c r="D21" s="20" t="s">
        <v>64</v>
      </c>
      <c r="E21" s="20">
        <v>155</v>
      </c>
      <c r="F21" s="20"/>
      <c r="G21" s="20">
        <f>124+17</f>
        <v>141</v>
      </c>
      <c r="H21" s="20">
        <f t="shared" si="9"/>
        <v>-14</v>
      </c>
      <c r="I21" s="20"/>
      <c r="J21" s="20">
        <f>141</f>
        <v>141</v>
      </c>
      <c r="K21" s="20">
        <f t="shared" si="10"/>
        <v>0</v>
      </c>
      <c r="L21" s="20"/>
      <c r="M21" s="20"/>
      <c r="N21" s="20">
        <f t="shared" si="11"/>
        <v>-141</v>
      </c>
      <c r="O21" s="20"/>
      <c r="P21" s="20"/>
      <c r="Q21" s="20">
        <f t="shared" si="12"/>
        <v>0</v>
      </c>
      <c r="R21" s="20"/>
      <c r="S21" s="20"/>
      <c r="T21" s="20">
        <f t="shared" si="13"/>
        <v>0</v>
      </c>
      <c r="U21" s="20"/>
      <c r="V21" s="20"/>
      <c r="W21" s="20">
        <f t="shared" si="14"/>
        <v>0</v>
      </c>
      <c r="X21" s="20"/>
      <c r="Y21" s="20"/>
      <c r="Z21" s="20">
        <f t="shared" si="15"/>
        <v>0</v>
      </c>
      <c r="AA21" s="20"/>
      <c r="AB21" s="20"/>
      <c r="AC21" s="21">
        <f t="shared" si="16"/>
        <v>0</v>
      </c>
      <c r="AD21" s="263"/>
      <c r="AE21" s="263"/>
      <c r="AF21" s="268"/>
      <c r="AG21" s="263"/>
      <c r="AH21" s="261"/>
      <c r="AI21" s="263"/>
      <c r="AJ21" s="261"/>
      <c r="AK21" s="263"/>
      <c r="AL21" s="261"/>
      <c r="AM21" s="249"/>
      <c r="AN21" s="249"/>
      <c r="AO21" s="251"/>
    </row>
    <row r="22" spans="1:41" x14ac:dyDescent="0.25">
      <c r="A22" s="283"/>
      <c r="B22" s="279"/>
      <c r="C22" s="281"/>
      <c r="D22" s="20" t="s">
        <v>65</v>
      </c>
      <c r="E22" s="20">
        <v>155</v>
      </c>
      <c r="F22" s="20"/>
      <c r="G22" s="20">
        <f>116+9</f>
        <v>125</v>
      </c>
      <c r="H22" s="20">
        <f t="shared" si="9"/>
        <v>-30</v>
      </c>
      <c r="I22" s="20"/>
      <c r="J22" s="20">
        <f>116+9</f>
        <v>125</v>
      </c>
      <c r="K22" s="20">
        <f t="shared" si="10"/>
        <v>0</v>
      </c>
      <c r="L22" s="20"/>
      <c r="M22" s="20"/>
      <c r="N22" s="20">
        <f t="shared" si="11"/>
        <v>-125</v>
      </c>
      <c r="O22" s="20"/>
      <c r="P22" s="20"/>
      <c r="Q22" s="20">
        <f t="shared" si="12"/>
        <v>0</v>
      </c>
      <c r="R22" s="20"/>
      <c r="S22" s="20"/>
      <c r="T22" s="20">
        <f t="shared" si="13"/>
        <v>0</v>
      </c>
      <c r="U22" s="20"/>
      <c r="V22" s="20"/>
      <c r="W22" s="20">
        <f t="shared" si="14"/>
        <v>0</v>
      </c>
      <c r="X22" s="20"/>
      <c r="Y22" s="20"/>
      <c r="Z22" s="20">
        <f t="shared" si="15"/>
        <v>0</v>
      </c>
      <c r="AA22" s="20"/>
      <c r="AB22" s="20"/>
      <c r="AC22" s="21">
        <f t="shared" si="16"/>
        <v>0</v>
      </c>
      <c r="AD22" s="263"/>
      <c r="AE22" s="263"/>
      <c r="AF22" s="268"/>
      <c r="AG22" s="263"/>
      <c r="AH22" s="261"/>
      <c r="AI22" s="263"/>
      <c r="AJ22" s="261"/>
      <c r="AK22" s="263"/>
      <c r="AL22" s="261"/>
      <c r="AM22" s="249"/>
      <c r="AN22" s="249"/>
      <c r="AO22" s="251"/>
    </row>
    <row r="23" spans="1:41" x14ac:dyDescent="0.25">
      <c r="A23" s="283"/>
      <c r="B23" s="279"/>
      <c r="C23" s="281"/>
      <c r="D23" s="20" t="s">
        <v>66</v>
      </c>
      <c r="E23" s="20">
        <v>137</v>
      </c>
      <c r="F23" s="20"/>
      <c r="G23" s="20">
        <f>124+15</f>
        <v>139</v>
      </c>
      <c r="H23" s="20">
        <f t="shared" si="9"/>
        <v>2</v>
      </c>
      <c r="I23" s="20"/>
      <c r="J23" s="20">
        <f>124+15</f>
        <v>139</v>
      </c>
      <c r="K23" s="20">
        <f t="shared" si="10"/>
        <v>0</v>
      </c>
      <c r="L23" s="20"/>
      <c r="M23" s="20"/>
      <c r="N23" s="20">
        <f t="shared" si="11"/>
        <v>-139</v>
      </c>
      <c r="O23" s="20"/>
      <c r="P23" s="20"/>
      <c r="Q23" s="20">
        <f t="shared" si="12"/>
        <v>0</v>
      </c>
      <c r="R23" s="20"/>
      <c r="S23" s="20"/>
      <c r="T23" s="20">
        <f t="shared" si="13"/>
        <v>0</v>
      </c>
      <c r="U23" s="20"/>
      <c r="V23" s="20"/>
      <c r="W23" s="20">
        <f t="shared" si="14"/>
        <v>0</v>
      </c>
      <c r="X23" s="20"/>
      <c r="Y23" s="20"/>
      <c r="Z23" s="20">
        <f t="shared" si="15"/>
        <v>0</v>
      </c>
      <c r="AA23" s="20"/>
      <c r="AB23" s="20"/>
      <c r="AC23" s="21">
        <f t="shared" si="16"/>
        <v>0</v>
      </c>
      <c r="AD23" s="263"/>
      <c r="AE23" s="263"/>
      <c r="AF23" s="268"/>
      <c r="AG23" s="263"/>
      <c r="AH23" s="261"/>
      <c r="AI23" s="263"/>
      <c r="AJ23" s="261"/>
      <c r="AK23" s="263"/>
      <c r="AL23" s="261"/>
      <c r="AM23" s="249"/>
      <c r="AN23" s="249"/>
      <c r="AO23" s="251"/>
    </row>
    <row r="24" spans="1:41" x14ac:dyDescent="0.25">
      <c r="A24" s="283"/>
      <c r="B24" s="279"/>
      <c r="C24" s="281"/>
      <c r="D24" s="20" t="s">
        <v>67</v>
      </c>
      <c r="E24" s="20">
        <v>155</v>
      </c>
      <c r="F24" s="20"/>
      <c r="G24" s="20">
        <f>146+9</f>
        <v>155</v>
      </c>
      <c r="H24" s="20">
        <f t="shared" si="9"/>
        <v>0</v>
      </c>
      <c r="I24" s="20"/>
      <c r="J24" s="20">
        <f>155</f>
        <v>155</v>
      </c>
      <c r="K24" s="20">
        <f t="shared" si="10"/>
        <v>0</v>
      </c>
      <c r="L24" s="20"/>
      <c r="M24" s="20"/>
      <c r="N24" s="20">
        <f t="shared" si="11"/>
        <v>-155</v>
      </c>
      <c r="O24" s="20"/>
      <c r="P24" s="20"/>
      <c r="Q24" s="20">
        <f t="shared" si="12"/>
        <v>0</v>
      </c>
      <c r="R24" s="20"/>
      <c r="S24" s="20"/>
      <c r="T24" s="20">
        <f t="shared" si="13"/>
        <v>0</v>
      </c>
      <c r="U24" s="20"/>
      <c r="V24" s="20"/>
      <c r="W24" s="20">
        <f t="shared" si="14"/>
        <v>0</v>
      </c>
      <c r="X24" s="20"/>
      <c r="Y24" s="20"/>
      <c r="Z24" s="20">
        <f t="shared" si="15"/>
        <v>0</v>
      </c>
      <c r="AA24" s="20"/>
      <c r="AB24" s="20"/>
      <c r="AC24" s="21">
        <f t="shared" si="16"/>
        <v>0</v>
      </c>
      <c r="AD24" s="263"/>
      <c r="AE24" s="263"/>
      <c r="AF24" s="268"/>
      <c r="AG24" s="263"/>
      <c r="AH24" s="261"/>
      <c r="AI24" s="263"/>
      <c r="AJ24" s="261"/>
      <c r="AK24" s="263"/>
      <c r="AL24" s="261"/>
      <c r="AM24" s="249"/>
      <c r="AN24" s="249"/>
      <c r="AO24" s="251"/>
    </row>
    <row r="25" spans="1:41" x14ac:dyDescent="0.25">
      <c r="A25" s="283"/>
      <c r="B25" s="279"/>
      <c r="C25" s="281"/>
      <c r="D25" s="20" t="s">
        <v>68</v>
      </c>
      <c r="E25" s="20">
        <v>155</v>
      </c>
      <c r="F25" s="20"/>
      <c r="G25" s="20">
        <f>142</f>
        <v>142</v>
      </c>
      <c r="H25" s="20">
        <f t="shared" si="9"/>
        <v>-13</v>
      </c>
      <c r="I25" s="20"/>
      <c r="J25" s="20">
        <f>142</f>
        <v>142</v>
      </c>
      <c r="K25" s="20">
        <f t="shared" si="10"/>
        <v>0</v>
      </c>
      <c r="L25" s="20"/>
      <c r="M25" s="20"/>
      <c r="N25" s="20">
        <f t="shared" si="11"/>
        <v>-142</v>
      </c>
      <c r="O25" s="20"/>
      <c r="P25" s="20"/>
      <c r="Q25" s="20">
        <f t="shared" si="12"/>
        <v>0</v>
      </c>
      <c r="R25" s="20"/>
      <c r="S25" s="20"/>
      <c r="T25" s="20">
        <f t="shared" si="13"/>
        <v>0</v>
      </c>
      <c r="U25" s="20"/>
      <c r="V25" s="20"/>
      <c r="W25" s="20">
        <f t="shared" si="14"/>
        <v>0</v>
      </c>
      <c r="X25" s="20"/>
      <c r="Y25" s="20"/>
      <c r="Z25" s="20">
        <f t="shared" si="15"/>
        <v>0</v>
      </c>
      <c r="AA25" s="20"/>
      <c r="AB25" s="20"/>
      <c r="AC25" s="21">
        <f t="shared" si="16"/>
        <v>0</v>
      </c>
      <c r="AD25" s="263"/>
      <c r="AE25" s="263"/>
      <c r="AF25" s="268"/>
      <c r="AG25" s="263"/>
      <c r="AH25" s="261"/>
      <c r="AI25" s="263"/>
      <c r="AJ25" s="261"/>
      <c r="AK25" s="263"/>
      <c r="AL25" s="261"/>
      <c r="AM25" s="249"/>
      <c r="AN25" s="249"/>
      <c r="AO25" s="251"/>
    </row>
    <row r="26" spans="1:41" ht="18" thickBot="1" x14ac:dyDescent="0.3">
      <c r="A26" s="283"/>
      <c r="B26" s="298"/>
      <c r="C26" s="281"/>
      <c r="D26" s="20" t="s">
        <v>60</v>
      </c>
      <c r="E26" s="20">
        <v>125</v>
      </c>
      <c r="F26" s="20"/>
      <c r="G26" s="20">
        <f>116+9</f>
        <v>125</v>
      </c>
      <c r="H26" s="20">
        <f t="shared" si="9"/>
        <v>0</v>
      </c>
      <c r="I26" s="20"/>
      <c r="J26" s="20">
        <f>125</f>
        <v>125</v>
      </c>
      <c r="K26" s="20">
        <f t="shared" si="10"/>
        <v>0</v>
      </c>
      <c r="L26" s="20"/>
      <c r="M26" s="20"/>
      <c r="N26" s="20">
        <f t="shared" si="11"/>
        <v>-125</v>
      </c>
      <c r="O26" s="20"/>
      <c r="P26" s="20"/>
      <c r="Q26" s="20">
        <f t="shared" si="12"/>
        <v>0</v>
      </c>
      <c r="R26" s="22"/>
      <c r="S26" s="22"/>
      <c r="T26" s="22">
        <f t="shared" si="13"/>
        <v>0</v>
      </c>
      <c r="U26" s="22"/>
      <c r="V26" s="22"/>
      <c r="W26" s="22">
        <f t="shared" si="14"/>
        <v>0</v>
      </c>
      <c r="X26" s="20"/>
      <c r="Y26" s="20"/>
      <c r="Z26" s="20">
        <f t="shared" si="15"/>
        <v>0</v>
      </c>
      <c r="AA26" s="20"/>
      <c r="AB26" s="20"/>
      <c r="AC26" s="21">
        <f t="shared" si="16"/>
        <v>0</v>
      </c>
      <c r="AD26" s="263"/>
      <c r="AE26" s="263"/>
      <c r="AF26" s="268"/>
      <c r="AG26" s="263"/>
      <c r="AH26" s="261"/>
      <c r="AI26" s="263"/>
      <c r="AJ26" s="261"/>
      <c r="AK26" s="263"/>
      <c r="AL26" s="261"/>
      <c r="AM26" s="249"/>
      <c r="AN26" s="249"/>
      <c r="AO26" s="251"/>
    </row>
    <row r="27" spans="1:41" ht="18" thickBot="1" x14ac:dyDescent="0.3">
      <c r="A27" s="283"/>
      <c r="B27" s="272" t="s">
        <v>34</v>
      </c>
      <c r="C27" s="273"/>
      <c r="D27" s="274"/>
      <c r="E27" s="23">
        <f>+SUM(E20:E26)</f>
        <v>1037</v>
      </c>
      <c r="F27" s="23">
        <f>+SUM(F20:F26)</f>
        <v>0</v>
      </c>
      <c r="G27" s="23">
        <f>SUM(G20:G26)</f>
        <v>965</v>
      </c>
      <c r="H27" s="23">
        <f t="shared" ref="H27:AC27" si="17">+SUM(H20:H26)</f>
        <v>-72</v>
      </c>
      <c r="I27" s="23">
        <f t="shared" si="17"/>
        <v>0</v>
      </c>
      <c r="J27" s="23">
        <f t="shared" si="17"/>
        <v>965</v>
      </c>
      <c r="K27" s="23">
        <f t="shared" si="17"/>
        <v>0</v>
      </c>
      <c r="L27" s="23">
        <f t="shared" si="17"/>
        <v>25</v>
      </c>
      <c r="M27" s="23">
        <f t="shared" si="17"/>
        <v>25</v>
      </c>
      <c r="N27" s="23">
        <f t="shared" si="17"/>
        <v>-940</v>
      </c>
      <c r="O27" s="23">
        <f t="shared" si="17"/>
        <v>10</v>
      </c>
      <c r="P27" s="23">
        <f t="shared" si="17"/>
        <v>10</v>
      </c>
      <c r="Q27" s="23">
        <f t="shared" si="17"/>
        <v>-15</v>
      </c>
      <c r="R27" s="24">
        <f t="shared" si="17"/>
        <v>0</v>
      </c>
      <c r="S27" s="24">
        <f t="shared" si="17"/>
        <v>0</v>
      </c>
      <c r="T27" s="24">
        <f t="shared" si="17"/>
        <v>-10</v>
      </c>
      <c r="U27" s="24">
        <f t="shared" si="17"/>
        <v>0</v>
      </c>
      <c r="V27" s="24">
        <f t="shared" si="17"/>
        <v>0</v>
      </c>
      <c r="W27" s="24">
        <f t="shared" si="17"/>
        <v>0</v>
      </c>
      <c r="X27" s="23">
        <f t="shared" si="17"/>
        <v>0</v>
      </c>
      <c r="Y27" s="23">
        <f t="shared" si="17"/>
        <v>0</v>
      </c>
      <c r="Z27" s="23">
        <f t="shared" si="17"/>
        <v>-10</v>
      </c>
      <c r="AA27" s="23">
        <f t="shared" si="17"/>
        <v>0</v>
      </c>
      <c r="AB27" s="23">
        <f t="shared" si="17"/>
        <v>0</v>
      </c>
      <c r="AC27" s="15">
        <f t="shared" si="17"/>
        <v>0</v>
      </c>
      <c r="AD27" s="264"/>
      <c r="AE27" s="264"/>
      <c r="AF27" s="269"/>
      <c r="AG27" s="264"/>
      <c r="AH27" s="262"/>
      <c r="AI27" s="264"/>
      <c r="AJ27" s="262"/>
      <c r="AK27" s="264"/>
      <c r="AL27" s="262"/>
      <c r="AM27" s="250"/>
      <c r="AN27" s="250"/>
      <c r="AO27" s="252"/>
    </row>
    <row r="28" spans="1:41" ht="18" thickBot="1" x14ac:dyDescent="0.3">
      <c r="A28" s="284"/>
      <c r="B28" s="275" t="s">
        <v>40</v>
      </c>
      <c r="C28" s="275"/>
      <c r="D28" s="276"/>
      <c r="E28" s="26">
        <f>E19+E27</f>
        <v>5999</v>
      </c>
      <c r="F28" s="26">
        <f t="shared" ref="F28:AC28" si="18">F19+F27</f>
        <v>1</v>
      </c>
      <c r="G28" s="26">
        <f t="shared" si="18"/>
        <v>5364</v>
      </c>
      <c r="H28" s="26">
        <f t="shared" si="18"/>
        <v>-635</v>
      </c>
      <c r="I28" s="26">
        <f t="shared" si="18"/>
        <v>1</v>
      </c>
      <c r="J28" s="26">
        <f t="shared" si="18"/>
        <v>5364</v>
      </c>
      <c r="K28" s="26">
        <f t="shared" si="18"/>
        <v>0</v>
      </c>
      <c r="L28" s="26">
        <f t="shared" si="18"/>
        <v>27</v>
      </c>
      <c r="M28" s="26">
        <f t="shared" si="18"/>
        <v>4424</v>
      </c>
      <c r="N28" s="26">
        <f t="shared" si="18"/>
        <v>-940</v>
      </c>
      <c r="O28" s="26">
        <f t="shared" si="18"/>
        <v>435</v>
      </c>
      <c r="P28" s="26">
        <f t="shared" si="18"/>
        <v>4395</v>
      </c>
      <c r="Q28" s="26">
        <f t="shared" si="18"/>
        <v>-29</v>
      </c>
      <c r="R28" s="26">
        <f t="shared" si="18"/>
        <v>310</v>
      </c>
      <c r="S28" s="26">
        <f t="shared" si="18"/>
        <v>4382</v>
      </c>
      <c r="T28" s="26">
        <f t="shared" si="18"/>
        <v>-13</v>
      </c>
      <c r="U28" s="26">
        <f t="shared" si="18"/>
        <v>86</v>
      </c>
      <c r="V28" s="26">
        <f t="shared" si="18"/>
        <v>3455</v>
      </c>
      <c r="W28" s="26">
        <f t="shared" si="18"/>
        <v>-927</v>
      </c>
      <c r="X28" s="26">
        <f t="shared" si="18"/>
        <v>260</v>
      </c>
      <c r="Y28" s="26">
        <f t="shared" si="18"/>
        <v>2405</v>
      </c>
      <c r="Z28" s="26">
        <f t="shared" si="18"/>
        <v>-1990</v>
      </c>
      <c r="AA28" s="26">
        <f t="shared" si="18"/>
        <v>260</v>
      </c>
      <c r="AB28" s="26">
        <f t="shared" si="18"/>
        <v>2405</v>
      </c>
      <c r="AC28" s="26">
        <f t="shared" si="18"/>
        <v>0</v>
      </c>
      <c r="AD28" s="27">
        <f>SUM(AD6:AD27)</f>
        <v>27</v>
      </c>
      <c r="AE28" s="27">
        <f>SUM(AE6:AE27)</f>
        <v>4426</v>
      </c>
      <c r="AF28" s="27">
        <f>SUM(AF6:AF27)/2</f>
        <v>31.156500000000001</v>
      </c>
      <c r="AG28" s="27">
        <f t="shared" ref="AG28:AL28" si="19">SUM(AG6:AG27)</f>
        <v>22</v>
      </c>
      <c r="AH28" s="27">
        <f t="shared" si="19"/>
        <v>378</v>
      </c>
      <c r="AI28" s="27">
        <f t="shared" si="19"/>
        <v>7</v>
      </c>
      <c r="AJ28" s="27">
        <f t="shared" si="19"/>
        <v>182</v>
      </c>
      <c r="AK28" s="27">
        <f t="shared" si="19"/>
        <v>2</v>
      </c>
      <c r="AL28" s="27">
        <f t="shared" si="19"/>
        <v>28</v>
      </c>
      <c r="AM28" s="29">
        <f>L28*AF28/480/AG28</f>
        <v>7.9661505681818179E-2</v>
      </c>
      <c r="AN28" s="30">
        <f>M28*AF28/480/AH28</f>
        <v>0.7596800925925925</v>
      </c>
      <c r="AO28" s="31"/>
    </row>
    <row r="29" spans="1:41" ht="18.75" customHeight="1" x14ac:dyDescent="0.25">
      <c r="A29" s="265" t="s">
        <v>32</v>
      </c>
      <c r="B29" s="203" t="s">
        <v>41</v>
      </c>
      <c r="C29" s="300" t="s">
        <v>37</v>
      </c>
      <c r="D29" s="34" t="s">
        <v>42</v>
      </c>
      <c r="E29" s="204">
        <v>1645</v>
      </c>
      <c r="F29" s="204"/>
      <c r="G29" s="204">
        <f>1430</f>
        <v>1430</v>
      </c>
      <c r="H29" s="204">
        <f t="shared" ref="H29:H31" si="20">G29-E29</f>
        <v>-215</v>
      </c>
      <c r="I29" s="204"/>
      <c r="J29" s="204">
        <f>1430</f>
        <v>1430</v>
      </c>
      <c r="K29" s="204">
        <f t="shared" ref="K29:K31" si="21">J29-G29</f>
        <v>0</v>
      </c>
      <c r="L29" s="204"/>
      <c r="M29" s="204">
        <f>102+201+302+351-99-125-110+133+127+49+120+24+166+155+34</f>
        <v>1430</v>
      </c>
      <c r="N29" s="204">
        <f t="shared" ref="N29:N31" si="22">M29-J29</f>
        <v>0</v>
      </c>
      <c r="O29" s="204"/>
      <c r="P29" s="204">
        <f>1075+166+155+34</f>
        <v>1430</v>
      </c>
      <c r="Q29" s="204">
        <f t="shared" ref="Q29:Q31" si="23">P29-M29</f>
        <v>0</v>
      </c>
      <c r="R29" s="204"/>
      <c r="S29" s="204">
        <f>970+260+50+150</f>
        <v>1430</v>
      </c>
      <c r="T29" s="35">
        <f t="shared" ref="T29:T31" si="24">S29-P29</f>
        <v>0</v>
      </c>
      <c r="U29" s="204"/>
      <c r="V29" s="204">
        <f>970+310+150</f>
        <v>1430</v>
      </c>
      <c r="W29" s="35">
        <f t="shared" ref="W29:W31" si="25">V29-S29</f>
        <v>0</v>
      </c>
      <c r="X29" s="204"/>
      <c r="Y29" s="204">
        <f>860+80+15+140+90+100</f>
        <v>1285</v>
      </c>
      <c r="Z29" s="204">
        <f t="shared" ref="Z29:Z31" si="26">Y29-P29</f>
        <v>-145</v>
      </c>
      <c r="AA29" s="204"/>
      <c r="AB29" s="204">
        <f>860+80+15+140+90+100</f>
        <v>1285</v>
      </c>
      <c r="AC29" s="33">
        <f t="shared" ref="AC29:AC31" si="27">AB29-Y29</f>
        <v>0</v>
      </c>
      <c r="AD29" s="267">
        <f>L32</f>
        <v>0</v>
      </c>
      <c r="AE29" s="263">
        <f>300+98+344+213+289+412+355+358+438+80</f>
        <v>2887</v>
      </c>
      <c r="AF29" s="268">
        <v>33.130000000000003</v>
      </c>
      <c r="AG29" s="263">
        <v>1</v>
      </c>
      <c r="AH29" s="261">
        <f>2+10+8+8+8+6+6+6+9+5+6+8+7+7+6+6+6+6+6+6+7+7+7+7+6+7+17+16+16+22+21+21+10+20+20+13+10+10+10+11+13</f>
        <v>403</v>
      </c>
      <c r="AI29" s="263"/>
      <c r="AJ29" s="261">
        <f>1+1+1+1+1+1+1+2+2+2+2+2+2+2+2+2+2+1+1+1+1+1+1+1+1+4+3+4+5+8+8+6+7+6+6+6+7+7+7</f>
        <v>119</v>
      </c>
      <c r="AK29" s="263"/>
      <c r="AL29" s="261">
        <f>1+1+1+1+1+1+1+1+1+1+1+1+1+1+1+1+2+2+2+2+2+1+1+1+1+1</f>
        <v>31</v>
      </c>
      <c r="AM29" s="249">
        <f>L32*AF29/480/AG29</f>
        <v>0</v>
      </c>
      <c r="AN29" s="249">
        <f>M32*AF29/480/AH29</f>
        <v>0.65818129652605462</v>
      </c>
      <c r="AO29" s="251"/>
    </row>
    <row r="30" spans="1:41" ht="18.75" customHeight="1" x14ac:dyDescent="0.25">
      <c r="A30" s="265"/>
      <c r="B30" s="36" t="s">
        <v>43</v>
      </c>
      <c r="C30" s="301"/>
      <c r="D30" s="38" t="s">
        <v>44</v>
      </c>
      <c r="E30" s="20">
        <v>1245</v>
      </c>
      <c r="F30" s="20"/>
      <c r="G30" s="20">
        <f>1231</f>
        <v>1231</v>
      </c>
      <c r="H30" s="20">
        <f t="shared" si="20"/>
        <v>-14</v>
      </c>
      <c r="I30" s="20"/>
      <c r="J30" s="20">
        <f>1231</f>
        <v>1231</v>
      </c>
      <c r="K30" s="20">
        <f t="shared" si="21"/>
        <v>0</v>
      </c>
      <c r="L30" s="20"/>
      <c r="M30" s="20">
        <f>300+99+125+110+98+101+59+41+12+93+57+100+35</f>
        <v>1230</v>
      </c>
      <c r="N30" s="20">
        <f t="shared" si="22"/>
        <v>-1</v>
      </c>
      <c r="O30" s="20"/>
      <c r="P30" s="20">
        <f>1038+57+100+35</f>
        <v>1230</v>
      </c>
      <c r="Q30" s="20">
        <f t="shared" si="23"/>
        <v>0</v>
      </c>
      <c r="R30" s="20"/>
      <c r="S30" s="20">
        <f>930+160+50+90</f>
        <v>1230</v>
      </c>
      <c r="T30" s="39">
        <f t="shared" si="24"/>
        <v>0</v>
      </c>
      <c r="U30" s="20"/>
      <c r="V30" s="20">
        <f>910+230+90</f>
        <v>1230</v>
      </c>
      <c r="W30" s="39">
        <f t="shared" si="25"/>
        <v>0</v>
      </c>
      <c r="X30" s="20"/>
      <c r="Y30" s="20">
        <f>750+75+40+90+100+130</f>
        <v>1185</v>
      </c>
      <c r="Z30" s="20">
        <f t="shared" si="26"/>
        <v>-45</v>
      </c>
      <c r="AA30" s="20"/>
      <c r="AB30" s="20">
        <f>750+75+40+90+100+130</f>
        <v>1185</v>
      </c>
      <c r="AC30" s="37">
        <f t="shared" si="27"/>
        <v>0</v>
      </c>
      <c r="AD30" s="263"/>
      <c r="AE30" s="263"/>
      <c r="AF30" s="268"/>
      <c r="AG30" s="263"/>
      <c r="AH30" s="261"/>
      <c r="AI30" s="263"/>
      <c r="AJ30" s="261"/>
      <c r="AK30" s="263"/>
      <c r="AL30" s="261"/>
      <c r="AM30" s="249"/>
      <c r="AN30" s="249"/>
      <c r="AO30" s="251"/>
    </row>
    <row r="31" spans="1:41" ht="18.75" customHeight="1" thickBot="1" x14ac:dyDescent="0.3">
      <c r="A31" s="265"/>
      <c r="B31" s="207" t="s">
        <v>45</v>
      </c>
      <c r="C31" s="302"/>
      <c r="D31" s="42" t="s">
        <v>46</v>
      </c>
      <c r="E31" s="25">
        <v>1300</v>
      </c>
      <c r="F31" s="25"/>
      <c r="G31" s="25">
        <f>1183</f>
        <v>1183</v>
      </c>
      <c r="H31" s="25">
        <f t="shared" si="20"/>
        <v>-117</v>
      </c>
      <c r="I31" s="25"/>
      <c r="J31" s="25">
        <f>520+663</f>
        <v>1183</v>
      </c>
      <c r="K31" s="25">
        <f t="shared" si="21"/>
        <v>0</v>
      </c>
      <c r="L31" s="25"/>
      <c r="M31" s="25">
        <f>110+27+199+280+238+135+183+11</f>
        <v>1183</v>
      </c>
      <c r="N31" s="25">
        <f t="shared" si="22"/>
        <v>0</v>
      </c>
      <c r="O31" s="25"/>
      <c r="P31" s="25">
        <f>854+135+183+11</f>
        <v>1183</v>
      </c>
      <c r="Q31" s="25">
        <f t="shared" si="23"/>
        <v>0</v>
      </c>
      <c r="R31" s="25"/>
      <c r="S31" s="25">
        <f>530+420+150+83</f>
        <v>1183</v>
      </c>
      <c r="T31" s="43">
        <f t="shared" si="24"/>
        <v>0</v>
      </c>
      <c r="U31" s="25"/>
      <c r="V31" s="25">
        <f>130+400+420+150+83</f>
        <v>1183</v>
      </c>
      <c r="W31" s="43">
        <f t="shared" si="25"/>
        <v>0</v>
      </c>
      <c r="X31" s="25"/>
      <c r="Y31" s="25">
        <f>100+190+190+320+190+120</f>
        <v>1110</v>
      </c>
      <c r="Z31" s="25">
        <f t="shared" si="26"/>
        <v>-73</v>
      </c>
      <c r="AA31" s="25"/>
      <c r="AB31" s="25">
        <f>100+190+190+320+190+120</f>
        <v>1110</v>
      </c>
      <c r="AC31" s="44">
        <f t="shared" si="27"/>
        <v>0</v>
      </c>
      <c r="AD31" s="263"/>
      <c r="AE31" s="263"/>
      <c r="AF31" s="268"/>
      <c r="AG31" s="263"/>
      <c r="AH31" s="261"/>
      <c r="AI31" s="263"/>
      <c r="AJ31" s="261"/>
      <c r="AK31" s="263"/>
      <c r="AL31" s="261"/>
      <c r="AM31" s="249"/>
      <c r="AN31" s="249"/>
      <c r="AO31" s="251"/>
    </row>
    <row r="32" spans="1:41" ht="18" thickBot="1" x14ac:dyDescent="0.3">
      <c r="A32" s="265"/>
      <c r="B32" s="253" t="s">
        <v>34</v>
      </c>
      <c r="C32" s="254"/>
      <c r="D32" s="255"/>
      <c r="E32" s="24">
        <f>+SUM(E29:E31)</f>
        <v>4190</v>
      </c>
      <c r="F32" s="24">
        <f t="shared" ref="F32:AC32" si="28">+SUM(F29:F31)</f>
        <v>0</v>
      </c>
      <c r="G32" s="24">
        <f t="shared" si="28"/>
        <v>3844</v>
      </c>
      <c r="H32" s="24">
        <f t="shared" si="28"/>
        <v>-346</v>
      </c>
      <c r="I32" s="24">
        <f t="shared" si="28"/>
        <v>0</v>
      </c>
      <c r="J32" s="24">
        <f t="shared" si="28"/>
        <v>3844</v>
      </c>
      <c r="K32" s="24">
        <f t="shared" si="28"/>
        <v>0</v>
      </c>
      <c r="L32" s="24">
        <f t="shared" si="28"/>
        <v>0</v>
      </c>
      <c r="M32" s="24">
        <f t="shared" si="28"/>
        <v>3843</v>
      </c>
      <c r="N32" s="24">
        <f t="shared" si="28"/>
        <v>-1</v>
      </c>
      <c r="O32" s="24">
        <f t="shared" si="28"/>
        <v>0</v>
      </c>
      <c r="P32" s="24">
        <f t="shared" si="28"/>
        <v>3843</v>
      </c>
      <c r="Q32" s="24">
        <f t="shared" si="28"/>
        <v>0</v>
      </c>
      <c r="R32" s="24">
        <f t="shared" si="28"/>
        <v>0</v>
      </c>
      <c r="S32" s="24">
        <f t="shared" si="28"/>
        <v>3843</v>
      </c>
      <c r="T32" s="24">
        <f t="shared" si="28"/>
        <v>0</v>
      </c>
      <c r="U32" s="24">
        <f t="shared" si="28"/>
        <v>0</v>
      </c>
      <c r="V32" s="24">
        <f t="shared" si="28"/>
        <v>3843</v>
      </c>
      <c r="W32" s="24">
        <f t="shared" si="28"/>
        <v>0</v>
      </c>
      <c r="X32" s="24">
        <f t="shared" si="28"/>
        <v>0</v>
      </c>
      <c r="Y32" s="24">
        <f t="shared" si="28"/>
        <v>3580</v>
      </c>
      <c r="Z32" s="24">
        <f t="shared" si="28"/>
        <v>-263</v>
      </c>
      <c r="AA32" s="24">
        <f t="shared" si="28"/>
        <v>0</v>
      </c>
      <c r="AB32" s="24">
        <f t="shared" si="28"/>
        <v>3580</v>
      </c>
      <c r="AC32" s="24">
        <f t="shared" si="28"/>
        <v>0</v>
      </c>
      <c r="AD32" s="264"/>
      <c r="AE32" s="264"/>
      <c r="AF32" s="269"/>
      <c r="AG32" s="264"/>
      <c r="AH32" s="262"/>
      <c r="AI32" s="264"/>
      <c r="AJ32" s="262"/>
      <c r="AK32" s="264"/>
      <c r="AL32" s="262"/>
      <c r="AM32" s="250"/>
      <c r="AN32" s="250"/>
      <c r="AO32" s="252"/>
    </row>
    <row r="33" spans="1:41" ht="18" customHeight="1" thickBot="1" x14ac:dyDescent="0.3">
      <c r="A33" s="266"/>
      <c r="B33" s="256" t="s">
        <v>40</v>
      </c>
      <c r="C33" s="256"/>
      <c r="D33" s="257"/>
      <c r="E33" s="26">
        <f>E32</f>
        <v>4190</v>
      </c>
      <c r="F33" s="26">
        <f t="shared" ref="F33:AC33" si="29">F32</f>
        <v>0</v>
      </c>
      <c r="G33" s="26">
        <f t="shared" si="29"/>
        <v>3844</v>
      </c>
      <c r="H33" s="26">
        <f t="shared" si="29"/>
        <v>-346</v>
      </c>
      <c r="I33" s="26">
        <f t="shared" si="29"/>
        <v>0</v>
      </c>
      <c r="J33" s="26">
        <f t="shared" si="29"/>
        <v>3844</v>
      </c>
      <c r="K33" s="26">
        <f t="shared" si="29"/>
        <v>0</v>
      </c>
      <c r="L33" s="26">
        <f t="shared" si="29"/>
        <v>0</v>
      </c>
      <c r="M33" s="26">
        <f t="shared" si="29"/>
        <v>3843</v>
      </c>
      <c r="N33" s="26">
        <f t="shared" si="29"/>
        <v>-1</v>
      </c>
      <c r="O33" s="26">
        <f t="shared" si="29"/>
        <v>0</v>
      </c>
      <c r="P33" s="26">
        <f t="shared" si="29"/>
        <v>3843</v>
      </c>
      <c r="Q33" s="26">
        <f t="shared" si="29"/>
        <v>0</v>
      </c>
      <c r="R33" s="26">
        <f t="shared" si="29"/>
        <v>0</v>
      </c>
      <c r="S33" s="26">
        <f t="shared" si="29"/>
        <v>3843</v>
      </c>
      <c r="T33" s="26">
        <f t="shared" si="29"/>
        <v>0</v>
      </c>
      <c r="U33" s="26">
        <f t="shared" si="29"/>
        <v>0</v>
      </c>
      <c r="V33" s="26">
        <f t="shared" si="29"/>
        <v>3843</v>
      </c>
      <c r="W33" s="26">
        <f t="shared" si="29"/>
        <v>0</v>
      </c>
      <c r="X33" s="26">
        <f t="shared" si="29"/>
        <v>0</v>
      </c>
      <c r="Y33" s="26">
        <f t="shared" si="29"/>
        <v>3580</v>
      </c>
      <c r="Z33" s="26">
        <f t="shared" si="29"/>
        <v>-263</v>
      </c>
      <c r="AA33" s="26">
        <f t="shared" si="29"/>
        <v>0</v>
      </c>
      <c r="AB33" s="26">
        <f t="shared" si="29"/>
        <v>3580</v>
      </c>
      <c r="AC33" s="26">
        <f t="shared" si="29"/>
        <v>0</v>
      </c>
      <c r="AD33" s="45">
        <f t="shared" ref="AD33:AL33" si="30">SUM(AD29:AD32)</f>
        <v>0</v>
      </c>
      <c r="AE33" s="45">
        <f t="shared" si="30"/>
        <v>2887</v>
      </c>
      <c r="AF33" s="46">
        <f t="shared" si="30"/>
        <v>33.130000000000003</v>
      </c>
      <c r="AG33" s="45">
        <f t="shared" si="30"/>
        <v>1</v>
      </c>
      <c r="AH33" s="45">
        <f t="shared" si="30"/>
        <v>403</v>
      </c>
      <c r="AI33" s="45">
        <f t="shared" si="30"/>
        <v>0</v>
      </c>
      <c r="AJ33" s="45">
        <f t="shared" si="30"/>
        <v>119</v>
      </c>
      <c r="AK33" s="45">
        <f t="shared" si="30"/>
        <v>0</v>
      </c>
      <c r="AL33" s="45">
        <f t="shared" si="30"/>
        <v>31</v>
      </c>
      <c r="AM33" s="47">
        <f>L33*AF33/480/AG33</f>
        <v>0</v>
      </c>
      <c r="AN33" s="48">
        <f>M33*AF33/480/AH33</f>
        <v>0.65818129652605462</v>
      </c>
      <c r="AO33" s="49"/>
    </row>
    <row r="34" spans="1:41" s="60" customFormat="1" ht="15.75" thickBot="1" x14ac:dyDescent="0.3">
      <c r="A34" s="50"/>
      <c r="B34" s="51"/>
      <c r="C34" s="51"/>
      <c r="D34" s="51"/>
      <c r="E34" s="51"/>
      <c r="F34" s="52"/>
      <c r="G34" s="51"/>
      <c r="H34" s="51"/>
      <c r="I34" s="201"/>
      <c r="J34" s="54"/>
      <c r="K34" s="51"/>
      <c r="L34" s="55"/>
      <c r="M34" s="51"/>
      <c r="N34" s="51"/>
      <c r="O34" s="56"/>
      <c r="P34" s="51"/>
      <c r="Q34" s="51"/>
      <c r="R34" s="55"/>
      <c r="S34" s="51"/>
      <c r="T34" s="51"/>
      <c r="U34" s="55"/>
      <c r="V34" s="51"/>
      <c r="W34" s="51"/>
      <c r="X34" s="55"/>
      <c r="Y34" s="51"/>
      <c r="Z34" s="51"/>
      <c r="AA34" s="55"/>
      <c r="AB34" s="51"/>
      <c r="AC34" s="51"/>
      <c r="AD34" s="200"/>
      <c r="AE34" s="58"/>
      <c r="AF34" s="51"/>
      <c r="AG34" s="200"/>
      <c r="AH34" s="58"/>
      <c r="AI34" s="200"/>
      <c r="AJ34" s="58"/>
      <c r="AK34" s="200"/>
      <c r="AL34" s="58"/>
      <c r="AM34" s="200"/>
      <c r="AN34" s="55"/>
      <c r="AO34" s="59"/>
    </row>
    <row r="35" spans="1:41" s="60" customFormat="1" ht="15.75" thickBot="1" x14ac:dyDescent="0.3">
      <c r="A35" s="258" t="s">
        <v>47</v>
      </c>
      <c r="B35" s="259"/>
      <c r="C35" s="259"/>
      <c r="D35" s="259"/>
      <c r="E35" s="260"/>
      <c r="F35" s="63">
        <f>F33+F28</f>
        <v>1</v>
      </c>
      <c r="G35" s="64"/>
      <c r="H35" s="64"/>
      <c r="I35" s="63">
        <f>I33+I28</f>
        <v>1</v>
      </c>
      <c r="J35" s="64"/>
      <c r="K35" s="65">
        <f>K33+K28</f>
        <v>0</v>
      </c>
      <c r="L35" s="66">
        <f>L33+L28</f>
        <v>27</v>
      </c>
      <c r="M35" s="64"/>
      <c r="N35" s="65">
        <f>N33+N28</f>
        <v>-941</v>
      </c>
      <c r="O35" s="66">
        <f>O33+O28</f>
        <v>435</v>
      </c>
      <c r="P35" s="64"/>
      <c r="Q35" s="65">
        <f>Q33+Q28</f>
        <v>-29</v>
      </c>
      <c r="R35" s="66">
        <f>R33+R28</f>
        <v>310</v>
      </c>
      <c r="S35" s="64"/>
      <c r="T35" s="65">
        <f>T33+T28</f>
        <v>-13</v>
      </c>
      <c r="U35" s="66">
        <f>U33+U28</f>
        <v>86</v>
      </c>
      <c r="V35" s="64"/>
      <c r="W35" s="65">
        <f>W33+W28</f>
        <v>-927</v>
      </c>
      <c r="X35" s="66">
        <f>X33+X28</f>
        <v>260</v>
      </c>
      <c r="Y35" s="64"/>
      <c r="Z35" s="65">
        <f>Z33+Z28</f>
        <v>-2253</v>
      </c>
      <c r="AA35" s="66">
        <f>AA33+AA28</f>
        <v>260</v>
      </c>
      <c r="AB35" s="64"/>
      <c r="AC35" s="65">
        <f>AC33+AC28</f>
        <v>0</v>
      </c>
      <c r="AD35" s="67">
        <f>AD33+AD28</f>
        <v>27</v>
      </c>
      <c r="AE35" s="65">
        <f>AE33+AE28</f>
        <v>7313</v>
      </c>
      <c r="AF35" s="64"/>
      <c r="AG35" s="63">
        <f>AG33+AG28</f>
        <v>23</v>
      </c>
      <c r="AH35" s="68"/>
      <c r="AI35" s="63">
        <f>AI33+AI28</f>
        <v>7</v>
      </c>
      <c r="AJ35" s="68"/>
      <c r="AK35" s="63">
        <f>AK33+AK28</f>
        <v>2</v>
      </c>
      <c r="AL35" s="68"/>
      <c r="AM35" s="69">
        <f>SUM(AM33+AM28)/2</f>
        <v>3.9830752840909089E-2</v>
      </c>
      <c r="AN35" s="69">
        <f>SUM(AN33+AN28)/2</f>
        <v>0.70893069455932356</v>
      </c>
      <c r="AO35" s="70"/>
    </row>
    <row r="36" spans="1:41" s="60" customFormat="1" ht="15" x14ac:dyDescent="0.25">
      <c r="O36" s="71"/>
    </row>
    <row r="37" spans="1:41" s="60" customFormat="1" ht="15" x14ac:dyDescent="0.25">
      <c r="O37" s="71"/>
      <c r="W37" s="60" t="s">
        <v>5</v>
      </c>
      <c r="Z37" s="60" t="s">
        <v>5</v>
      </c>
      <c r="AC37" s="60" t="s">
        <v>5</v>
      </c>
    </row>
  </sheetData>
  <mergeCells count="75"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  <mergeCell ref="AM4:AN4"/>
    <mergeCell ref="AO4:AO5"/>
    <mergeCell ref="A6:A28"/>
    <mergeCell ref="B6:B9"/>
    <mergeCell ref="C6:C18"/>
    <mergeCell ref="AD6:AD19"/>
    <mergeCell ref="AE6:AE19"/>
    <mergeCell ref="AF6:AF19"/>
    <mergeCell ref="AG6:AG19"/>
    <mergeCell ref="AH6:AH19"/>
    <mergeCell ref="X4:Z4"/>
    <mergeCell ref="AA4:AC4"/>
    <mergeCell ref="AD4:AE4"/>
    <mergeCell ref="AG4:AH4"/>
    <mergeCell ref="AI4:AJ4"/>
    <mergeCell ref="AK4:AL4"/>
    <mergeCell ref="AO6:AO19"/>
    <mergeCell ref="B10:B13"/>
    <mergeCell ref="B14:B18"/>
    <mergeCell ref="B19:D19"/>
    <mergeCell ref="B20:B26"/>
    <mergeCell ref="C20:C26"/>
    <mergeCell ref="AD20:AD27"/>
    <mergeCell ref="AE20:AE27"/>
    <mergeCell ref="AF20:AF27"/>
    <mergeCell ref="AG20:AG27"/>
    <mergeCell ref="AI6:AI19"/>
    <mergeCell ref="AJ6:AJ19"/>
    <mergeCell ref="AK6:AK19"/>
    <mergeCell ref="AL6:AL19"/>
    <mergeCell ref="AM6:AM19"/>
    <mergeCell ref="AN6:AN19"/>
    <mergeCell ref="AN20:AN27"/>
    <mergeCell ref="AO20:AO27"/>
    <mergeCell ref="B27:D27"/>
    <mergeCell ref="B28:D28"/>
    <mergeCell ref="A29:A33"/>
    <mergeCell ref="C29:C31"/>
    <mergeCell ref="AD29:AD32"/>
    <mergeCell ref="AE29:AE32"/>
    <mergeCell ref="AF29:AF32"/>
    <mergeCell ref="AG29:AG32"/>
    <mergeCell ref="AH20:AH27"/>
    <mergeCell ref="AI20:AI27"/>
    <mergeCell ref="AJ20:AJ27"/>
    <mergeCell ref="AK20:AK27"/>
    <mergeCell ref="AL20:AL27"/>
    <mergeCell ref="AM20:AM27"/>
    <mergeCell ref="AN29:AN32"/>
    <mergeCell ref="AO29:AO32"/>
    <mergeCell ref="B32:D32"/>
    <mergeCell ref="B33:D33"/>
    <mergeCell ref="A35:E35"/>
    <mergeCell ref="AH29:AH32"/>
    <mergeCell ref="AI29:AI32"/>
    <mergeCell ref="AJ29:AJ32"/>
    <mergeCell ref="AK29:AK32"/>
    <mergeCell ref="AL29:AL32"/>
    <mergeCell ref="AM29:AM32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35" max="55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3" sqref="C3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5.7109375" style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6.14062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6.140625" style="1" bestFit="1" customWidth="1"/>
    <col min="18" max="18" width="7.85546875" style="1" customWidth="1"/>
    <col min="19" max="19" width="8.85546875" style="1" customWidth="1"/>
    <col min="20" max="20" width="7.42578125" style="1" bestFit="1" customWidth="1"/>
    <col min="21" max="21" width="8.42578125" style="1" customWidth="1"/>
    <col min="22" max="22" width="7.85546875" style="1" customWidth="1"/>
    <col min="23" max="23" width="7.425781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45377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52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210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208" t="s">
        <v>26</v>
      </c>
      <c r="G5" s="9" t="s">
        <v>27</v>
      </c>
      <c r="H5" s="10" t="s">
        <v>28</v>
      </c>
      <c r="I5" s="210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209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210" t="s">
        <v>26</v>
      </c>
      <c r="AE5" s="9" t="s">
        <v>27</v>
      </c>
      <c r="AF5" s="208" t="s">
        <v>26</v>
      </c>
      <c r="AG5" s="208" t="s">
        <v>26</v>
      </c>
      <c r="AH5" s="9" t="s">
        <v>27</v>
      </c>
      <c r="AI5" s="208" t="s">
        <v>26</v>
      </c>
      <c r="AJ5" s="15" t="s">
        <v>27</v>
      </c>
      <c r="AK5" s="208" t="s">
        <v>26</v>
      </c>
      <c r="AL5" s="9" t="s">
        <v>27</v>
      </c>
      <c r="AM5" s="210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212">
        <v>680</v>
      </c>
      <c r="F6" s="212"/>
      <c r="G6" s="212">
        <f>680</f>
        <v>680</v>
      </c>
      <c r="H6" s="212">
        <f t="shared" ref="H6:H18" si="0">G6-E6</f>
        <v>0</v>
      </c>
      <c r="I6" s="212"/>
      <c r="J6" s="212">
        <f>428+252</f>
        <v>680</v>
      </c>
      <c r="K6" s="212">
        <f t="shared" ref="K6:K18" si="1">J6-G6</f>
        <v>0</v>
      </c>
      <c r="L6" s="212"/>
      <c r="M6" s="212">
        <f>62+144+4+9+26+75+226+36+4+6+7+45+26+10</f>
        <v>680</v>
      </c>
      <c r="N6" s="212">
        <f t="shared" ref="N6:N18" si="2">M6-J6</f>
        <v>0</v>
      </c>
      <c r="O6" s="212"/>
      <c r="P6" s="119">
        <f>546+36+4+6+7+45+26+9</f>
        <v>679</v>
      </c>
      <c r="Q6" s="212">
        <f t="shared" ref="Q6:Q18" si="3">P6-M6</f>
        <v>-1</v>
      </c>
      <c r="R6" s="18"/>
      <c r="S6" s="18">
        <f>210+330+40+12+83+4</f>
        <v>679</v>
      </c>
      <c r="T6" s="18">
        <f t="shared" ref="T6:T18" si="4">S6-P6</f>
        <v>0</v>
      </c>
      <c r="U6" s="18">
        <v>5</v>
      </c>
      <c r="V6" s="18">
        <f>200+340+40+62+32+5</f>
        <v>679</v>
      </c>
      <c r="W6" s="18">
        <f t="shared" ref="W6:W18" si="5">V6-S6</f>
        <v>0</v>
      </c>
      <c r="X6" s="212">
        <v>30</v>
      </c>
      <c r="Y6" s="212">
        <f>175+10+40+350+50+30</f>
        <v>655</v>
      </c>
      <c r="Z6" s="212">
        <f t="shared" ref="Z6:Z18" si="6">Y6-P6</f>
        <v>-24</v>
      </c>
      <c r="AA6" s="212">
        <v>30</v>
      </c>
      <c r="AB6" s="212">
        <f>175+10+40+350+50+30</f>
        <v>655</v>
      </c>
      <c r="AC6" s="19">
        <f t="shared" ref="AC6:AC18" si="7">AB6-Y6</f>
        <v>0</v>
      </c>
      <c r="AD6" s="267">
        <f>L19</f>
        <v>0</v>
      </c>
      <c r="AE6" s="267">
        <f>62+144+4+20+190+196+47+175+261+297+182+288+308+374+343+307+397+362+442+2</f>
        <v>4401</v>
      </c>
      <c r="AF6" s="282">
        <v>24.192</v>
      </c>
      <c r="AG6" s="267"/>
      <c r="AH6" s="277">
        <f>6+8+6+10+10+10+20+6+22+13+22+8+10+9+11+13+26+20+20+20+15+13+13</f>
        <v>311</v>
      </c>
      <c r="AI6" s="267"/>
      <c r="AJ6" s="277">
        <f>1+2+2+2+3+3+5+4+5+5+11+11+7+7+7+7+14+12+12+12+10+9+8</f>
        <v>159</v>
      </c>
      <c r="AK6" s="267"/>
      <c r="AL6" s="277">
        <f>1+1+1+1+1+1+1+1+1+1+1+1+2+1+1+1+1+1+1</f>
        <v>20</v>
      </c>
      <c r="AM6" s="270" t="e">
        <f>L19*AF6/480/AG6</f>
        <v>#DIV/0!</v>
      </c>
      <c r="AN6" s="270">
        <f>M19*AF6/480/AH6</f>
        <v>0.71289260450160774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/>
      <c r="M7" s="20">
        <f>20+117+9+13+48+110+29+97+43+5+27+50+14+17</f>
        <v>599</v>
      </c>
      <c r="N7" s="20">
        <f t="shared" si="2"/>
        <v>0</v>
      </c>
      <c r="O7" s="20"/>
      <c r="P7" s="20">
        <f>292+29+122+43+5+27+64+11</f>
        <v>593</v>
      </c>
      <c r="Q7" s="20">
        <f t="shared" si="3"/>
        <v>-6</v>
      </c>
      <c r="R7" s="20"/>
      <c r="S7" s="20">
        <f>160+140+90+90+11+96+6</f>
        <v>593</v>
      </c>
      <c r="T7" s="20">
        <f t="shared" si="4"/>
        <v>0</v>
      </c>
      <c r="U7" s="20">
        <v>12</v>
      </c>
      <c r="V7" s="20">
        <f>150+240+90+61+40+12</f>
        <v>593</v>
      </c>
      <c r="W7" s="20">
        <f t="shared" si="5"/>
        <v>0</v>
      </c>
      <c r="X7" s="20"/>
      <c r="Y7" s="20">
        <f>480+70</f>
        <v>550</v>
      </c>
      <c r="Z7" s="20">
        <f t="shared" si="6"/>
        <v>-43</v>
      </c>
      <c r="AA7" s="20"/>
      <c r="AB7" s="20">
        <f>480+70</f>
        <v>550</v>
      </c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/>
      <c r="M8" s="20">
        <f>73+187+25+59+76+42+58+4+3+5+31+100-14+28</f>
        <v>677</v>
      </c>
      <c r="N8" s="20">
        <f t="shared" si="2"/>
        <v>0</v>
      </c>
      <c r="O8" s="20"/>
      <c r="P8" s="20">
        <f>420+42+58+4+3+5+31+86+24</f>
        <v>673</v>
      </c>
      <c r="Q8" s="20">
        <f t="shared" si="3"/>
        <v>-4</v>
      </c>
      <c r="R8" s="20"/>
      <c r="S8" s="20">
        <f>250+150+50+50+25+141+7</f>
        <v>673</v>
      </c>
      <c r="T8" s="20">
        <f t="shared" si="4"/>
        <v>0</v>
      </c>
      <c r="U8" s="20">
        <v>24</v>
      </c>
      <c r="V8" s="20">
        <f>250+200+50+135+14+24</f>
        <v>673</v>
      </c>
      <c r="W8" s="20">
        <f t="shared" si="5"/>
        <v>0</v>
      </c>
      <c r="X8" s="20">
        <v>40</v>
      </c>
      <c r="Y8" s="20">
        <f>180+45+80+130+75+100+40</f>
        <v>650</v>
      </c>
      <c r="Z8" s="20">
        <f t="shared" si="6"/>
        <v>-23</v>
      </c>
      <c r="AA8" s="20">
        <v>40</v>
      </c>
      <c r="AB8" s="20">
        <f>180+45+80+130+75+100+40</f>
        <v>650</v>
      </c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>
        <f>42+27+5+5+19+8</f>
        <v>106</v>
      </c>
      <c r="N9" s="20">
        <f t="shared" si="2"/>
        <v>0</v>
      </c>
      <c r="O9" s="20"/>
      <c r="P9" s="20">
        <f>42+27+5+5+19+5+3</f>
        <v>106</v>
      </c>
      <c r="Q9" s="20">
        <f t="shared" si="3"/>
        <v>0</v>
      </c>
      <c r="R9" s="20"/>
      <c r="S9" s="20">
        <f>10+14+79</f>
        <v>103</v>
      </c>
      <c r="T9" s="20">
        <f t="shared" si="4"/>
        <v>-3</v>
      </c>
      <c r="U9" s="20">
        <v>29</v>
      </c>
      <c r="V9" s="20">
        <f>74+29</f>
        <v>103</v>
      </c>
      <c r="W9" s="20">
        <f t="shared" si="5"/>
        <v>0</v>
      </c>
      <c r="X9" s="20">
        <v>95</v>
      </c>
      <c r="Y9" s="20">
        <f>95</f>
        <v>95</v>
      </c>
      <c r="Z9" s="20">
        <f t="shared" si="6"/>
        <v>-11</v>
      </c>
      <c r="AA9" s="20">
        <v>95</v>
      </c>
      <c r="AB9" s="20">
        <f>95</f>
        <v>95</v>
      </c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303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/>
      <c r="M10" s="20">
        <f>37+134+20+12+19+1</f>
        <v>223</v>
      </c>
      <c r="N10" s="20">
        <f t="shared" si="2"/>
        <v>0</v>
      </c>
      <c r="O10" s="20"/>
      <c r="P10" s="20">
        <f>37+134+20+12+19+1</f>
        <v>223</v>
      </c>
      <c r="Q10" s="20">
        <f t="shared" si="3"/>
        <v>0</v>
      </c>
      <c r="R10" s="20"/>
      <c r="S10" s="20">
        <f>170+20+32+1</f>
        <v>223</v>
      </c>
      <c r="T10" s="20">
        <f t="shared" si="4"/>
        <v>0</v>
      </c>
      <c r="U10" s="20"/>
      <c r="V10" s="20">
        <f>160+62</f>
        <v>222</v>
      </c>
      <c r="W10" s="20">
        <f t="shared" si="5"/>
        <v>-1</v>
      </c>
      <c r="X10" s="20">
        <v>15</v>
      </c>
      <c r="Y10" s="20">
        <f>180+20+15</f>
        <v>215</v>
      </c>
      <c r="Z10" s="20">
        <f t="shared" si="6"/>
        <v>-8</v>
      </c>
      <c r="AA10" s="20">
        <v>15</v>
      </c>
      <c r="AB10" s="20">
        <f>180+20+15</f>
        <v>215</v>
      </c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>
        <f>172+55</f>
        <v>227</v>
      </c>
      <c r="N11" s="20">
        <f t="shared" si="2"/>
        <v>0</v>
      </c>
      <c r="O11" s="20"/>
      <c r="P11" s="20">
        <f>172+55</f>
        <v>227</v>
      </c>
      <c r="Q11" s="20">
        <f t="shared" si="3"/>
        <v>0</v>
      </c>
      <c r="R11" s="20"/>
      <c r="S11" s="20">
        <f>160+60+7</f>
        <v>227</v>
      </c>
      <c r="T11" s="20">
        <f t="shared" si="4"/>
        <v>0</v>
      </c>
      <c r="U11" s="20"/>
      <c r="V11" s="20">
        <f>10+210+7</f>
        <v>227</v>
      </c>
      <c r="W11" s="20">
        <f t="shared" si="5"/>
        <v>0</v>
      </c>
      <c r="X11" s="20">
        <v>20</v>
      </c>
      <c r="Y11" s="20">
        <f>200+20</f>
        <v>220</v>
      </c>
      <c r="Z11" s="20">
        <f t="shared" si="6"/>
        <v>-7</v>
      </c>
      <c r="AA11" s="20">
        <v>20</v>
      </c>
      <c r="AB11" s="20">
        <f>200+20</f>
        <v>220</v>
      </c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/>
      <c r="M12" s="20">
        <f>156+20+12+52+2</f>
        <v>242</v>
      </c>
      <c r="N12" s="20">
        <f t="shared" si="2"/>
        <v>0</v>
      </c>
      <c r="O12" s="20"/>
      <c r="P12" s="20">
        <f>156+20+12+52</f>
        <v>240</v>
      </c>
      <c r="Q12" s="20">
        <f t="shared" si="3"/>
        <v>-2</v>
      </c>
      <c r="R12" s="20"/>
      <c r="S12" s="20">
        <f>10+171+59</f>
        <v>240</v>
      </c>
      <c r="T12" s="20">
        <f t="shared" si="4"/>
        <v>0</v>
      </c>
      <c r="U12" s="20"/>
      <c r="V12" s="20">
        <f>170+70</f>
        <v>240</v>
      </c>
      <c r="W12" s="20">
        <f t="shared" si="5"/>
        <v>0</v>
      </c>
      <c r="X12" s="20">
        <v>30</v>
      </c>
      <c r="Y12" s="20">
        <f>180+20+30</f>
        <v>230</v>
      </c>
      <c r="Z12" s="20">
        <f t="shared" si="6"/>
        <v>-10</v>
      </c>
      <c r="AA12" s="20">
        <v>30</v>
      </c>
      <c r="AB12" s="20">
        <f>180+20+30</f>
        <v>230</v>
      </c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x14ac:dyDescent="0.25">
      <c r="A13" s="283"/>
      <c r="B13" s="298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/>
      <c r="M13" s="20">
        <f>10+108+4+4+24+21</f>
        <v>171</v>
      </c>
      <c r="N13" s="20">
        <f t="shared" si="2"/>
        <v>0</v>
      </c>
      <c r="O13" s="20"/>
      <c r="P13" s="20">
        <f>10+108+4+4+24+20</f>
        <v>170</v>
      </c>
      <c r="Q13" s="20">
        <f t="shared" si="3"/>
        <v>-1</v>
      </c>
      <c r="R13" s="20"/>
      <c r="S13" s="20">
        <f>10+154+6</f>
        <v>170</v>
      </c>
      <c r="T13" s="20">
        <f t="shared" si="4"/>
        <v>0</v>
      </c>
      <c r="U13" s="20">
        <v>20</v>
      </c>
      <c r="V13" s="20">
        <f>10+140+20</f>
        <v>170</v>
      </c>
      <c r="W13" s="20">
        <f t="shared" si="5"/>
        <v>0</v>
      </c>
      <c r="X13" s="20">
        <v>150</v>
      </c>
      <c r="Y13" s="20">
        <f>20+150</f>
        <v>170</v>
      </c>
      <c r="Z13" s="20">
        <f t="shared" si="6"/>
        <v>0</v>
      </c>
      <c r="AA13" s="20">
        <v>150</v>
      </c>
      <c r="AB13" s="20">
        <f>20+150</f>
        <v>170</v>
      </c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x14ac:dyDescent="0.25">
      <c r="A14" s="283"/>
      <c r="B14" s="279" t="s">
        <v>57</v>
      </c>
      <c r="C14" s="281"/>
      <c r="D14" s="20" t="s">
        <v>58</v>
      </c>
      <c r="E14" s="20">
        <v>350</v>
      </c>
      <c r="F14" s="20"/>
      <c r="G14" s="20">
        <f>328</f>
        <v>328</v>
      </c>
      <c r="H14" s="20">
        <f t="shared" si="0"/>
        <v>-22</v>
      </c>
      <c r="I14" s="20"/>
      <c r="J14" s="20">
        <f>328</f>
        <v>328</v>
      </c>
      <c r="K14" s="20">
        <f t="shared" si="1"/>
        <v>0</v>
      </c>
      <c r="L14" s="20"/>
      <c r="M14" s="20">
        <f>151+134+2+41</f>
        <v>328</v>
      </c>
      <c r="N14" s="20">
        <f t="shared" si="2"/>
        <v>0</v>
      </c>
      <c r="O14" s="20"/>
      <c r="P14" s="20">
        <f>151+134+2+41</f>
        <v>328</v>
      </c>
      <c r="Q14" s="20">
        <f t="shared" si="3"/>
        <v>0</v>
      </c>
      <c r="R14" s="18"/>
      <c r="S14" s="18">
        <f>280+48</f>
        <v>328</v>
      </c>
      <c r="T14" s="18">
        <f t="shared" si="4"/>
        <v>0</v>
      </c>
      <c r="U14" s="18">
        <v>48</v>
      </c>
      <c r="V14" s="18">
        <f>280+48</f>
        <v>328</v>
      </c>
      <c r="W14" s="18">
        <f t="shared" si="5"/>
        <v>0</v>
      </c>
      <c r="X14" s="20"/>
      <c r="Y14" s="20"/>
      <c r="Z14" s="20">
        <f t="shared" si="6"/>
        <v>-328</v>
      </c>
      <c r="AA14" s="20"/>
      <c r="AB14" s="20"/>
      <c r="AC14" s="21">
        <f t="shared" si="7"/>
        <v>0</v>
      </c>
      <c r="AD14" s="263"/>
      <c r="AE14" s="263"/>
      <c r="AF14" s="268"/>
      <c r="AG14" s="263"/>
      <c r="AH14" s="261"/>
      <c r="AI14" s="263"/>
      <c r="AJ14" s="261"/>
      <c r="AK14" s="263"/>
      <c r="AL14" s="261"/>
      <c r="AM14" s="249"/>
      <c r="AN14" s="249"/>
      <c r="AO14" s="251"/>
    </row>
    <row r="15" spans="1:41" x14ac:dyDescent="0.25">
      <c r="A15" s="283"/>
      <c r="B15" s="279"/>
      <c r="C15" s="281"/>
      <c r="D15" s="20" t="s">
        <v>33</v>
      </c>
      <c r="E15" s="20">
        <v>375</v>
      </c>
      <c r="F15" s="20"/>
      <c r="G15" s="20">
        <f>350</f>
        <v>350</v>
      </c>
      <c r="H15" s="20">
        <f t="shared" si="0"/>
        <v>-25</v>
      </c>
      <c r="I15" s="20"/>
      <c r="J15" s="20">
        <f>350</f>
        <v>350</v>
      </c>
      <c r="K15" s="20">
        <f t="shared" si="1"/>
        <v>0</v>
      </c>
      <c r="L15" s="20"/>
      <c r="M15" s="20">
        <f>152+120+21+28+29</f>
        <v>350</v>
      </c>
      <c r="N15" s="20">
        <f t="shared" si="2"/>
        <v>0</v>
      </c>
      <c r="O15" s="20"/>
      <c r="P15" s="20">
        <f>152+120+21+28+29</f>
        <v>350</v>
      </c>
      <c r="Q15" s="20">
        <f t="shared" si="3"/>
        <v>0</v>
      </c>
      <c r="R15" s="20"/>
      <c r="S15" s="20">
        <f>338+12</f>
        <v>350</v>
      </c>
      <c r="T15" s="20">
        <f t="shared" si="4"/>
        <v>0</v>
      </c>
      <c r="U15" s="20">
        <v>12</v>
      </c>
      <c r="V15" s="20">
        <f>338+12</f>
        <v>350</v>
      </c>
      <c r="W15" s="20">
        <f t="shared" si="5"/>
        <v>0</v>
      </c>
      <c r="X15" s="20">
        <v>250</v>
      </c>
      <c r="Y15" s="20">
        <f>300</f>
        <v>300</v>
      </c>
      <c r="Z15" s="20">
        <f t="shared" si="6"/>
        <v>-50</v>
      </c>
      <c r="AA15" s="20">
        <v>250</v>
      </c>
      <c r="AB15" s="20">
        <f>300</f>
        <v>300</v>
      </c>
      <c r="AC15" s="21">
        <f t="shared" si="7"/>
        <v>0</v>
      </c>
      <c r="AD15" s="263"/>
      <c r="AE15" s="263"/>
      <c r="AF15" s="268"/>
      <c r="AG15" s="263"/>
      <c r="AH15" s="261"/>
      <c r="AI15" s="263"/>
      <c r="AJ15" s="261"/>
      <c r="AK15" s="263"/>
      <c r="AL15" s="261"/>
      <c r="AM15" s="249"/>
      <c r="AN15" s="249"/>
      <c r="AO15" s="251"/>
    </row>
    <row r="16" spans="1:41" x14ac:dyDescent="0.25">
      <c r="A16" s="283"/>
      <c r="B16" s="279"/>
      <c r="C16" s="281"/>
      <c r="D16" s="20" t="s">
        <v>59</v>
      </c>
      <c r="E16" s="20">
        <v>375</v>
      </c>
      <c r="F16" s="20"/>
      <c r="G16" s="20">
        <f>213</f>
        <v>213</v>
      </c>
      <c r="H16" s="20">
        <f t="shared" si="0"/>
        <v>-162</v>
      </c>
      <c r="I16" s="20"/>
      <c r="J16" s="20">
        <f>213</f>
        <v>213</v>
      </c>
      <c r="K16" s="20">
        <f t="shared" si="1"/>
        <v>0</v>
      </c>
      <c r="L16" s="20"/>
      <c r="M16" s="20">
        <f>200+13</f>
        <v>213</v>
      </c>
      <c r="N16" s="20">
        <f t="shared" si="2"/>
        <v>0</v>
      </c>
      <c r="O16" s="20"/>
      <c r="P16" s="20">
        <f>200+13</f>
        <v>213</v>
      </c>
      <c r="Q16" s="20">
        <f t="shared" si="3"/>
        <v>0</v>
      </c>
      <c r="R16" s="20"/>
      <c r="S16" s="20">
        <f>10+203</f>
        <v>213</v>
      </c>
      <c r="T16" s="20">
        <f t="shared" si="4"/>
        <v>0</v>
      </c>
      <c r="U16" s="20">
        <v>213</v>
      </c>
      <c r="V16" s="20">
        <f>213</f>
        <v>213</v>
      </c>
      <c r="W16" s="20">
        <f t="shared" si="5"/>
        <v>0</v>
      </c>
      <c r="X16" s="20"/>
      <c r="Y16" s="20"/>
      <c r="Z16" s="20">
        <f t="shared" si="6"/>
        <v>-213</v>
      </c>
      <c r="AA16" s="20"/>
      <c r="AB16" s="20"/>
      <c r="AC16" s="21">
        <f t="shared" si="7"/>
        <v>0</v>
      </c>
      <c r="AD16" s="263"/>
      <c r="AE16" s="263"/>
      <c r="AF16" s="268"/>
      <c r="AG16" s="263"/>
      <c r="AH16" s="261"/>
      <c r="AI16" s="263"/>
      <c r="AJ16" s="261"/>
      <c r="AK16" s="263"/>
      <c r="AL16" s="261"/>
      <c r="AM16" s="249"/>
      <c r="AN16" s="249"/>
      <c r="AO16" s="251"/>
    </row>
    <row r="17" spans="1:41" x14ac:dyDescent="0.25">
      <c r="A17" s="283"/>
      <c r="B17" s="279"/>
      <c r="C17" s="281"/>
      <c r="D17" s="20" t="s">
        <v>60</v>
      </c>
      <c r="E17" s="20">
        <v>350</v>
      </c>
      <c r="F17" s="20"/>
      <c r="G17" s="20">
        <f>237</f>
        <v>237</v>
      </c>
      <c r="H17" s="20">
        <f t="shared" si="0"/>
        <v>-113</v>
      </c>
      <c r="I17" s="20"/>
      <c r="J17" s="20">
        <f>237</f>
        <v>237</v>
      </c>
      <c r="K17" s="20">
        <f t="shared" si="1"/>
        <v>0</v>
      </c>
      <c r="L17" s="20"/>
      <c r="M17" s="20">
        <f>47+190</f>
        <v>237</v>
      </c>
      <c r="N17" s="20">
        <f t="shared" si="2"/>
        <v>0</v>
      </c>
      <c r="O17" s="20"/>
      <c r="P17" s="20">
        <f>237</f>
        <v>237</v>
      </c>
      <c r="Q17" s="20">
        <f t="shared" si="3"/>
        <v>0</v>
      </c>
      <c r="R17" s="20"/>
      <c r="S17" s="20">
        <f>220+17</f>
        <v>237</v>
      </c>
      <c r="T17" s="20">
        <f t="shared" si="4"/>
        <v>0</v>
      </c>
      <c r="U17" s="20">
        <v>227</v>
      </c>
      <c r="V17" s="20">
        <f>10+227</f>
        <v>237</v>
      </c>
      <c r="W17" s="20">
        <f t="shared" si="5"/>
        <v>0</v>
      </c>
      <c r="X17" s="20">
        <v>55</v>
      </c>
      <c r="Y17" s="20">
        <f>55</f>
        <v>55</v>
      </c>
      <c r="Z17" s="20">
        <f t="shared" si="6"/>
        <v>-182</v>
      </c>
      <c r="AA17" s="20">
        <v>55</v>
      </c>
      <c r="AB17" s="20">
        <f>55</f>
        <v>55</v>
      </c>
      <c r="AC17" s="21">
        <f t="shared" si="7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" thickBot="1" x14ac:dyDescent="0.3">
      <c r="A18" s="283"/>
      <c r="B18" s="299"/>
      <c r="C18" s="281"/>
      <c r="D18" s="20" t="s">
        <v>61</v>
      </c>
      <c r="E18" s="20">
        <v>350</v>
      </c>
      <c r="F18" s="20"/>
      <c r="G18" s="20">
        <f>345+1</f>
        <v>346</v>
      </c>
      <c r="H18" s="20">
        <f t="shared" si="0"/>
        <v>-4</v>
      </c>
      <c r="I18" s="20"/>
      <c r="J18" s="20">
        <f>345+1</f>
        <v>346</v>
      </c>
      <c r="K18" s="20">
        <f t="shared" si="1"/>
        <v>0</v>
      </c>
      <c r="L18" s="20"/>
      <c r="M18" s="20">
        <f>72+273+1</f>
        <v>346</v>
      </c>
      <c r="N18" s="20">
        <f t="shared" si="2"/>
        <v>0</v>
      </c>
      <c r="O18" s="20"/>
      <c r="P18" s="20">
        <f>72+274</f>
        <v>346</v>
      </c>
      <c r="Q18" s="20">
        <f t="shared" si="3"/>
        <v>0</v>
      </c>
      <c r="R18" s="25"/>
      <c r="S18" s="25">
        <f>340+6</f>
        <v>346</v>
      </c>
      <c r="T18" s="25">
        <f t="shared" si="4"/>
        <v>0</v>
      </c>
      <c r="U18" s="25"/>
      <c r="V18" s="25">
        <f>10</f>
        <v>10</v>
      </c>
      <c r="W18" s="25">
        <f t="shared" si="5"/>
        <v>-336</v>
      </c>
      <c r="X18" s="20"/>
      <c r="Y18" s="20"/>
      <c r="Z18" s="20">
        <f t="shared" si="6"/>
        <v>-346</v>
      </c>
      <c r="AA18" s="20"/>
      <c r="AB18" s="20"/>
      <c r="AC18" s="21">
        <f t="shared" si="7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83"/>
      <c r="B19" s="272" t="s">
        <v>34</v>
      </c>
      <c r="C19" s="273"/>
      <c r="D19" s="274"/>
      <c r="E19" s="23">
        <f>+SUM(E6:E18)</f>
        <v>4962</v>
      </c>
      <c r="F19" s="23">
        <f>+SUM(F6:F18)</f>
        <v>0</v>
      </c>
      <c r="G19" s="23">
        <f>SUM(G6:G18)</f>
        <v>4399</v>
      </c>
      <c r="H19" s="23">
        <f t="shared" ref="H19:AC19" si="8">+SUM(H6:H18)</f>
        <v>-563</v>
      </c>
      <c r="I19" s="23">
        <f t="shared" si="8"/>
        <v>0</v>
      </c>
      <c r="J19" s="23">
        <f t="shared" si="8"/>
        <v>4399</v>
      </c>
      <c r="K19" s="23">
        <f t="shared" si="8"/>
        <v>0</v>
      </c>
      <c r="L19" s="23">
        <f t="shared" si="8"/>
        <v>0</v>
      </c>
      <c r="M19" s="23">
        <f t="shared" si="8"/>
        <v>4399</v>
      </c>
      <c r="N19" s="23">
        <f t="shared" si="8"/>
        <v>0</v>
      </c>
      <c r="O19" s="23">
        <f t="shared" si="8"/>
        <v>0</v>
      </c>
      <c r="P19" s="23">
        <f t="shared" si="8"/>
        <v>4385</v>
      </c>
      <c r="Q19" s="23">
        <f t="shared" si="8"/>
        <v>-14</v>
      </c>
      <c r="R19" s="24">
        <f t="shared" si="8"/>
        <v>0</v>
      </c>
      <c r="S19" s="24">
        <f t="shared" si="8"/>
        <v>4382</v>
      </c>
      <c r="T19" s="24">
        <f t="shared" si="8"/>
        <v>-3</v>
      </c>
      <c r="U19" s="24">
        <f t="shared" si="8"/>
        <v>590</v>
      </c>
      <c r="V19" s="24">
        <f t="shared" si="8"/>
        <v>4045</v>
      </c>
      <c r="W19" s="24">
        <f t="shared" si="8"/>
        <v>-337</v>
      </c>
      <c r="X19" s="23">
        <f t="shared" si="8"/>
        <v>685</v>
      </c>
      <c r="Y19" s="23">
        <f t="shared" si="8"/>
        <v>3140</v>
      </c>
      <c r="Z19" s="23">
        <f t="shared" si="8"/>
        <v>-1245</v>
      </c>
      <c r="AA19" s="23">
        <f t="shared" si="8"/>
        <v>685</v>
      </c>
      <c r="AB19" s="23">
        <f t="shared" si="8"/>
        <v>3140</v>
      </c>
      <c r="AC19" s="15">
        <f t="shared" si="8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.75" customHeight="1" x14ac:dyDescent="0.25">
      <c r="A20" s="283"/>
      <c r="B20" s="297" t="s">
        <v>62</v>
      </c>
      <c r="C20" s="280" t="s">
        <v>63</v>
      </c>
      <c r="D20" s="16" t="s">
        <v>33</v>
      </c>
      <c r="E20" s="212">
        <v>155</v>
      </c>
      <c r="F20" s="212"/>
      <c r="G20" s="212">
        <f>130+8</f>
        <v>138</v>
      </c>
      <c r="H20" s="212">
        <f t="shared" ref="H20:H26" si="9">G20-E20</f>
        <v>-17</v>
      </c>
      <c r="I20" s="212"/>
      <c r="J20" s="212">
        <f>100+30+8</f>
        <v>138</v>
      </c>
      <c r="K20" s="212">
        <f t="shared" ref="K20:K26" si="10">J20-G20</f>
        <v>0</v>
      </c>
      <c r="L20" s="212">
        <f>80-25</f>
        <v>55</v>
      </c>
      <c r="M20" s="212">
        <f>25+55</f>
        <v>80</v>
      </c>
      <c r="N20" s="212">
        <f t="shared" ref="N20:N26" si="11">M20-J20</f>
        <v>-58</v>
      </c>
      <c r="O20" s="212">
        <v>70</v>
      </c>
      <c r="P20" s="119">
        <f>10+70</f>
        <v>80</v>
      </c>
      <c r="Q20" s="212">
        <f t="shared" ref="Q20:Q26" si="12">P20-M20</f>
        <v>0</v>
      </c>
      <c r="R20" s="18"/>
      <c r="S20" s="18"/>
      <c r="T20" s="18">
        <f t="shared" ref="T20:T26" si="13">S20-P20</f>
        <v>-80</v>
      </c>
      <c r="U20" s="18"/>
      <c r="V20" s="18"/>
      <c r="W20" s="18">
        <f t="shared" ref="W20:W26" si="14">V20-S20</f>
        <v>0</v>
      </c>
      <c r="X20" s="212"/>
      <c r="Y20" s="212"/>
      <c r="Z20" s="212">
        <f t="shared" ref="Z20:Z26" si="15">Y20-P20</f>
        <v>-80</v>
      </c>
      <c r="AA20" s="212"/>
      <c r="AB20" s="212"/>
      <c r="AC20" s="19">
        <f t="shared" ref="AC20:AC26" si="16">AB20-Y20</f>
        <v>0</v>
      </c>
      <c r="AD20" s="267">
        <f>L27</f>
        <v>205</v>
      </c>
      <c r="AE20" s="267">
        <f>25+205</f>
        <v>230</v>
      </c>
      <c r="AF20" s="282">
        <v>38.121000000000002</v>
      </c>
      <c r="AG20" s="267">
        <v>17</v>
      </c>
      <c r="AH20" s="277">
        <f>5+5+5+10+10+10+22+17</f>
        <v>84</v>
      </c>
      <c r="AI20" s="267">
        <v>8</v>
      </c>
      <c r="AJ20" s="277">
        <f>2+2+2+4+6+7+8</f>
        <v>31</v>
      </c>
      <c r="AK20" s="267">
        <v>2</v>
      </c>
      <c r="AL20" s="277">
        <f>1+1+1+1+1+1+2+2</f>
        <v>10</v>
      </c>
      <c r="AM20" s="270">
        <f>L27*AF20/480/AG20</f>
        <v>0.95769669117647049</v>
      </c>
      <c r="AN20" s="270">
        <f>M27*AF20/480/AH20</f>
        <v>0.2174561011904762</v>
      </c>
      <c r="AO20" s="271"/>
    </row>
    <row r="21" spans="1:41" x14ac:dyDescent="0.25">
      <c r="A21" s="283"/>
      <c r="B21" s="279"/>
      <c r="C21" s="281"/>
      <c r="D21" s="20" t="s">
        <v>64</v>
      </c>
      <c r="E21" s="20">
        <v>155</v>
      </c>
      <c r="F21" s="20"/>
      <c r="G21" s="20">
        <f>124+17</f>
        <v>141</v>
      </c>
      <c r="H21" s="20">
        <f t="shared" si="9"/>
        <v>-14</v>
      </c>
      <c r="I21" s="20"/>
      <c r="J21" s="20">
        <f>141</f>
        <v>141</v>
      </c>
      <c r="K21" s="20">
        <f t="shared" si="10"/>
        <v>0</v>
      </c>
      <c r="L21" s="20"/>
      <c r="M21" s="20"/>
      <c r="N21" s="20">
        <f t="shared" si="11"/>
        <v>-141</v>
      </c>
      <c r="O21" s="20"/>
      <c r="P21" s="20"/>
      <c r="Q21" s="20">
        <f t="shared" si="12"/>
        <v>0</v>
      </c>
      <c r="R21" s="20"/>
      <c r="S21" s="20"/>
      <c r="T21" s="20">
        <f t="shared" si="13"/>
        <v>0</v>
      </c>
      <c r="U21" s="20"/>
      <c r="V21" s="20"/>
      <c r="W21" s="20">
        <f t="shared" si="14"/>
        <v>0</v>
      </c>
      <c r="X21" s="20"/>
      <c r="Y21" s="20"/>
      <c r="Z21" s="20">
        <f t="shared" si="15"/>
        <v>0</v>
      </c>
      <c r="AA21" s="20"/>
      <c r="AB21" s="20"/>
      <c r="AC21" s="21">
        <f t="shared" si="16"/>
        <v>0</v>
      </c>
      <c r="AD21" s="263"/>
      <c r="AE21" s="263"/>
      <c r="AF21" s="268"/>
      <c r="AG21" s="263"/>
      <c r="AH21" s="261"/>
      <c r="AI21" s="263"/>
      <c r="AJ21" s="261"/>
      <c r="AK21" s="263"/>
      <c r="AL21" s="261"/>
      <c r="AM21" s="249"/>
      <c r="AN21" s="249"/>
      <c r="AO21" s="251"/>
    </row>
    <row r="22" spans="1:41" x14ac:dyDescent="0.25">
      <c r="A22" s="283"/>
      <c r="B22" s="279"/>
      <c r="C22" s="281"/>
      <c r="D22" s="20" t="s">
        <v>65</v>
      </c>
      <c r="E22" s="20">
        <v>155</v>
      </c>
      <c r="F22" s="20"/>
      <c r="G22" s="20">
        <f>116+9</f>
        <v>125</v>
      </c>
      <c r="H22" s="20">
        <f t="shared" si="9"/>
        <v>-30</v>
      </c>
      <c r="I22" s="20"/>
      <c r="J22" s="20">
        <f>116+9</f>
        <v>125</v>
      </c>
      <c r="K22" s="20">
        <f t="shared" si="10"/>
        <v>0</v>
      </c>
      <c r="L22" s="20">
        <v>51</v>
      </c>
      <c r="M22" s="20">
        <f>51</f>
        <v>51</v>
      </c>
      <c r="N22" s="20">
        <f t="shared" si="11"/>
        <v>-74</v>
      </c>
      <c r="O22" s="20">
        <v>51</v>
      </c>
      <c r="P22" s="20">
        <f>51</f>
        <v>51</v>
      </c>
      <c r="Q22" s="20">
        <f t="shared" si="12"/>
        <v>0</v>
      </c>
      <c r="R22" s="20"/>
      <c r="S22" s="20"/>
      <c r="T22" s="20">
        <f t="shared" si="13"/>
        <v>-51</v>
      </c>
      <c r="U22" s="20"/>
      <c r="V22" s="20"/>
      <c r="W22" s="20">
        <f t="shared" si="14"/>
        <v>0</v>
      </c>
      <c r="X22" s="20"/>
      <c r="Y22" s="20"/>
      <c r="Z22" s="20">
        <f t="shared" si="15"/>
        <v>-51</v>
      </c>
      <c r="AA22" s="20"/>
      <c r="AB22" s="20"/>
      <c r="AC22" s="21">
        <f t="shared" si="16"/>
        <v>0</v>
      </c>
      <c r="AD22" s="263"/>
      <c r="AE22" s="263"/>
      <c r="AF22" s="268"/>
      <c r="AG22" s="263"/>
      <c r="AH22" s="261"/>
      <c r="AI22" s="263"/>
      <c r="AJ22" s="261"/>
      <c r="AK22" s="263"/>
      <c r="AL22" s="261"/>
      <c r="AM22" s="249"/>
      <c r="AN22" s="249"/>
      <c r="AO22" s="251"/>
    </row>
    <row r="23" spans="1:41" x14ac:dyDescent="0.25">
      <c r="A23" s="283"/>
      <c r="B23" s="279"/>
      <c r="C23" s="281"/>
      <c r="D23" s="20" t="s">
        <v>66</v>
      </c>
      <c r="E23" s="20">
        <v>137</v>
      </c>
      <c r="F23" s="20"/>
      <c r="G23" s="20">
        <f>124+15</f>
        <v>139</v>
      </c>
      <c r="H23" s="20">
        <f t="shared" si="9"/>
        <v>2</v>
      </c>
      <c r="I23" s="20"/>
      <c r="J23" s="20">
        <f>124+15</f>
        <v>139</v>
      </c>
      <c r="K23" s="20">
        <f t="shared" si="10"/>
        <v>0</v>
      </c>
      <c r="L23" s="20">
        <v>99</v>
      </c>
      <c r="M23" s="20">
        <f>99</f>
        <v>99</v>
      </c>
      <c r="N23" s="20">
        <f t="shared" si="11"/>
        <v>-40</v>
      </c>
      <c r="O23" s="20">
        <v>99</v>
      </c>
      <c r="P23" s="20">
        <f>99</f>
        <v>99</v>
      </c>
      <c r="Q23" s="20">
        <f t="shared" si="12"/>
        <v>0</v>
      </c>
      <c r="R23" s="20"/>
      <c r="S23" s="20"/>
      <c r="T23" s="20">
        <f t="shared" si="13"/>
        <v>-99</v>
      </c>
      <c r="U23" s="20"/>
      <c r="V23" s="20"/>
      <c r="W23" s="20">
        <f t="shared" si="14"/>
        <v>0</v>
      </c>
      <c r="X23" s="20"/>
      <c r="Y23" s="20"/>
      <c r="Z23" s="20">
        <f t="shared" si="15"/>
        <v>-99</v>
      </c>
      <c r="AA23" s="20"/>
      <c r="AB23" s="20"/>
      <c r="AC23" s="21">
        <f t="shared" si="16"/>
        <v>0</v>
      </c>
      <c r="AD23" s="263"/>
      <c r="AE23" s="263"/>
      <c r="AF23" s="268"/>
      <c r="AG23" s="263"/>
      <c r="AH23" s="261"/>
      <c r="AI23" s="263"/>
      <c r="AJ23" s="261"/>
      <c r="AK23" s="263"/>
      <c r="AL23" s="261"/>
      <c r="AM23" s="249"/>
      <c r="AN23" s="249"/>
      <c r="AO23" s="251"/>
    </row>
    <row r="24" spans="1:41" x14ac:dyDescent="0.25">
      <c r="A24" s="283"/>
      <c r="B24" s="279"/>
      <c r="C24" s="281"/>
      <c r="D24" s="20" t="s">
        <v>67</v>
      </c>
      <c r="E24" s="20">
        <v>155</v>
      </c>
      <c r="F24" s="20"/>
      <c r="G24" s="20">
        <f>146+9</f>
        <v>155</v>
      </c>
      <c r="H24" s="20">
        <f t="shared" si="9"/>
        <v>0</v>
      </c>
      <c r="I24" s="20"/>
      <c r="J24" s="20">
        <f>155</f>
        <v>155</v>
      </c>
      <c r="K24" s="20">
        <f t="shared" si="10"/>
        <v>0</v>
      </c>
      <c r="L24" s="20"/>
      <c r="M24" s="20"/>
      <c r="N24" s="20">
        <f t="shared" si="11"/>
        <v>-155</v>
      </c>
      <c r="O24" s="20"/>
      <c r="P24" s="20"/>
      <c r="Q24" s="20">
        <f t="shared" si="12"/>
        <v>0</v>
      </c>
      <c r="R24" s="20"/>
      <c r="S24" s="20"/>
      <c r="T24" s="20">
        <f t="shared" si="13"/>
        <v>0</v>
      </c>
      <c r="U24" s="20"/>
      <c r="V24" s="20"/>
      <c r="W24" s="20">
        <f t="shared" si="14"/>
        <v>0</v>
      </c>
      <c r="X24" s="20"/>
      <c r="Y24" s="20"/>
      <c r="Z24" s="20">
        <f t="shared" si="15"/>
        <v>0</v>
      </c>
      <c r="AA24" s="20"/>
      <c r="AB24" s="20"/>
      <c r="AC24" s="21">
        <f t="shared" si="16"/>
        <v>0</v>
      </c>
      <c r="AD24" s="263"/>
      <c r="AE24" s="263"/>
      <c r="AF24" s="268"/>
      <c r="AG24" s="263"/>
      <c r="AH24" s="261"/>
      <c r="AI24" s="263"/>
      <c r="AJ24" s="261"/>
      <c r="AK24" s="263"/>
      <c r="AL24" s="261"/>
      <c r="AM24" s="249"/>
      <c r="AN24" s="249"/>
      <c r="AO24" s="251"/>
    </row>
    <row r="25" spans="1:41" x14ac:dyDescent="0.25">
      <c r="A25" s="283"/>
      <c r="B25" s="279"/>
      <c r="C25" s="281"/>
      <c r="D25" s="20" t="s">
        <v>68</v>
      </c>
      <c r="E25" s="20">
        <v>155</v>
      </c>
      <c r="F25" s="20"/>
      <c r="G25" s="20">
        <f>142</f>
        <v>142</v>
      </c>
      <c r="H25" s="20">
        <f t="shared" si="9"/>
        <v>-13</v>
      </c>
      <c r="I25" s="20"/>
      <c r="J25" s="20">
        <f>142</f>
        <v>142</v>
      </c>
      <c r="K25" s="20">
        <f t="shared" si="10"/>
        <v>0</v>
      </c>
      <c r="L25" s="20"/>
      <c r="M25" s="20"/>
      <c r="N25" s="20">
        <f t="shared" si="11"/>
        <v>-142</v>
      </c>
      <c r="O25" s="20"/>
      <c r="P25" s="20"/>
      <c r="Q25" s="20">
        <f t="shared" si="12"/>
        <v>0</v>
      </c>
      <c r="R25" s="20"/>
      <c r="S25" s="20"/>
      <c r="T25" s="20">
        <f t="shared" si="13"/>
        <v>0</v>
      </c>
      <c r="U25" s="20"/>
      <c r="V25" s="20"/>
      <c r="W25" s="20">
        <f t="shared" si="14"/>
        <v>0</v>
      </c>
      <c r="X25" s="20"/>
      <c r="Y25" s="20"/>
      <c r="Z25" s="20">
        <f t="shared" si="15"/>
        <v>0</v>
      </c>
      <c r="AA25" s="20"/>
      <c r="AB25" s="20"/>
      <c r="AC25" s="21">
        <f t="shared" si="16"/>
        <v>0</v>
      </c>
      <c r="AD25" s="263"/>
      <c r="AE25" s="263"/>
      <c r="AF25" s="268"/>
      <c r="AG25" s="263"/>
      <c r="AH25" s="261"/>
      <c r="AI25" s="263"/>
      <c r="AJ25" s="261"/>
      <c r="AK25" s="263"/>
      <c r="AL25" s="261"/>
      <c r="AM25" s="249"/>
      <c r="AN25" s="249"/>
      <c r="AO25" s="251"/>
    </row>
    <row r="26" spans="1:41" ht="18" thickBot="1" x14ac:dyDescent="0.3">
      <c r="A26" s="283"/>
      <c r="B26" s="298"/>
      <c r="C26" s="281"/>
      <c r="D26" s="20" t="s">
        <v>60</v>
      </c>
      <c r="E26" s="20">
        <v>125</v>
      </c>
      <c r="F26" s="20"/>
      <c r="G26" s="20">
        <f>116+9</f>
        <v>125</v>
      </c>
      <c r="H26" s="20">
        <f t="shared" si="9"/>
        <v>0</v>
      </c>
      <c r="I26" s="20"/>
      <c r="J26" s="20">
        <f>125</f>
        <v>125</v>
      </c>
      <c r="K26" s="20">
        <f t="shared" si="10"/>
        <v>0</v>
      </c>
      <c r="L26" s="20"/>
      <c r="M26" s="20"/>
      <c r="N26" s="20">
        <f t="shared" si="11"/>
        <v>-125</v>
      </c>
      <c r="O26" s="20"/>
      <c r="P26" s="20"/>
      <c r="Q26" s="20">
        <f t="shared" si="12"/>
        <v>0</v>
      </c>
      <c r="R26" s="22"/>
      <c r="S26" s="22"/>
      <c r="T26" s="22">
        <f t="shared" si="13"/>
        <v>0</v>
      </c>
      <c r="U26" s="22"/>
      <c r="V26" s="22"/>
      <c r="W26" s="22">
        <f t="shared" si="14"/>
        <v>0</v>
      </c>
      <c r="X26" s="20"/>
      <c r="Y26" s="20"/>
      <c r="Z26" s="20">
        <f t="shared" si="15"/>
        <v>0</v>
      </c>
      <c r="AA26" s="20"/>
      <c r="AB26" s="20"/>
      <c r="AC26" s="21">
        <f t="shared" si="16"/>
        <v>0</v>
      </c>
      <c r="AD26" s="263"/>
      <c r="AE26" s="263"/>
      <c r="AF26" s="268"/>
      <c r="AG26" s="263"/>
      <c r="AH26" s="261"/>
      <c r="AI26" s="263"/>
      <c r="AJ26" s="261"/>
      <c r="AK26" s="263"/>
      <c r="AL26" s="261"/>
      <c r="AM26" s="249"/>
      <c r="AN26" s="249"/>
      <c r="AO26" s="251"/>
    </row>
    <row r="27" spans="1:41" ht="18" thickBot="1" x14ac:dyDescent="0.3">
      <c r="A27" s="283"/>
      <c r="B27" s="272" t="s">
        <v>34</v>
      </c>
      <c r="C27" s="273"/>
      <c r="D27" s="274"/>
      <c r="E27" s="23">
        <f>+SUM(E20:E26)</f>
        <v>1037</v>
      </c>
      <c r="F27" s="23">
        <f>+SUM(F20:F26)</f>
        <v>0</v>
      </c>
      <c r="G27" s="23">
        <f>SUM(G20:G26)</f>
        <v>965</v>
      </c>
      <c r="H27" s="23">
        <f t="shared" ref="H27:AC27" si="17">+SUM(H20:H26)</f>
        <v>-72</v>
      </c>
      <c r="I27" s="23">
        <f t="shared" si="17"/>
        <v>0</v>
      </c>
      <c r="J27" s="23">
        <f t="shared" si="17"/>
        <v>965</v>
      </c>
      <c r="K27" s="23">
        <f t="shared" si="17"/>
        <v>0</v>
      </c>
      <c r="L27" s="23">
        <f t="shared" si="17"/>
        <v>205</v>
      </c>
      <c r="M27" s="23">
        <f t="shared" si="17"/>
        <v>230</v>
      </c>
      <c r="N27" s="23">
        <f t="shared" si="17"/>
        <v>-735</v>
      </c>
      <c r="O27" s="23">
        <f t="shared" si="17"/>
        <v>220</v>
      </c>
      <c r="P27" s="23">
        <f t="shared" si="17"/>
        <v>230</v>
      </c>
      <c r="Q27" s="23">
        <f t="shared" si="17"/>
        <v>0</v>
      </c>
      <c r="R27" s="24">
        <f t="shared" si="17"/>
        <v>0</v>
      </c>
      <c r="S27" s="24">
        <f t="shared" si="17"/>
        <v>0</v>
      </c>
      <c r="T27" s="24">
        <f t="shared" si="17"/>
        <v>-230</v>
      </c>
      <c r="U27" s="24">
        <f t="shared" si="17"/>
        <v>0</v>
      </c>
      <c r="V27" s="24">
        <f t="shared" si="17"/>
        <v>0</v>
      </c>
      <c r="W27" s="24">
        <f t="shared" si="17"/>
        <v>0</v>
      </c>
      <c r="X27" s="23">
        <f t="shared" si="17"/>
        <v>0</v>
      </c>
      <c r="Y27" s="23">
        <f t="shared" si="17"/>
        <v>0</v>
      </c>
      <c r="Z27" s="23">
        <f t="shared" si="17"/>
        <v>-230</v>
      </c>
      <c r="AA27" s="23">
        <f t="shared" si="17"/>
        <v>0</v>
      </c>
      <c r="AB27" s="23">
        <f t="shared" si="17"/>
        <v>0</v>
      </c>
      <c r="AC27" s="15">
        <f t="shared" si="17"/>
        <v>0</v>
      </c>
      <c r="AD27" s="264"/>
      <c r="AE27" s="264"/>
      <c r="AF27" s="269"/>
      <c r="AG27" s="264"/>
      <c r="AH27" s="262"/>
      <c r="AI27" s="264"/>
      <c r="AJ27" s="262"/>
      <c r="AK27" s="264"/>
      <c r="AL27" s="262"/>
      <c r="AM27" s="250"/>
      <c r="AN27" s="250"/>
      <c r="AO27" s="252"/>
    </row>
    <row r="28" spans="1:41" ht="18.75" customHeight="1" x14ac:dyDescent="0.25">
      <c r="A28" s="283"/>
      <c r="B28" s="297" t="s">
        <v>69</v>
      </c>
      <c r="C28" s="280" t="s">
        <v>37</v>
      </c>
      <c r="D28" s="16" t="s">
        <v>33</v>
      </c>
      <c r="E28" s="212">
        <v>160</v>
      </c>
      <c r="F28" s="212">
        <v>160</v>
      </c>
      <c r="G28" s="212">
        <f>160</f>
        <v>160</v>
      </c>
      <c r="H28" s="212">
        <f t="shared" ref="H28:H30" si="18">G28-E28</f>
        <v>0</v>
      </c>
      <c r="I28" s="212">
        <v>160</v>
      </c>
      <c r="J28" s="212">
        <f>160</f>
        <v>160</v>
      </c>
      <c r="K28" s="212">
        <f t="shared" ref="K28:K30" si="19">J28-G28</f>
        <v>0</v>
      </c>
      <c r="L28" s="212"/>
      <c r="M28" s="212"/>
      <c r="N28" s="212">
        <f t="shared" ref="N28:N30" si="20">M28-J28</f>
        <v>-160</v>
      </c>
      <c r="O28" s="212"/>
      <c r="P28" s="119"/>
      <c r="Q28" s="212">
        <f t="shared" ref="Q28:Q30" si="21">P28-M28</f>
        <v>0</v>
      </c>
      <c r="R28" s="18"/>
      <c r="S28" s="18"/>
      <c r="T28" s="18">
        <f t="shared" ref="T28:T30" si="22">S28-P28</f>
        <v>0</v>
      </c>
      <c r="U28" s="18"/>
      <c r="V28" s="18"/>
      <c r="W28" s="18">
        <f t="shared" ref="W28:W30" si="23">V28-S28</f>
        <v>0</v>
      </c>
      <c r="X28" s="212"/>
      <c r="Y28" s="212"/>
      <c r="Z28" s="212">
        <f t="shared" ref="Z28:Z30" si="24">Y28-P28</f>
        <v>0</v>
      </c>
      <c r="AA28" s="212"/>
      <c r="AB28" s="212"/>
      <c r="AC28" s="19">
        <f t="shared" ref="AC28:AC30" si="25">AB28-Y28</f>
        <v>0</v>
      </c>
      <c r="AD28" s="267">
        <f>L31</f>
        <v>0</v>
      </c>
      <c r="AE28" s="267"/>
      <c r="AF28" s="282">
        <v>29.512</v>
      </c>
      <c r="AG28" s="267">
        <v>5</v>
      </c>
      <c r="AH28" s="277">
        <f>5</f>
        <v>5</v>
      </c>
      <c r="AI28" s="267"/>
      <c r="AJ28" s="277"/>
      <c r="AK28" s="267"/>
      <c r="AL28" s="277"/>
      <c r="AM28" s="270">
        <f>L31*AF28/480/AG28</f>
        <v>0</v>
      </c>
      <c r="AN28" s="270">
        <f>M31*AF28/480/AH28</f>
        <v>0</v>
      </c>
      <c r="AO28" s="271"/>
    </row>
    <row r="29" spans="1:41" x14ac:dyDescent="0.25">
      <c r="A29" s="283"/>
      <c r="B29" s="279"/>
      <c r="C29" s="281"/>
      <c r="D29" s="20" t="s">
        <v>59</v>
      </c>
      <c r="E29" s="20">
        <v>180</v>
      </c>
      <c r="F29" s="20">
        <v>180</v>
      </c>
      <c r="G29" s="20">
        <f>180</f>
        <v>180</v>
      </c>
      <c r="H29" s="20">
        <f t="shared" si="18"/>
        <v>0</v>
      </c>
      <c r="I29" s="20">
        <v>140</v>
      </c>
      <c r="J29" s="20">
        <f>140</f>
        <v>140</v>
      </c>
      <c r="K29" s="20">
        <f t="shared" si="19"/>
        <v>-40</v>
      </c>
      <c r="L29" s="20"/>
      <c r="M29" s="20"/>
      <c r="N29" s="20">
        <f t="shared" si="20"/>
        <v>-140</v>
      </c>
      <c r="O29" s="20"/>
      <c r="P29" s="20"/>
      <c r="Q29" s="20">
        <f t="shared" si="21"/>
        <v>0</v>
      </c>
      <c r="R29" s="20"/>
      <c r="S29" s="20"/>
      <c r="T29" s="20">
        <f t="shared" si="22"/>
        <v>0</v>
      </c>
      <c r="U29" s="20"/>
      <c r="V29" s="20"/>
      <c r="W29" s="20">
        <f t="shared" si="23"/>
        <v>0</v>
      </c>
      <c r="X29" s="20"/>
      <c r="Y29" s="20"/>
      <c r="Z29" s="20">
        <f t="shared" si="24"/>
        <v>0</v>
      </c>
      <c r="AA29" s="20"/>
      <c r="AB29" s="20"/>
      <c r="AC29" s="21">
        <f t="shared" si="25"/>
        <v>0</v>
      </c>
      <c r="AD29" s="263"/>
      <c r="AE29" s="263"/>
      <c r="AF29" s="268"/>
      <c r="AG29" s="263"/>
      <c r="AH29" s="261"/>
      <c r="AI29" s="263"/>
      <c r="AJ29" s="261"/>
      <c r="AK29" s="263"/>
      <c r="AL29" s="261"/>
      <c r="AM29" s="249"/>
      <c r="AN29" s="249"/>
      <c r="AO29" s="251"/>
    </row>
    <row r="30" spans="1:41" ht="18" thickBot="1" x14ac:dyDescent="0.3">
      <c r="A30" s="283"/>
      <c r="B30" s="279"/>
      <c r="C30" s="281"/>
      <c r="D30" s="20" t="s">
        <v>70</v>
      </c>
      <c r="E30" s="20">
        <v>210</v>
      </c>
      <c r="F30" s="20">
        <v>210</v>
      </c>
      <c r="G30" s="20">
        <f>210</f>
        <v>210</v>
      </c>
      <c r="H30" s="20">
        <f t="shared" si="18"/>
        <v>0</v>
      </c>
      <c r="I30" s="20"/>
      <c r="J30" s="20"/>
      <c r="K30" s="20">
        <f t="shared" si="19"/>
        <v>-210</v>
      </c>
      <c r="L30" s="20"/>
      <c r="M30" s="20"/>
      <c r="N30" s="20">
        <f t="shared" si="20"/>
        <v>0</v>
      </c>
      <c r="O30" s="20"/>
      <c r="P30" s="20"/>
      <c r="Q30" s="20">
        <f t="shared" si="21"/>
        <v>0</v>
      </c>
      <c r="R30" s="20"/>
      <c r="S30" s="20"/>
      <c r="T30" s="20">
        <f t="shared" si="22"/>
        <v>0</v>
      </c>
      <c r="U30" s="20"/>
      <c r="V30" s="20"/>
      <c r="W30" s="20">
        <f t="shared" si="23"/>
        <v>0</v>
      </c>
      <c r="X30" s="20"/>
      <c r="Y30" s="20"/>
      <c r="Z30" s="20">
        <f t="shared" si="24"/>
        <v>0</v>
      </c>
      <c r="AA30" s="20"/>
      <c r="AB30" s="20"/>
      <c r="AC30" s="21">
        <f t="shared" si="25"/>
        <v>0</v>
      </c>
      <c r="AD30" s="263"/>
      <c r="AE30" s="263"/>
      <c r="AF30" s="268"/>
      <c r="AG30" s="263"/>
      <c r="AH30" s="261"/>
      <c r="AI30" s="263"/>
      <c r="AJ30" s="261"/>
      <c r="AK30" s="263"/>
      <c r="AL30" s="261"/>
      <c r="AM30" s="249"/>
      <c r="AN30" s="249"/>
      <c r="AO30" s="251"/>
    </row>
    <row r="31" spans="1:41" ht="18" thickBot="1" x14ac:dyDescent="0.3">
      <c r="A31" s="283"/>
      <c r="B31" s="272" t="s">
        <v>34</v>
      </c>
      <c r="C31" s="273"/>
      <c r="D31" s="274"/>
      <c r="E31" s="23">
        <f>+SUM(E28:E30)</f>
        <v>550</v>
      </c>
      <c r="F31" s="23">
        <f>+SUM(F28:F30)</f>
        <v>550</v>
      </c>
      <c r="G31" s="23">
        <f>SUM(G28:G30)</f>
        <v>550</v>
      </c>
      <c r="H31" s="23">
        <f t="shared" ref="H31:AC31" si="26">+SUM(H28:H30)</f>
        <v>0</v>
      </c>
      <c r="I31" s="23">
        <f t="shared" si="26"/>
        <v>300</v>
      </c>
      <c r="J31" s="23">
        <f t="shared" si="26"/>
        <v>300</v>
      </c>
      <c r="K31" s="23">
        <f t="shared" si="26"/>
        <v>-250</v>
      </c>
      <c r="L31" s="23">
        <f t="shared" si="26"/>
        <v>0</v>
      </c>
      <c r="M31" s="23">
        <f t="shared" si="26"/>
        <v>0</v>
      </c>
      <c r="N31" s="23">
        <f t="shared" si="26"/>
        <v>-300</v>
      </c>
      <c r="O31" s="23">
        <f t="shared" si="26"/>
        <v>0</v>
      </c>
      <c r="P31" s="23">
        <f t="shared" si="26"/>
        <v>0</v>
      </c>
      <c r="Q31" s="23">
        <f t="shared" si="26"/>
        <v>0</v>
      </c>
      <c r="R31" s="24">
        <f t="shared" si="26"/>
        <v>0</v>
      </c>
      <c r="S31" s="24">
        <f t="shared" si="26"/>
        <v>0</v>
      </c>
      <c r="T31" s="24">
        <f t="shared" si="26"/>
        <v>0</v>
      </c>
      <c r="U31" s="24">
        <f t="shared" si="26"/>
        <v>0</v>
      </c>
      <c r="V31" s="24">
        <f t="shared" si="26"/>
        <v>0</v>
      </c>
      <c r="W31" s="24">
        <f t="shared" si="26"/>
        <v>0</v>
      </c>
      <c r="X31" s="23">
        <f t="shared" si="26"/>
        <v>0</v>
      </c>
      <c r="Y31" s="23">
        <f t="shared" si="26"/>
        <v>0</v>
      </c>
      <c r="Z31" s="23">
        <f t="shared" si="26"/>
        <v>0</v>
      </c>
      <c r="AA31" s="23">
        <f t="shared" si="26"/>
        <v>0</v>
      </c>
      <c r="AB31" s="23">
        <f t="shared" si="26"/>
        <v>0</v>
      </c>
      <c r="AC31" s="15">
        <f t="shared" si="26"/>
        <v>0</v>
      </c>
      <c r="AD31" s="264"/>
      <c r="AE31" s="264"/>
      <c r="AF31" s="269"/>
      <c r="AG31" s="264"/>
      <c r="AH31" s="262"/>
      <c r="AI31" s="264"/>
      <c r="AJ31" s="262"/>
      <c r="AK31" s="264"/>
      <c r="AL31" s="262"/>
      <c r="AM31" s="250"/>
      <c r="AN31" s="250"/>
      <c r="AO31" s="252"/>
    </row>
    <row r="32" spans="1:41" ht="18" thickBot="1" x14ac:dyDescent="0.3">
      <c r="A32" s="284"/>
      <c r="B32" s="275" t="s">
        <v>40</v>
      </c>
      <c r="C32" s="275"/>
      <c r="D32" s="276"/>
      <c r="E32" s="26">
        <f>E19+E31+E27</f>
        <v>6549</v>
      </c>
      <c r="F32" s="26">
        <f t="shared" ref="F32:AC32" si="27">F19+F31+F27</f>
        <v>550</v>
      </c>
      <c r="G32" s="26">
        <f t="shared" si="27"/>
        <v>5914</v>
      </c>
      <c r="H32" s="26">
        <f t="shared" si="27"/>
        <v>-635</v>
      </c>
      <c r="I32" s="26">
        <f t="shared" si="27"/>
        <v>300</v>
      </c>
      <c r="J32" s="26">
        <f t="shared" si="27"/>
        <v>5664</v>
      </c>
      <c r="K32" s="26">
        <f t="shared" si="27"/>
        <v>-250</v>
      </c>
      <c r="L32" s="26">
        <f t="shared" si="27"/>
        <v>205</v>
      </c>
      <c r="M32" s="26">
        <f t="shared" si="27"/>
        <v>4629</v>
      </c>
      <c r="N32" s="26">
        <f t="shared" si="27"/>
        <v>-1035</v>
      </c>
      <c r="O32" s="26">
        <f t="shared" si="27"/>
        <v>220</v>
      </c>
      <c r="P32" s="26">
        <f t="shared" si="27"/>
        <v>4615</v>
      </c>
      <c r="Q32" s="26">
        <f t="shared" si="27"/>
        <v>-14</v>
      </c>
      <c r="R32" s="26">
        <f t="shared" si="27"/>
        <v>0</v>
      </c>
      <c r="S32" s="26">
        <f t="shared" si="27"/>
        <v>4382</v>
      </c>
      <c r="T32" s="26">
        <f t="shared" si="27"/>
        <v>-233</v>
      </c>
      <c r="U32" s="26">
        <f t="shared" si="27"/>
        <v>590</v>
      </c>
      <c r="V32" s="26">
        <f t="shared" si="27"/>
        <v>4045</v>
      </c>
      <c r="W32" s="26">
        <f t="shared" si="27"/>
        <v>-337</v>
      </c>
      <c r="X32" s="26">
        <f t="shared" si="27"/>
        <v>685</v>
      </c>
      <c r="Y32" s="26">
        <f t="shared" si="27"/>
        <v>3140</v>
      </c>
      <c r="Z32" s="26">
        <f t="shared" si="27"/>
        <v>-1475</v>
      </c>
      <c r="AA32" s="26">
        <f t="shared" si="27"/>
        <v>685</v>
      </c>
      <c r="AB32" s="26">
        <f t="shared" si="27"/>
        <v>3140</v>
      </c>
      <c r="AC32" s="26">
        <f t="shared" si="27"/>
        <v>0</v>
      </c>
      <c r="AD32" s="27">
        <f>SUM(AD6:AD31)</f>
        <v>205</v>
      </c>
      <c r="AE32" s="27">
        <f>SUM(AE6:AE31)</f>
        <v>4631</v>
      </c>
      <c r="AF32" s="27">
        <f>SUM(AF6:AF31)/3</f>
        <v>30.608333333333334</v>
      </c>
      <c r="AG32" s="27">
        <f t="shared" ref="AG32:AL32" si="28">SUM(AG6:AG31)</f>
        <v>22</v>
      </c>
      <c r="AH32" s="27">
        <f t="shared" si="28"/>
        <v>400</v>
      </c>
      <c r="AI32" s="27">
        <f t="shared" si="28"/>
        <v>8</v>
      </c>
      <c r="AJ32" s="27">
        <f t="shared" si="28"/>
        <v>190</v>
      </c>
      <c r="AK32" s="27">
        <f t="shared" si="28"/>
        <v>2</v>
      </c>
      <c r="AL32" s="27">
        <f t="shared" si="28"/>
        <v>30</v>
      </c>
      <c r="AM32" s="29">
        <f>L32*AF32/480/AG32</f>
        <v>0.5941958648989899</v>
      </c>
      <c r="AN32" s="30">
        <f>M32*AF32/480/AH32</f>
        <v>0.73794778645833337</v>
      </c>
      <c r="AO32" s="31"/>
    </row>
    <row r="33" spans="1:41" ht="18.75" customHeight="1" x14ac:dyDescent="0.25">
      <c r="A33" s="265" t="s">
        <v>32</v>
      </c>
      <c r="B33" s="211" t="s">
        <v>41</v>
      </c>
      <c r="C33" s="300" t="s">
        <v>37</v>
      </c>
      <c r="D33" s="34" t="s">
        <v>42</v>
      </c>
      <c r="E33" s="212">
        <v>1645</v>
      </c>
      <c r="F33" s="212"/>
      <c r="G33" s="212">
        <f>1430</f>
        <v>1430</v>
      </c>
      <c r="H33" s="212">
        <f t="shared" ref="H33:H35" si="29">G33-E33</f>
        <v>-215</v>
      </c>
      <c r="I33" s="212"/>
      <c r="J33" s="212">
        <f>1430</f>
        <v>1430</v>
      </c>
      <c r="K33" s="212">
        <f t="shared" ref="K33:K35" si="30">J33-G33</f>
        <v>0</v>
      </c>
      <c r="L33" s="212"/>
      <c r="M33" s="212">
        <f>102+201+302+351-99-125-110+133+127+49+120+24+166+155+34</f>
        <v>1430</v>
      </c>
      <c r="N33" s="212">
        <f t="shared" ref="N33:N35" si="31">M33-J33</f>
        <v>0</v>
      </c>
      <c r="O33" s="212"/>
      <c r="P33" s="212">
        <f>1075+166+155+34</f>
        <v>1430</v>
      </c>
      <c r="Q33" s="212">
        <f t="shared" ref="Q33:Q35" si="32">P33-M33</f>
        <v>0</v>
      </c>
      <c r="R33" s="212"/>
      <c r="S33" s="212">
        <f>970+260+50+150</f>
        <v>1430</v>
      </c>
      <c r="T33" s="35">
        <f t="shared" ref="T33:T35" si="33">S33-P33</f>
        <v>0</v>
      </c>
      <c r="U33" s="212"/>
      <c r="V33" s="212">
        <f>970+310+150</f>
        <v>1430</v>
      </c>
      <c r="W33" s="35">
        <f t="shared" ref="W33:W35" si="34">V33-S33</f>
        <v>0</v>
      </c>
      <c r="X33" s="212"/>
      <c r="Y33" s="212">
        <f>860+80+15+140+90+100</f>
        <v>1285</v>
      </c>
      <c r="Z33" s="212">
        <f t="shared" ref="Z33:Z35" si="35">Y33-P33</f>
        <v>-145</v>
      </c>
      <c r="AA33" s="212"/>
      <c r="AB33" s="212">
        <f>860+80+15+140+90+100</f>
        <v>1285</v>
      </c>
      <c r="AC33" s="33">
        <f t="shared" ref="AC33:AC35" si="36">AB33-Y33</f>
        <v>0</v>
      </c>
      <c r="AD33" s="267">
        <f>L36</f>
        <v>0</v>
      </c>
      <c r="AE33" s="263">
        <f>300+98+344+213+289+412+355+358+438+80</f>
        <v>2887</v>
      </c>
      <c r="AF33" s="268">
        <v>33.130000000000003</v>
      </c>
      <c r="AG33" s="263">
        <v>1</v>
      </c>
      <c r="AH33" s="261">
        <f>2+10+8+8+8+6+6+6+9+5+6+8+7+7+6+6+6+6+6+6+7+7+7+7+6+7+17+16+16+22+21+21+10+20+20+13+10+10+10+11+13</f>
        <v>403</v>
      </c>
      <c r="AI33" s="263"/>
      <c r="AJ33" s="261">
        <f>1+1+1+1+1+1+1+2+2+2+2+2+2+2+2+2+2+1+1+1+1+1+1+1+1+4+3+4+5+8+8+6+7+6+6+6+7+7+7</f>
        <v>119</v>
      </c>
      <c r="AK33" s="263"/>
      <c r="AL33" s="261">
        <f>1+1+1+1+1+1+1+1+1+1+1+1+1+1+1+1+2+2+2+2+2+1+1+1+1+1</f>
        <v>31</v>
      </c>
      <c r="AM33" s="249">
        <f>L36*AF33/480/AG33</f>
        <v>0</v>
      </c>
      <c r="AN33" s="249">
        <f>M36*AF33/480/AH33</f>
        <v>0.65818129652605462</v>
      </c>
      <c r="AO33" s="251"/>
    </row>
    <row r="34" spans="1:41" ht="18.75" customHeight="1" x14ac:dyDescent="0.25">
      <c r="A34" s="265"/>
      <c r="B34" s="36" t="s">
        <v>43</v>
      </c>
      <c r="C34" s="301"/>
      <c r="D34" s="38" t="s">
        <v>44</v>
      </c>
      <c r="E34" s="20">
        <v>1245</v>
      </c>
      <c r="F34" s="20"/>
      <c r="G34" s="20">
        <f>1231</f>
        <v>1231</v>
      </c>
      <c r="H34" s="20">
        <f t="shared" si="29"/>
        <v>-14</v>
      </c>
      <c r="I34" s="20"/>
      <c r="J34" s="20">
        <f>1231</f>
        <v>1231</v>
      </c>
      <c r="K34" s="20">
        <f t="shared" si="30"/>
        <v>0</v>
      </c>
      <c r="L34" s="20"/>
      <c r="M34" s="20">
        <f>300+99+125+110+98+101+59+41+12+93+57+100+35</f>
        <v>1230</v>
      </c>
      <c r="N34" s="20">
        <f t="shared" si="31"/>
        <v>-1</v>
      </c>
      <c r="O34" s="20"/>
      <c r="P34" s="20">
        <f>1038+57+100+35</f>
        <v>1230</v>
      </c>
      <c r="Q34" s="20">
        <f t="shared" si="32"/>
        <v>0</v>
      </c>
      <c r="R34" s="20"/>
      <c r="S34" s="20">
        <f>930+160+50+90</f>
        <v>1230</v>
      </c>
      <c r="T34" s="39">
        <f t="shared" si="33"/>
        <v>0</v>
      </c>
      <c r="U34" s="20"/>
      <c r="V34" s="20">
        <f>910+230+90</f>
        <v>1230</v>
      </c>
      <c r="W34" s="39">
        <f t="shared" si="34"/>
        <v>0</v>
      </c>
      <c r="X34" s="20"/>
      <c r="Y34" s="20">
        <f>750+75+40+90+100+130</f>
        <v>1185</v>
      </c>
      <c r="Z34" s="20">
        <f t="shared" si="35"/>
        <v>-45</v>
      </c>
      <c r="AA34" s="20"/>
      <c r="AB34" s="20">
        <f>750+75+40+90+100+130</f>
        <v>1185</v>
      </c>
      <c r="AC34" s="37">
        <f t="shared" si="36"/>
        <v>0</v>
      </c>
      <c r="AD34" s="263"/>
      <c r="AE34" s="263"/>
      <c r="AF34" s="268"/>
      <c r="AG34" s="263"/>
      <c r="AH34" s="261"/>
      <c r="AI34" s="263"/>
      <c r="AJ34" s="261"/>
      <c r="AK34" s="263"/>
      <c r="AL34" s="261"/>
      <c r="AM34" s="249"/>
      <c r="AN34" s="249"/>
      <c r="AO34" s="251"/>
    </row>
    <row r="35" spans="1:41" ht="18.75" customHeight="1" thickBot="1" x14ac:dyDescent="0.3">
      <c r="A35" s="265"/>
      <c r="B35" s="215" t="s">
        <v>45</v>
      </c>
      <c r="C35" s="302"/>
      <c r="D35" s="42" t="s">
        <v>46</v>
      </c>
      <c r="E35" s="25">
        <v>1300</v>
      </c>
      <c r="F35" s="25"/>
      <c r="G35" s="25">
        <f>1183</f>
        <v>1183</v>
      </c>
      <c r="H35" s="25">
        <f t="shared" si="29"/>
        <v>-117</v>
      </c>
      <c r="I35" s="25"/>
      <c r="J35" s="25">
        <f>520+663</f>
        <v>1183</v>
      </c>
      <c r="K35" s="25">
        <f t="shared" si="30"/>
        <v>0</v>
      </c>
      <c r="L35" s="25"/>
      <c r="M35" s="25">
        <f>110+27+199+280+238+135+183+11</f>
        <v>1183</v>
      </c>
      <c r="N35" s="25">
        <f t="shared" si="31"/>
        <v>0</v>
      </c>
      <c r="O35" s="25"/>
      <c r="P35" s="25">
        <f>854+135+183+11</f>
        <v>1183</v>
      </c>
      <c r="Q35" s="25">
        <f t="shared" si="32"/>
        <v>0</v>
      </c>
      <c r="R35" s="25"/>
      <c r="S35" s="25">
        <f>530+420+150+83</f>
        <v>1183</v>
      </c>
      <c r="T35" s="43">
        <f t="shared" si="33"/>
        <v>0</v>
      </c>
      <c r="U35" s="25"/>
      <c r="V35" s="25">
        <f>130+400+420+150+83</f>
        <v>1183</v>
      </c>
      <c r="W35" s="43">
        <f t="shared" si="34"/>
        <v>0</v>
      </c>
      <c r="X35" s="25"/>
      <c r="Y35" s="25">
        <f>100+190+190+320+190+120</f>
        <v>1110</v>
      </c>
      <c r="Z35" s="25">
        <f t="shared" si="35"/>
        <v>-73</v>
      </c>
      <c r="AA35" s="25"/>
      <c r="AB35" s="25">
        <f>100+190+190+320+190+120</f>
        <v>1110</v>
      </c>
      <c r="AC35" s="44">
        <f t="shared" si="36"/>
        <v>0</v>
      </c>
      <c r="AD35" s="263"/>
      <c r="AE35" s="263"/>
      <c r="AF35" s="268"/>
      <c r="AG35" s="263"/>
      <c r="AH35" s="261"/>
      <c r="AI35" s="263"/>
      <c r="AJ35" s="261"/>
      <c r="AK35" s="263"/>
      <c r="AL35" s="261"/>
      <c r="AM35" s="249"/>
      <c r="AN35" s="249"/>
      <c r="AO35" s="251"/>
    </row>
    <row r="36" spans="1:41" ht="18" thickBot="1" x14ac:dyDescent="0.3">
      <c r="A36" s="265"/>
      <c r="B36" s="253" t="s">
        <v>34</v>
      </c>
      <c r="C36" s="254"/>
      <c r="D36" s="255"/>
      <c r="E36" s="24">
        <f>+SUM(E33:E35)</f>
        <v>4190</v>
      </c>
      <c r="F36" s="24">
        <f t="shared" ref="F36:AC36" si="37">+SUM(F33:F35)</f>
        <v>0</v>
      </c>
      <c r="G36" s="24">
        <f t="shared" si="37"/>
        <v>3844</v>
      </c>
      <c r="H36" s="24">
        <f t="shared" si="37"/>
        <v>-346</v>
      </c>
      <c r="I36" s="24">
        <f t="shared" si="37"/>
        <v>0</v>
      </c>
      <c r="J36" s="24">
        <f t="shared" si="37"/>
        <v>3844</v>
      </c>
      <c r="K36" s="24">
        <f t="shared" si="37"/>
        <v>0</v>
      </c>
      <c r="L36" s="24">
        <f t="shared" si="37"/>
        <v>0</v>
      </c>
      <c r="M36" s="24">
        <f t="shared" si="37"/>
        <v>3843</v>
      </c>
      <c r="N36" s="24">
        <f t="shared" si="37"/>
        <v>-1</v>
      </c>
      <c r="O36" s="24">
        <f t="shared" si="37"/>
        <v>0</v>
      </c>
      <c r="P36" s="24">
        <f t="shared" si="37"/>
        <v>3843</v>
      </c>
      <c r="Q36" s="24">
        <f t="shared" si="37"/>
        <v>0</v>
      </c>
      <c r="R36" s="24">
        <f t="shared" si="37"/>
        <v>0</v>
      </c>
      <c r="S36" s="24">
        <f t="shared" si="37"/>
        <v>3843</v>
      </c>
      <c r="T36" s="24">
        <f t="shared" si="37"/>
        <v>0</v>
      </c>
      <c r="U36" s="24">
        <f t="shared" si="37"/>
        <v>0</v>
      </c>
      <c r="V36" s="24">
        <f t="shared" si="37"/>
        <v>3843</v>
      </c>
      <c r="W36" s="24">
        <f t="shared" si="37"/>
        <v>0</v>
      </c>
      <c r="X36" s="24">
        <f t="shared" si="37"/>
        <v>0</v>
      </c>
      <c r="Y36" s="24">
        <f t="shared" si="37"/>
        <v>3580</v>
      </c>
      <c r="Z36" s="24">
        <f t="shared" si="37"/>
        <v>-263</v>
      </c>
      <c r="AA36" s="24">
        <f t="shared" si="37"/>
        <v>0</v>
      </c>
      <c r="AB36" s="24">
        <f t="shared" si="37"/>
        <v>3580</v>
      </c>
      <c r="AC36" s="24">
        <f t="shared" si="37"/>
        <v>0</v>
      </c>
      <c r="AD36" s="264"/>
      <c r="AE36" s="264"/>
      <c r="AF36" s="269"/>
      <c r="AG36" s="264"/>
      <c r="AH36" s="262"/>
      <c r="AI36" s="264"/>
      <c r="AJ36" s="262"/>
      <c r="AK36" s="264"/>
      <c r="AL36" s="262"/>
      <c r="AM36" s="250"/>
      <c r="AN36" s="250"/>
      <c r="AO36" s="252"/>
    </row>
    <row r="37" spans="1:41" ht="18" customHeight="1" thickBot="1" x14ac:dyDescent="0.3">
      <c r="A37" s="266"/>
      <c r="B37" s="256" t="s">
        <v>40</v>
      </c>
      <c r="C37" s="256"/>
      <c r="D37" s="257"/>
      <c r="E37" s="26">
        <f>E36</f>
        <v>4190</v>
      </c>
      <c r="F37" s="26">
        <f t="shared" ref="F37:AC37" si="38">F36</f>
        <v>0</v>
      </c>
      <c r="G37" s="26">
        <f t="shared" si="38"/>
        <v>3844</v>
      </c>
      <c r="H37" s="26">
        <f t="shared" si="38"/>
        <v>-346</v>
      </c>
      <c r="I37" s="26">
        <f t="shared" si="38"/>
        <v>0</v>
      </c>
      <c r="J37" s="26">
        <f t="shared" si="38"/>
        <v>3844</v>
      </c>
      <c r="K37" s="26">
        <f t="shared" si="38"/>
        <v>0</v>
      </c>
      <c r="L37" s="26">
        <f t="shared" si="38"/>
        <v>0</v>
      </c>
      <c r="M37" s="26">
        <f t="shared" si="38"/>
        <v>3843</v>
      </c>
      <c r="N37" s="26">
        <f t="shared" si="38"/>
        <v>-1</v>
      </c>
      <c r="O37" s="26">
        <f t="shared" si="38"/>
        <v>0</v>
      </c>
      <c r="P37" s="26">
        <f t="shared" si="38"/>
        <v>3843</v>
      </c>
      <c r="Q37" s="26">
        <f t="shared" si="38"/>
        <v>0</v>
      </c>
      <c r="R37" s="26">
        <f t="shared" si="38"/>
        <v>0</v>
      </c>
      <c r="S37" s="26">
        <f t="shared" si="38"/>
        <v>3843</v>
      </c>
      <c r="T37" s="26">
        <f t="shared" si="38"/>
        <v>0</v>
      </c>
      <c r="U37" s="26">
        <f t="shared" si="38"/>
        <v>0</v>
      </c>
      <c r="V37" s="26">
        <f t="shared" si="38"/>
        <v>3843</v>
      </c>
      <c r="W37" s="26">
        <f t="shared" si="38"/>
        <v>0</v>
      </c>
      <c r="X37" s="26">
        <f t="shared" si="38"/>
        <v>0</v>
      </c>
      <c r="Y37" s="26">
        <f t="shared" si="38"/>
        <v>3580</v>
      </c>
      <c r="Z37" s="26">
        <f t="shared" si="38"/>
        <v>-263</v>
      </c>
      <c r="AA37" s="26">
        <f t="shared" si="38"/>
        <v>0</v>
      </c>
      <c r="AB37" s="26">
        <f t="shared" si="38"/>
        <v>3580</v>
      </c>
      <c r="AC37" s="26">
        <f t="shared" si="38"/>
        <v>0</v>
      </c>
      <c r="AD37" s="45">
        <f t="shared" ref="AD37:AL37" si="39">SUM(AD33:AD36)</f>
        <v>0</v>
      </c>
      <c r="AE37" s="45">
        <f t="shared" si="39"/>
        <v>2887</v>
      </c>
      <c r="AF37" s="46">
        <f t="shared" si="39"/>
        <v>33.130000000000003</v>
      </c>
      <c r="AG37" s="45">
        <f t="shared" si="39"/>
        <v>1</v>
      </c>
      <c r="AH37" s="45">
        <f t="shared" si="39"/>
        <v>403</v>
      </c>
      <c r="AI37" s="45">
        <f t="shared" si="39"/>
        <v>0</v>
      </c>
      <c r="AJ37" s="45">
        <f t="shared" si="39"/>
        <v>119</v>
      </c>
      <c r="AK37" s="45">
        <f t="shared" si="39"/>
        <v>0</v>
      </c>
      <c r="AL37" s="45">
        <f t="shared" si="39"/>
        <v>31</v>
      </c>
      <c r="AM37" s="47">
        <f>L37*AF37/480/AG37</f>
        <v>0</v>
      </c>
      <c r="AN37" s="48">
        <f>M37*AF37/480/AH37</f>
        <v>0.65818129652605462</v>
      </c>
      <c r="AO37" s="49"/>
    </row>
    <row r="38" spans="1:41" s="60" customFormat="1" ht="15.75" thickBot="1" x14ac:dyDescent="0.3">
      <c r="A38" s="50"/>
      <c r="B38" s="51"/>
      <c r="C38" s="51"/>
      <c r="D38" s="51"/>
      <c r="E38" s="51"/>
      <c r="F38" s="52"/>
      <c r="G38" s="51"/>
      <c r="H38" s="51"/>
      <c r="I38" s="214"/>
      <c r="J38" s="54"/>
      <c r="K38" s="51"/>
      <c r="L38" s="55"/>
      <c r="M38" s="51"/>
      <c r="N38" s="51"/>
      <c r="O38" s="56"/>
      <c r="P38" s="51"/>
      <c r="Q38" s="51"/>
      <c r="R38" s="55"/>
      <c r="S38" s="51"/>
      <c r="T38" s="51"/>
      <c r="U38" s="55"/>
      <c r="V38" s="51"/>
      <c r="W38" s="51"/>
      <c r="X38" s="55"/>
      <c r="Y38" s="51"/>
      <c r="Z38" s="51"/>
      <c r="AA38" s="55"/>
      <c r="AB38" s="51"/>
      <c r="AC38" s="51"/>
      <c r="AD38" s="213"/>
      <c r="AE38" s="58"/>
      <c r="AF38" s="51"/>
      <c r="AG38" s="213"/>
      <c r="AH38" s="58"/>
      <c r="AI38" s="213"/>
      <c r="AJ38" s="58"/>
      <c r="AK38" s="213"/>
      <c r="AL38" s="58"/>
      <c r="AM38" s="213"/>
      <c r="AN38" s="55"/>
      <c r="AO38" s="59"/>
    </row>
    <row r="39" spans="1:41" s="60" customFormat="1" ht="15.75" thickBot="1" x14ac:dyDescent="0.3">
      <c r="A39" s="258" t="s">
        <v>47</v>
      </c>
      <c r="B39" s="259"/>
      <c r="C39" s="259"/>
      <c r="D39" s="259"/>
      <c r="E39" s="260"/>
      <c r="F39" s="63">
        <f>F37+F32</f>
        <v>550</v>
      </c>
      <c r="G39" s="64"/>
      <c r="H39" s="64"/>
      <c r="I39" s="63">
        <f>I37+I32</f>
        <v>300</v>
      </c>
      <c r="J39" s="64"/>
      <c r="K39" s="65">
        <f>K37+K32</f>
        <v>-250</v>
      </c>
      <c r="L39" s="66">
        <f>L37+L32</f>
        <v>205</v>
      </c>
      <c r="M39" s="64"/>
      <c r="N39" s="65">
        <f>N37+N32</f>
        <v>-1036</v>
      </c>
      <c r="O39" s="66">
        <f>O37+O32</f>
        <v>220</v>
      </c>
      <c r="P39" s="64"/>
      <c r="Q39" s="65">
        <f>Q37+Q32</f>
        <v>-14</v>
      </c>
      <c r="R39" s="66">
        <f>R37+R32</f>
        <v>0</v>
      </c>
      <c r="S39" s="64"/>
      <c r="T39" s="65">
        <f>T37+T32</f>
        <v>-233</v>
      </c>
      <c r="U39" s="66">
        <f>U37+U32</f>
        <v>590</v>
      </c>
      <c r="V39" s="64"/>
      <c r="W39" s="65">
        <f>W37+W32</f>
        <v>-337</v>
      </c>
      <c r="X39" s="66">
        <f>X37+X32</f>
        <v>685</v>
      </c>
      <c r="Y39" s="64"/>
      <c r="Z39" s="65">
        <f>Z37+Z32</f>
        <v>-1738</v>
      </c>
      <c r="AA39" s="66">
        <f>AA37+AA32</f>
        <v>685</v>
      </c>
      <c r="AB39" s="64"/>
      <c r="AC39" s="65">
        <f>AC37+AC32</f>
        <v>0</v>
      </c>
      <c r="AD39" s="67">
        <f>AD37+AD32</f>
        <v>205</v>
      </c>
      <c r="AE39" s="65">
        <f>AE37+AE32</f>
        <v>7518</v>
      </c>
      <c r="AF39" s="64"/>
      <c r="AG39" s="63">
        <f>AG37+AG32</f>
        <v>23</v>
      </c>
      <c r="AH39" s="68"/>
      <c r="AI39" s="63">
        <f>AI37+AI32</f>
        <v>8</v>
      </c>
      <c r="AJ39" s="68"/>
      <c r="AK39" s="63">
        <f>AK37+AK32</f>
        <v>2</v>
      </c>
      <c r="AL39" s="68"/>
      <c r="AM39" s="69">
        <f>SUM(AM37+AM32)/2</f>
        <v>0.29709793244949495</v>
      </c>
      <c r="AN39" s="69">
        <f>SUM(AN37+AN32)/2</f>
        <v>0.69806454149219399</v>
      </c>
      <c r="AO39" s="70"/>
    </row>
    <row r="40" spans="1:41" s="60" customFormat="1" ht="15" x14ac:dyDescent="0.25">
      <c r="O40" s="71"/>
    </row>
    <row r="41" spans="1:41" s="60" customFormat="1" ht="15" x14ac:dyDescent="0.25">
      <c r="O41" s="71"/>
      <c r="W41" s="60" t="s">
        <v>5</v>
      </c>
      <c r="Z41" s="60" t="s">
        <v>5</v>
      </c>
      <c r="AC41" s="60" t="s">
        <v>5</v>
      </c>
    </row>
  </sheetData>
  <mergeCells count="90">
    <mergeCell ref="AM20:AM27"/>
    <mergeCell ref="AN20:AN27"/>
    <mergeCell ref="AO20:AO27"/>
    <mergeCell ref="B27:D27"/>
    <mergeCell ref="AG20:AG27"/>
    <mergeCell ref="AH20:AH27"/>
    <mergeCell ref="AI20:AI27"/>
    <mergeCell ref="AJ20:AJ27"/>
    <mergeCell ref="AK20:AK27"/>
    <mergeCell ref="AL20:AL27"/>
    <mergeCell ref="B20:B26"/>
    <mergeCell ref="C20:C26"/>
    <mergeCell ref="AD20:AD27"/>
    <mergeCell ref="AE20:AE27"/>
    <mergeCell ref="AF20:AF27"/>
    <mergeCell ref="AN33:AN36"/>
    <mergeCell ref="AO33:AO36"/>
    <mergeCell ref="B36:D36"/>
    <mergeCell ref="B37:D37"/>
    <mergeCell ref="A39:E39"/>
    <mergeCell ref="AH33:AH36"/>
    <mergeCell ref="AI33:AI36"/>
    <mergeCell ref="AJ33:AJ36"/>
    <mergeCell ref="AK33:AK36"/>
    <mergeCell ref="AL33:AL36"/>
    <mergeCell ref="AM33:AM36"/>
    <mergeCell ref="AN28:AN31"/>
    <mergeCell ref="AO28:AO31"/>
    <mergeCell ref="B31:D31"/>
    <mergeCell ref="B32:D32"/>
    <mergeCell ref="A33:A37"/>
    <mergeCell ref="C33:C35"/>
    <mergeCell ref="AD33:AD36"/>
    <mergeCell ref="AE33:AE36"/>
    <mergeCell ref="AF33:AF36"/>
    <mergeCell ref="AG33:AG36"/>
    <mergeCell ref="AH28:AH31"/>
    <mergeCell ref="AI28:AI31"/>
    <mergeCell ref="AJ28:AJ31"/>
    <mergeCell ref="AK28:AK31"/>
    <mergeCell ref="AL28:AL31"/>
    <mergeCell ref="AM28:AM31"/>
    <mergeCell ref="AO6:AO19"/>
    <mergeCell ref="B10:B13"/>
    <mergeCell ref="B14:B18"/>
    <mergeCell ref="B19:D19"/>
    <mergeCell ref="B28:B30"/>
    <mergeCell ref="C28:C30"/>
    <mergeCell ref="AD28:AD31"/>
    <mergeCell ref="AE28:AE31"/>
    <mergeCell ref="AF28:AF31"/>
    <mergeCell ref="AG28:AG31"/>
    <mergeCell ref="AI6:AI19"/>
    <mergeCell ref="AJ6:AJ19"/>
    <mergeCell ref="AK6:AK19"/>
    <mergeCell ref="AL6:AL19"/>
    <mergeCell ref="AM6:AM19"/>
    <mergeCell ref="AN6:AN19"/>
    <mergeCell ref="AM4:AN4"/>
    <mergeCell ref="AO4:AO5"/>
    <mergeCell ref="A6:A32"/>
    <mergeCell ref="B6:B9"/>
    <mergeCell ref="C6:C18"/>
    <mergeCell ref="AD6:AD19"/>
    <mergeCell ref="AE6:AE19"/>
    <mergeCell ref="AF6:AF19"/>
    <mergeCell ref="AG6:AG19"/>
    <mergeCell ref="AH6:AH19"/>
    <mergeCell ref="X4:Z4"/>
    <mergeCell ref="AA4:AC4"/>
    <mergeCell ref="AD4:AE4"/>
    <mergeCell ref="AG4:AH4"/>
    <mergeCell ref="AI4:AJ4"/>
    <mergeCell ref="AK4:AL4"/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39" max="55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3" sqref="C3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5.7109375" style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6.14062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6.140625" style="1" bestFit="1" customWidth="1"/>
    <col min="18" max="18" width="7.85546875" style="1" customWidth="1"/>
    <col min="19" max="19" width="8.85546875" style="1" customWidth="1"/>
    <col min="20" max="20" width="7.42578125" style="1" bestFit="1" customWidth="1"/>
    <col min="21" max="21" width="8.42578125" style="1" customWidth="1"/>
    <col min="22" max="22" width="7.85546875" style="1" customWidth="1"/>
    <col min="23" max="23" width="7.425781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45378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54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218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221" t="s">
        <v>26</v>
      </c>
      <c r="G5" s="9" t="s">
        <v>27</v>
      </c>
      <c r="H5" s="10" t="s">
        <v>28</v>
      </c>
      <c r="I5" s="218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222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218" t="s">
        <v>26</v>
      </c>
      <c r="AE5" s="9" t="s">
        <v>27</v>
      </c>
      <c r="AF5" s="221" t="s">
        <v>26</v>
      </c>
      <c r="AG5" s="221" t="s">
        <v>26</v>
      </c>
      <c r="AH5" s="9" t="s">
        <v>27</v>
      </c>
      <c r="AI5" s="221" t="s">
        <v>26</v>
      </c>
      <c r="AJ5" s="15" t="s">
        <v>27</v>
      </c>
      <c r="AK5" s="221" t="s">
        <v>26</v>
      </c>
      <c r="AL5" s="9" t="s">
        <v>27</v>
      </c>
      <c r="AM5" s="218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220">
        <v>680</v>
      </c>
      <c r="F6" s="220"/>
      <c r="G6" s="220">
        <f>680</f>
        <v>680</v>
      </c>
      <c r="H6" s="220">
        <f t="shared" ref="H6:H18" si="0">G6-E6</f>
        <v>0</v>
      </c>
      <c r="I6" s="220"/>
      <c r="J6" s="220">
        <f>428+252</f>
        <v>680</v>
      </c>
      <c r="K6" s="220">
        <f t="shared" ref="K6:K18" si="1">J6-G6</f>
        <v>0</v>
      </c>
      <c r="L6" s="220"/>
      <c r="M6" s="220">
        <f>62+144+4+9+26+75+226+36+4+6+7+45+26+10</f>
        <v>680</v>
      </c>
      <c r="N6" s="220">
        <f t="shared" ref="N6:N18" si="2">M6-J6</f>
        <v>0</v>
      </c>
      <c r="O6" s="220"/>
      <c r="P6" s="119">
        <f>546+36+4+6+7+45+26+9</f>
        <v>679</v>
      </c>
      <c r="Q6" s="220">
        <f t="shared" ref="Q6:Q18" si="3">P6-M6</f>
        <v>-1</v>
      </c>
      <c r="R6" s="18"/>
      <c r="S6" s="18">
        <f>210+330+40+12+83+4</f>
        <v>679</v>
      </c>
      <c r="T6" s="18">
        <f t="shared" ref="T6:T18" si="4">S6-P6</f>
        <v>0</v>
      </c>
      <c r="U6" s="18"/>
      <c r="V6" s="18">
        <f>200+340+40+62+32+5</f>
        <v>679</v>
      </c>
      <c r="W6" s="18">
        <f t="shared" ref="W6:W18" si="5">V6-S6</f>
        <v>0</v>
      </c>
      <c r="X6" s="220">
        <v>7</v>
      </c>
      <c r="Y6" s="220">
        <f>175+10+40+350+50+30+7</f>
        <v>662</v>
      </c>
      <c r="Z6" s="220">
        <f t="shared" ref="Z6:Z18" si="6">Y6-P6</f>
        <v>-17</v>
      </c>
      <c r="AA6" s="220">
        <v>7</v>
      </c>
      <c r="AB6" s="220">
        <f>175+10+40+350+50+30+7</f>
        <v>662</v>
      </c>
      <c r="AC6" s="19">
        <f t="shared" ref="AC6:AC18" si="7">AB6-Y6</f>
        <v>0</v>
      </c>
      <c r="AD6" s="267">
        <f>L19</f>
        <v>0</v>
      </c>
      <c r="AE6" s="267">
        <f>62+144+4+20+190+196+47+175+261+297+182+288+308+374+343+307+397+362+442+2</f>
        <v>4401</v>
      </c>
      <c r="AF6" s="282">
        <v>24.192</v>
      </c>
      <c r="AG6" s="267"/>
      <c r="AH6" s="277">
        <f>6+8+6+10+10+10+20+6+22+13+22+8+10+9+11+13+26+20+20+20+15+13+13</f>
        <v>311</v>
      </c>
      <c r="AI6" s="267"/>
      <c r="AJ6" s="277">
        <f>1+2+2+2+3+3+5+4+5+5+11+11+7+7+7+7+14+12+12+12+10+9+8</f>
        <v>159</v>
      </c>
      <c r="AK6" s="267"/>
      <c r="AL6" s="277">
        <f>1+1+1+1+1+1+1+1+1+1+1+1+2+1+1+1+1+1+1</f>
        <v>20</v>
      </c>
      <c r="AM6" s="270" t="e">
        <f>L19*AF6/480/AG6</f>
        <v>#DIV/0!</v>
      </c>
      <c r="AN6" s="270">
        <f>M19*AF6/480/AH6</f>
        <v>0.71289260450160774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/>
      <c r="M7" s="20">
        <f>20+117+9+13+48+110+29+97+43+5+27+50+14+17</f>
        <v>599</v>
      </c>
      <c r="N7" s="20">
        <f t="shared" si="2"/>
        <v>0</v>
      </c>
      <c r="O7" s="20"/>
      <c r="P7" s="20">
        <f>292+29+122+43+5+27+64+11</f>
        <v>593</v>
      </c>
      <c r="Q7" s="20">
        <f t="shared" si="3"/>
        <v>-6</v>
      </c>
      <c r="R7" s="20"/>
      <c r="S7" s="20">
        <f>160+140+90+90+11+96+6</f>
        <v>593</v>
      </c>
      <c r="T7" s="20">
        <f t="shared" si="4"/>
        <v>0</v>
      </c>
      <c r="U7" s="20"/>
      <c r="V7" s="20">
        <f>150+240+90+61+40+12</f>
        <v>593</v>
      </c>
      <c r="W7" s="20">
        <f t="shared" si="5"/>
        <v>0</v>
      </c>
      <c r="X7" s="20">
        <v>12</v>
      </c>
      <c r="Y7" s="20">
        <f>480+70+12</f>
        <v>562</v>
      </c>
      <c r="Z7" s="20">
        <f t="shared" si="6"/>
        <v>-31</v>
      </c>
      <c r="AA7" s="20">
        <v>12</v>
      </c>
      <c r="AB7" s="20">
        <f>480+70+12</f>
        <v>562</v>
      </c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/>
      <c r="M8" s="20">
        <f>73+187+25+59+76+42+58+4+3+5+31+100-14+28</f>
        <v>677</v>
      </c>
      <c r="N8" s="20">
        <f t="shared" si="2"/>
        <v>0</v>
      </c>
      <c r="O8" s="20"/>
      <c r="P8" s="20">
        <f>420+42+58+4+3+5+31+86+24</f>
        <v>673</v>
      </c>
      <c r="Q8" s="20">
        <f t="shared" si="3"/>
        <v>-4</v>
      </c>
      <c r="R8" s="20"/>
      <c r="S8" s="20">
        <f>250+150+50+50+25+141+7</f>
        <v>673</v>
      </c>
      <c r="T8" s="20">
        <f t="shared" si="4"/>
        <v>0</v>
      </c>
      <c r="U8" s="20"/>
      <c r="V8" s="20">
        <f>250+200+50+135+14+24</f>
        <v>673</v>
      </c>
      <c r="W8" s="20">
        <f t="shared" si="5"/>
        <v>0</v>
      </c>
      <c r="X8" s="20">
        <v>13</v>
      </c>
      <c r="Y8" s="20">
        <f>180+45+80+130+75+100+40+13</f>
        <v>663</v>
      </c>
      <c r="Z8" s="20">
        <f t="shared" si="6"/>
        <v>-10</v>
      </c>
      <c r="AA8" s="20">
        <v>13</v>
      </c>
      <c r="AB8" s="20">
        <f>180+45+80+130+75+100+40+13</f>
        <v>663</v>
      </c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>
        <f>42+27+5+5+19+8</f>
        <v>106</v>
      </c>
      <c r="N9" s="20">
        <f t="shared" si="2"/>
        <v>0</v>
      </c>
      <c r="O9" s="20"/>
      <c r="P9" s="20">
        <f>42+27+5+5+19+5+3</f>
        <v>106</v>
      </c>
      <c r="Q9" s="20">
        <f t="shared" si="3"/>
        <v>0</v>
      </c>
      <c r="R9" s="20">
        <v>3</v>
      </c>
      <c r="S9" s="20">
        <f>10+14+79+3</f>
        <v>106</v>
      </c>
      <c r="T9" s="20">
        <f t="shared" si="4"/>
        <v>0</v>
      </c>
      <c r="U9" s="20">
        <v>3</v>
      </c>
      <c r="V9" s="20">
        <f>74+29+3</f>
        <v>106</v>
      </c>
      <c r="W9" s="20">
        <f t="shared" si="5"/>
        <v>0</v>
      </c>
      <c r="X9" s="20">
        <v>8</v>
      </c>
      <c r="Y9" s="20">
        <f>95+8</f>
        <v>103</v>
      </c>
      <c r="Z9" s="20">
        <f t="shared" si="6"/>
        <v>-3</v>
      </c>
      <c r="AA9" s="20">
        <v>8</v>
      </c>
      <c r="AB9" s="20">
        <f>95+8</f>
        <v>103</v>
      </c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303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/>
      <c r="M10" s="20">
        <f>37+134+20+12+19+1</f>
        <v>223</v>
      </c>
      <c r="N10" s="20">
        <f t="shared" si="2"/>
        <v>0</v>
      </c>
      <c r="O10" s="20"/>
      <c r="P10" s="20">
        <f>37+134+20+12+19+1</f>
        <v>223</v>
      </c>
      <c r="Q10" s="20">
        <f t="shared" si="3"/>
        <v>0</v>
      </c>
      <c r="R10" s="20"/>
      <c r="S10" s="20">
        <f>170+20+32+1</f>
        <v>223</v>
      </c>
      <c r="T10" s="20">
        <f t="shared" si="4"/>
        <v>0</v>
      </c>
      <c r="U10" s="20"/>
      <c r="V10" s="20">
        <f>160+62</f>
        <v>222</v>
      </c>
      <c r="W10" s="20">
        <f t="shared" si="5"/>
        <v>-1</v>
      </c>
      <c r="X10" s="20">
        <v>5</v>
      </c>
      <c r="Y10" s="20">
        <f>180+20+15+5</f>
        <v>220</v>
      </c>
      <c r="Z10" s="20">
        <f t="shared" si="6"/>
        <v>-3</v>
      </c>
      <c r="AA10" s="20">
        <v>5</v>
      </c>
      <c r="AB10" s="20">
        <f>180+20+15+5</f>
        <v>220</v>
      </c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>
        <f>172+55</f>
        <v>227</v>
      </c>
      <c r="N11" s="20">
        <f t="shared" si="2"/>
        <v>0</v>
      </c>
      <c r="O11" s="20"/>
      <c r="P11" s="20">
        <f>172+55</f>
        <v>227</v>
      </c>
      <c r="Q11" s="20">
        <f t="shared" si="3"/>
        <v>0</v>
      </c>
      <c r="R11" s="20"/>
      <c r="S11" s="20">
        <f>160+60+7</f>
        <v>227</v>
      </c>
      <c r="T11" s="20">
        <f t="shared" si="4"/>
        <v>0</v>
      </c>
      <c r="U11" s="20"/>
      <c r="V11" s="20">
        <f>10+210+7</f>
        <v>227</v>
      </c>
      <c r="W11" s="20">
        <f t="shared" si="5"/>
        <v>0</v>
      </c>
      <c r="X11" s="20">
        <v>3</v>
      </c>
      <c r="Y11" s="20">
        <f>200+20+3</f>
        <v>223</v>
      </c>
      <c r="Z11" s="20">
        <f t="shared" si="6"/>
        <v>-4</v>
      </c>
      <c r="AA11" s="20">
        <v>3</v>
      </c>
      <c r="AB11" s="20">
        <f>200+20+3</f>
        <v>223</v>
      </c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/>
      <c r="M12" s="20">
        <f>156+20+12+52+2</f>
        <v>242</v>
      </c>
      <c r="N12" s="20">
        <f t="shared" si="2"/>
        <v>0</v>
      </c>
      <c r="O12" s="20"/>
      <c r="P12" s="20">
        <f>156+20+12+52</f>
        <v>240</v>
      </c>
      <c r="Q12" s="20">
        <f t="shared" si="3"/>
        <v>-2</v>
      </c>
      <c r="R12" s="20"/>
      <c r="S12" s="20">
        <f>10+171+59</f>
        <v>240</v>
      </c>
      <c r="T12" s="20">
        <f t="shared" si="4"/>
        <v>0</v>
      </c>
      <c r="U12" s="20"/>
      <c r="V12" s="20">
        <f>170+70</f>
        <v>240</v>
      </c>
      <c r="W12" s="20">
        <f t="shared" si="5"/>
        <v>0</v>
      </c>
      <c r="X12" s="20">
        <v>8</v>
      </c>
      <c r="Y12" s="20">
        <f>180+20+30+8</f>
        <v>238</v>
      </c>
      <c r="Z12" s="20">
        <f t="shared" si="6"/>
        <v>-2</v>
      </c>
      <c r="AA12" s="20">
        <v>8</v>
      </c>
      <c r="AB12" s="20">
        <f>180+20+30+8</f>
        <v>238</v>
      </c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x14ac:dyDescent="0.25">
      <c r="A13" s="283"/>
      <c r="B13" s="298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/>
      <c r="M13" s="20">
        <f>10+108+4+4+24+21</f>
        <v>171</v>
      </c>
      <c r="N13" s="20">
        <f t="shared" si="2"/>
        <v>0</v>
      </c>
      <c r="O13" s="20"/>
      <c r="P13" s="20">
        <f>10+108+4+4+24+20</f>
        <v>170</v>
      </c>
      <c r="Q13" s="20">
        <f t="shared" si="3"/>
        <v>-1</v>
      </c>
      <c r="R13" s="20"/>
      <c r="S13" s="20">
        <f>10+154+6</f>
        <v>170</v>
      </c>
      <c r="T13" s="20">
        <f t="shared" si="4"/>
        <v>0</v>
      </c>
      <c r="U13" s="20"/>
      <c r="V13" s="20">
        <f>10+140+20</f>
        <v>170</v>
      </c>
      <c r="W13" s="20">
        <f t="shared" si="5"/>
        <v>0</v>
      </c>
      <c r="X13" s="20"/>
      <c r="Y13" s="20">
        <f>20+150</f>
        <v>170</v>
      </c>
      <c r="Z13" s="20">
        <f t="shared" si="6"/>
        <v>0</v>
      </c>
      <c r="AA13" s="20"/>
      <c r="AB13" s="20">
        <f>20+150</f>
        <v>170</v>
      </c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x14ac:dyDescent="0.25">
      <c r="A14" s="283"/>
      <c r="B14" s="279" t="s">
        <v>57</v>
      </c>
      <c r="C14" s="281"/>
      <c r="D14" s="20" t="s">
        <v>58</v>
      </c>
      <c r="E14" s="20">
        <v>350</v>
      </c>
      <c r="F14" s="20"/>
      <c r="G14" s="20">
        <f>328</f>
        <v>328</v>
      </c>
      <c r="H14" s="20">
        <f t="shared" si="0"/>
        <v>-22</v>
      </c>
      <c r="I14" s="20"/>
      <c r="J14" s="20">
        <f>328</f>
        <v>328</v>
      </c>
      <c r="K14" s="20">
        <f t="shared" si="1"/>
        <v>0</v>
      </c>
      <c r="L14" s="20"/>
      <c r="M14" s="20">
        <f>151+134+2+41</f>
        <v>328</v>
      </c>
      <c r="N14" s="20">
        <f t="shared" si="2"/>
        <v>0</v>
      </c>
      <c r="O14" s="20"/>
      <c r="P14" s="20">
        <f>151+134+2+41</f>
        <v>328</v>
      </c>
      <c r="Q14" s="20">
        <f t="shared" si="3"/>
        <v>0</v>
      </c>
      <c r="R14" s="18"/>
      <c r="S14" s="18">
        <f>280+48</f>
        <v>328</v>
      </c>
      <c r="T14" s="18">
        <f t="shared" si="4"/>
        <v>0</v>
      </c>
      <c r="U14" s="18"/>
      <c r="V14" s="18">
        <f>280+48</f>
        <v>328</v>
      </c>
      <c r="W14" s="18">
        <f t="shared" si="5"/>
        <v>0</v>
      </c>
      <c r="X14" s="20">
        <v>180</v>
      </c>
      <c r="Y14" s="20">
        <f>180</f>
        <v>180</v>
      </c>
      <c r="Z14" s="20">
        <f t="shared" si="6"/>
        <v>-148</v>
      </c>
      <c r="AA14" s="20">
        <v>180</v>
      </c>
      <c r="AB14" s="20">
        <f>180</f>
        <v>180</v>
      </c>
      <c r="AC14" s="21">
        <f t="shared" si="7"/>
        <v>0</v>
      </c>
      <c r="AD14" s="263"/>
      <c r="AE14" s="263"/>
      <c r="AF14" s="268"/>
      <c r="AG14" s="263"/>
      <c r="AH14" s="261"/>
      <c r="AI14" s="263"/>
      <c r="AJ14" s="261"/>
      <c r="AK14" s="263"/>
      <c r="AL14" s="261"/>
      <c r="AM14" s="249"/>
      <c r="AN14" s="249"/>
      <c r="AO14" s="251"/>
    </row>
    <row r="15" spans="1:41" x14ac:dyDescent="0.25">
      <c r="A15" s="283"/>
      <c r="B15" s="279"/>
      <c r="C15" s="281"/>
      <c r="D15" s="20" t="s">
        <v>33</v>
      </c>
      <c r="E15" s="20">
        <v>375</v>
      </c>
      <c r="F15" s="20"/>
      <c r="G15" s="20">
        <f>350</f>
        <v>350</v>
      </c>
      <c r="H15" s="20">
        <f t="shared" si="0"/>
        <v>-25</v>
      </c>
      <c r="I15" s="20"/>
      <c r="J15" s="20">
        <f>350</f>
        <v>350</v>
      </c>
      <c r="K15" s="20">
        <f t="shared" si="1"/>
        <v>0</v>
      </c>
      <c r="L15" s="20"/>
      <c r="M15" s="20">
        <f>152+120+21+28+29</f>
        <v>350</v>
      </c>
      <c r="N15" s="20">
        <f t="shared" si="2"/>
        <v>0</v>
      </c>
      <c r="O15" s="20"/>
      <c r="P15" s="20">
        <f>152+120+21+28+29</f>
        <v>350</v>
      </c>
      <c r="Q15" s="20">
        <f t="shared" si="3"/>
        <v>0</v>
      </c>
      <c r="R15" s="20"/>
      <c r="S15" s="20">
        <f>338+12</f>
        <v>350</v>
      </c>
      <c r="T15" s="20">
        <f t="shared" si="4"/>
        <v>0</v>
      </c>
      <c r="U15" s="20"/>
      <c r="V15" s="20">
        <f>338+12</f>
        <v>350</v>
      </c>
      <c r="W15" s="20">
        <f t="shared" si="5"/>
        <v>0</v>
      </c>
      <c r="X15" s="20"/>
      <c r="Y15" s="20">
        <f>300</f>
        <v>300</v>
      </c>
      <c r="Z15" s="20">
        <f t="shared" si="6"/>
        <v>-50</v>
      </c>
      <c r="AA15" s="20"/>
      <c r="AB15" s="20">
        <f>300</f>
        <v>300</v>
      </c>
      <c r="AC15" s="21">
        <f t="shared" si="7"/>
        <v>0</v>
      </c>
      <c r="AD15" s="263"/>
      <c r="AE15" s="263"/>
      <c r="AF15" s="268"/>
      <c r="AG15" s="263"/>
      <c r="AH15" s="261"/>
      <c r="AI15" s="263"/>
      <c r="AJ15" s="261"/>
      <c r="AK15" s="263"/>
      <c r="AL15" s="261"/>
      <c r="AM15" s="249"/>
      <c r="AN15" s="249"/>
      <c r="AO15" s="251"/>
    </row>
    <row r="16" spans="1:41" x14ac:dyDescent="0.25">
      <c r="A16" s="283"/>
      <c r="B16" s="279"/>
      <c r="C16" s="281"/>
      <c r="D16" s="20" t="s">
        <v>59</v>
      </c>
      <c r="E16" s="20">
        <v>375</v>
      </c>
      <c r="F16" s="20"/>
      <c r="G16" s="20">
        <f>213</f>
        <v>213</v>
      </c>
      <c r="H16" s="20">
        <f t="shared" si="0"/>
        <v>-162</v>
      </c>
      <c r="I16" s="20"/>
      <c r="J16" s="20">
        <f>213</f>
        <v>213</v>
      </c>
      <c r="K16" s="20">
        <f t="shared" si="1"/>
        <v>0</v>
      </c>
      <c r="L16" s="20"/>
      <c r="M16" s="20">
        <f>200+13</f>
        <v>213</v>
      </c>
      <c r="N16" s="20">
        <f t="shared" si="2"/>
        <v>0</v>
      </c>
      <c r="O16" s="20"/>
      <c r="P16" s="20">
        <f>200+13</f>
        <v>213</v>
      </c>
      <c r="Q16" s="20">
        <f t="shared" si="3"/>
        <v>0</v>
      </c>
      <c r="R16" s="20"/>
      <c r="S16" s="20">
        <f>10+203</f>
        <v>213</v>
      </c>
      <c r="T16" s="20">
        <f t="shared" si="4"/>
        <v>0</v>
      </c>
      <c r="U16" s="20"/>
      <c r="V16" s="20">
        <f>213</f>
        <v>213</v>
      </c>
      <c r="W16" s="20">
        <f t="shared" si="5"/>
        <v>0</v>
      </c>
      <c r="X16" s="20">
        <v>200</v>
      </c>
      <c r="Y16" s="20">
        <f>200</f>
        <v>200</v>
      </c>
      <c r="Z16" s="20">
        <f t="shared" si="6"/>
        <v>-13</v>
      </c>
      <c r="AA16" s="20">
        <v>200</v>
      </c>
      <c r="AB16" s="20">
        <f>200</f>
        <v>200</v>
      </c>
      <c r="AC16" s="21">
        <f t="shared" si="7"/>
        <v>0</v>
      </c>
      <c r="AD16" s="263"/>
      <c r="AE16" s="263"/>
      <c r="AF16" s="268"/>
      <c r="AG16" s="263"/>
      <c r="AH16" s="261"/>
      <c r="AI16" s="263"/>
      <c r="AJ16" s="261"/>
      <c r="AK16" s="263"/>
      <c r="AL16" s="261"/>
      <c r="AM16" s="249"/>
      <c r="AN16" s="249"/>
      <c r="AO16" s="251"/>
    </row>
    <row r="17" spans="1:41" x14ac:dyDescent="0.25">
      <c r="A17" s="283"/>
      <c r="B17" s="279"/>
      <c r="C17" s="281"/>
      <c r="D17" s="20" t="s">
        <v>60</v>
      </c>
      <c r="E17" s="20">
        <v>350</v>
      </c>
      <c r="F17" s="20"/>
      <c r="G17" s="20">
        <f>237</f>
        <v>237</v>
      </c>
      <c r="H17" s="20">
        <f t="shared" si="0"/>
        <v>-113</v>
      </c>
      <c r="I17" s="20"/>
      <c r="J17" s="20">
        <f>237</f>
        <v>237</v>
      </c>
      <c r="K17" s="20">
        <f t="shared" si="1"/>
        <v>0</v>
      </c>
      <c r="L17" s="20"/>
      <c r="M17" s="20">
        <f>47+190</f>
        <v>237</v>
      </c>
      <c r="N17" s="20">
        <f t="shared" si="2"/>
        <v>0</v>
      </c>
      <c r="O17" s="20"/>
      <c r="P17" s="20">
        <f>237</f>
        <v>237</v>
      </c>
      <c r="Q17" s="20">
        <f t="shared" si="3"/>
        <v>0</v>
      </c>
      <c r="R17" s="20"/>
      <c r="S17" s="20">
        <f>220+17</f>
        <v>237</v>
      </c>
      <c r="T17" s="20">
        <f t="shared" si="4"/>
        <v>0</v>
      </c>
      <c r="U17" s="20"/>
      <c r="V17" s="20">
        <f>10+227</f>
        <v>237</v>
      </c>
      <c r="W17" s="20">
        <f t="shared" si="5"/>
        <v>0</v>
      </c>
      <c r="X17" s="20">
        <v>135</v>
      </c>
      <c r="Y17" s="20">
        <f>55+135</f>
        <v>190</v>
      </c>
      <c r="Z17" s="20">
        <f t="shared" si="6"/>
        <v>-47</v>
      </c>
      <c r="AA17" s="20">
        <v>135</v>
      </c>
      <c r="AB17" s="20">
        <f>55+135</f>
        <v>190</v>
      </c>
      <c r="AC17" s="21">
        <f t="shared" si="7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" thickBot="1" x14ac:dyDescent="0.3">
      <c r="A18" s="283"/>
      <c r="B18" s="299"/>
      <c r="C18" s="281"/>
      <c r="D18" s="20" t="s">
        <v>61</v>
      </c>
      <c r="E18" s="20">
        <v>350</v>
      </c>
      <c r="F18" s="20"/>
      <c r="G18" s="20">
        <f>345+1</f>
        <v>346</v>
      </c>
      <c r="H18" s="20">
        <f t="shared" si="0"/>
        <v>-4</v>
      </c>
      <c r="I18" s="20"/>
      <c r="J18" s="20">
        <f>345+1</f>
        <v>346</v>
      </c>
      <c r="K18" s="20">
        <f t="shared" si="1"/>
        <v>0</v>
      </c>
      <c r="L18" s="20"/>
      <c r="M18" s="20">
        <f>72+273+1</f>
        <v>346</v>
      </c>
      <c r="N18" s="20">
        <f t="shared" si="2"/>
        <v>0</v>
      </c>
      <c r="O18" s="20"/>
      <c r="P18" s="20">
        <f>72+274</f>
        <v>346</v>
      </c>
      <c r="Q18" s="20">
        <f t="shared" si="3"/>
        <v>0</v>
      </c>
      <c r="R18" s="25"/>
      <c r="S18" s="25">
        <f>340+6</f>
        <v>346</v>
      </c>
      <c r="T18" s="25">
        <f t="shared" si="4"/>
        <v>0</v>
      </c>
      <c r="U18" s="25"/>
      <c r="V18" s="25">
        <f>10</f>
        <v>10</v>
      </c>
      <c r="W18" s="25">
        <f t="shared" si="5"/>
        <v>-336</v>
      </c>
      <c r="X18" s="20"/>
      <c r="Y18" s="20"/>
      <c r="Z18" s="20">
        <f t="shared" si="6"/>
        <v>-346</v>
      </c>
      <c r="AA18" s="20"/>
      <c r="AB18" s="20"/>
      <c r="AC18" s="21">
        <f t="shared" si="7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83"/>
      <c r="B19" s="272" t="s">
        <v>34</v>
      </c>
      <c r="C19" s="273"/>
      <c r="D19" s="274"/>
      <c r="E19" s="23">
        <f>+SUM(E6:E18)</f>
        <v>4962</v>
      </c>
      <c r="F19" s="23">
        <f>+SUM(F6:F18)</f>
        <v>0</v>
      </c>
      <c r="G19" s="23">
        <f>SUM(G6:G18)</f>
        <v>4399</v>
      </c>
      <c r="H19" s="23">
        <f t="shared" ref="H19:AC19" si="8">+SUM(H6:H18)</f>
        <v>-563</v>
      </c>
      <c r="I19" s="23">
        <f t="shared" si="8"/>
        <v>0</v>
      </c>
      <c r="J19" s="23">
        <f t="shared" si="8"/>
        <v>4399</v>
      </c>
      <c r="K19" s="23">
        <f t="shared" si="8"/>
        <v>0</v>
      </c>
      <c r="L19" s="23">
        <f t="shared" si="8"/>
        <v>0</v>
      </c>
      <c r="M19" s="23">
        <f t="shared" si="8"/>
        <v>4399</v>
      </c>
      <c r="N19" s="23">
        <f t="shared" si="8"/>
        <v>0</v>
      </c>
      <c r="O19" s="23">
        <f t="shared" si="8"/>
        <v>0</v>
      </c>
      <c r="P19" s="23">
        <f t="shared" si="8"/>
        <v>4385</v>
      </c>
      <c r="Q19" s="23">
        <f t="shared" si="8"/>
        <v>-14</v>
      </c>
      <c r="R19" s="24">
        <f t="shared" si="8"/>
        <v>3</v>
      </c>
      <c r="S19" s="24">
        <f t="shared" si="8"/>
        <v>4385</v>
      </c>
      <c r="T19" s="24">
        <f t="shared" si="8"/>
        <v>0</v>
      </c>
      <c r="U19" s="24">
        <f t="shared" si="8"/>
        <v>3</v>
      </c>
      <c r="V19" s="24">
        <f t="shared" si="8"/>
        <v>4048</v>
      </c>
      <c r="W19" s="24">
        <f t="shared" si="8"/>
        <v>-337</v>
      </c>
      <c r="X19" s="23">
        <f t="shared" si="8"/>
        <v>571</v>
      </c>
      <c r="Y19" s="23">
        <f t="shared" si="8"/>
        <v>3711</v>
      </c>
      <c r="Z19" s="23">
        <f t="shared" si="8"/>
        <v>-674</v>
      </c>
      <c r="AA19" s="23">
        <f t="shared" si="8"/>
        <v>571</v>
      </c>
      <c r="AB19" s="23">
        <f t="shared" si="8"/>
        <v>3711</v>
      </c>
      <c r="AC19" s="15">
        <f t="shared" si="8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.75" customHeight="1" x14ac:dyDescent="0.25">
      <c r="A20" s="283"/>
      <c r="B20" s="297" t="s">
        <v>62</v>
      </c>
      <c r="C20" s="280" t="s">
        <v>63</v>
      </c>
      <c r="D20" s="16" t="s">
        <v>33</v>
      </c>
      <c r="E20" s="220">
        <v>155</v>
      </c>
      <c r="F20" s="220"/>
      <c r="G20" s="220">
        <f>130+8</f>
        <v>138</v>
      </c>
      <c r="H20" s="220">
        <f t="shared" ref="H20:H26" si="9">G20-E20</f>
        <v>-17</v>
      </c>
      <c r="I20" s="220"/>
      <c r="J20" s="220">
        <f>100+30+8</f>
        <v>138</v>
      </c>
      <c r="K20" s="220">
        <f t="shared" ref="K20:K26" si="10">J20-G20</f>
        <v>0</v>
      </c>
      <c r="L20" s="220">
        <v>18</v>
      </c>
      <c r="M20" s="220">
        <f>25+55+18</f>
        <v>98</v>
      </c>
      <c r="N20" s="220">
        <f t="shared" ref="N20:N26" si="11">M20-J20</f>
        <v>-40</v>
      </c>
      <c r="O20" s="220">
        <v>18</v>
      </c>
      <c r="P20" s="119">
        <f>10+70+18</f>
        <v>98</v>
      </c>
      <c r="Q20" s="220">
        <f t="shared" ref="Q20:Q26" si="12">P20-M20</f>
        <v>0</v>
      </c>
      <c r="R20" s="18">
        <v>10</v>
      </c>
      <c r="S20" s="18">
        <f>10</f>
        <v>10</v>
      </c>
      <c r="T20" s="18">
        <f t="shared" ref="T20:T26" si="13">S20-P20</f>
        <v>-88</v>
      </c>
      <c r="U20" s="18">
        <v>10</v>
      </c>
      <c r="V20" s="18">
        <f>10</f>
        <v>10</v>
      </c>
      <c r="W20" s="18">
        <f t="shared" ref="W20:W26" si="14">V20-S20</f>
        <v>0</v>
      </c>
      <c r="X20" s="220"/>
      <c r="Y20" s="220"/>
      <c r="Z20" s="220">
        <f t="shared" ref="Z20:Z26" si="15">Y20-P20</f>
        <v>-98</v>
      </c>
      <c r="AA20" s="220"/>
      <c r="AB20" s="220"/>
      <c r="AC20" s="19">
        <f t="shared" ref="AC20:AC26" si="16">AB20-Y20</f>
        <v>0</v>
      </c>
      <c r="AD20" s="267">
        <f>L27</f>
        <v>197</v>
      </c>
      <c r="AE20" s="267">
        <f>25+205+197</f>
        <v>427</v>
      </c>
      <c r="AF20" s="282">
        <v>38.121000000000002</v>
      </c>
      <c r="AG20" s="267">
        <v>12</v>
      </c>
      <c r="AH20" s="277">
        <f>5+5+5+10+10+10+22+17+12</f>
        <v>96</v>
      </c>
      <c r="AI20" s="267">
        <v>8</v>
      </c>
      <c r="AJ20" s="277">
        <f>2+2+2+4+6+7+8+8</f>
        <v>39</v>
      </c>
      <c r="AK20" s="267">
        <v>2</v>
      </c>
      <c r="AL20" s="277">
        <f>1+1+1+1+1+1+2+2+2</f>
        <v>12</v>
      </c>
      <c r="AM20" s="270">
        <f>L27*AF20/480/AG20</f>
        <v>1.3037911458333336</v>
      </c>
      <c r="AN20" s="270">
        <f>M27*AF20/480/AH20</f>
        <v>0.35324798177083339</v>
      </c>
      <c r="AO20" s="271"/>
    </row>
    <row r="21" spans="1:41" x14ac:dyDescent="0.25">
      <c r="A21" s="283"/>
      <c r="B21" s="279"/>
      <c r="C21" s="281"/>
      <c r="D21" s="20" t="s">
        <v>64</v>
      </c>
      <c r="E21" s="20">
        <v>155</v>
      </c>
      <c r="F21" s="20"/>
      <c r="G21" s="20">
        <f>124+17</f>
        <v>141</v>
      </c>
      <c r="H21" s="20">
        <f t="shared" si="9"/>
        <v>-14</v>
      </c>
      <c r="I21" s="20"/>
      <c r="J21" s="20">
        <f>141</f>
        <v>141</v>
      </c>
      <c r="K21" s="20">
        <f t="shared" si="10"/>
        <v>0</v>
      </c>
      <c r="L21" s="20"/>
      <c r="M21" s="20"/>
      <c r="N21" s="20">
        <f t="shared" si="11"/>
        <v>-141</v>
      </c>
      <c r="O21" s="20"/>
      <c r="P21" s="20"/>
      <c r="Q21" s="20">
        <f t="shared" si="12"/>
        <v>0</v>
      </c>
      <c r="R21" s="20"/>
      <c r="S21" s="20"/>
      <c r="T21" s="20">
        <f t="shared" si="13"/>
        <v>0</v>
      </c>
      <c r="U21" s="20"/>
      <c r="V21" s="20"/>
      <c r="W21" s="20">
        <f t="shared" si="14"/>
        <v>0</v>
      </c>
      <c r="X21" s="20"/>
      <c r="Y21" s="20"/>
      <c r="Z21" s="20">
        <f t="shared" si="15"/>
        <v>0</v>
      </c>
      <c r="AA21" s="20"/>
      <c r="AB21" s="20"/>
      <c r="AC21" s="21">
        <f t="shared" si="16"/>
        <v>0</v>
      </c>
      <c r="AD21" s="263"/>
      <c r="AE21" s="263"/>
      <c r="AF21" s="268"/>
      <c r="AG21" s="263"/>
      <c r="AH21" s="261"/>
      <c r="AI21" s="263"/>
      <c r="AJ21" s="261"/>
      <c r="AK21" s="263"/>
      <c r="AL21" s="261"/>
      <c r="AM21" s="249"/>
      <c r="AN21" s="249"/>
      <c r="AO21" s="251"/>
    </row>
    <row r="22" spans="1:41" x14ac:dyDescent="0.25">
      <c r="A22" s="283"/>
      <c r="B22" s="279"/>
      <c r="C22" s="281"/>
      <c r="D22" s="20" t="s">
        <v>65</v>
      </c>
      <c r="E22" s="20">
        <v>155</v>
      </c>
      <c r="F22" s="20"/>
      <c r="G22" s="20">
        <f>116+9</f>
        <v>125</v>
      </c>
      <c r="H22" s="20">
        <f t="shared" si="9"/>
        <v>-30</v>
      </c>
      <c r="I22" s="20"/>
      <c r="J22" s="20">
        <f>116+9</f>
        <v>125</v>
      </c>
      <c r="K22" s="20">
        <f t="shared" si="10"/>
        <v>0</v>
      </c>
      <c r="L22" s="20">
        <f>103-51</f>
        <v>52</v>
      </c>
      <c r="M22" s="20">
        <f>51+52</f>
        <v>103</v>
      </c>
      <c r="N22" s="20">
        <f t="shared" si="11"/>
        <v>-22</v>
      </c>
      <c r="O22" s="20">
        <v>52</v>
      </c>
      <c r="P22" s="20">
        <f>51+52</f>
        <v>103</v>
      </c>
      <c r="Q22" s="20">
        <f t="shared" si="12"/>
        <v>0</v>
      </c>
      <c r="R22" s="20">
        <v>10</v>
      </c>
      <c r="S22" s="20">
        <f>10</f>
        <v>10</v>
      </c>
      <c r="T22" s="20">
        <f t="shared" si="13"/>
        <v>-93</v>
      </c>
      <c r="U22" s="20"/>
      <c r="V22" s="20"/>
      <c r="W22" s="20">
        <f t="shared" si="14"/>
        <v>-10</v>
      </c>
      <c r="X22" s="20"/>
      <c r="Y22" s="20"/>
      <c r="Z22" s="20">
        <f t="shared" si="15"/>
        <v>-103</v>
      </c>
      <c r="AA22" s="20"/>
      <c r="AB22" s="20"/>
      <c r="AC22" s="21">
        <f t="shared" si="16"/>
        <v>0</v>
      </c>
      <c r="AD22" s="263"/>
      <c r="AE22" s="263"/>
      <c r="AF22" s="268"/>
      <c r="AG22" s="263"/>
      <c r="AH22" s="261"/>
      <c r="AI22" s="263"/>
      <c r="AJ22" s="261"/>
      <c r="AK22" s="263"/>
      <c r="AL22" s="261"/>
      <c r="AM22" s="249"/>
      <c r="AN22" s="249"/>
      <c r="AO22" s="251"/>
    </row>
    <row r="23" spans="1:41" x14ac:dyDescent="0.25">
      <c r="A23" s="283"/>
      <c r="B23" s="279"/>
      <c r="C23" s="281"/>
      <c r="D23" s="20" t="s">
        <v>66</v>
      </c>
      <c r="E23" s="20">
        <v>137</v>
      </c>
      <c r="F23" s="20"/>
      <c r="G23" s="20">
        <f>124+15</f>
        <v>139</v>
      </c>
      <c r="H23" s="20">
        <f t="shared" si="9"/>
        <v>2</v>
      </c>
      <c r="I23" s="20"/>
      <c r="J23" s="20">
        <f>124+15</f>
        <v>139</v>
      </c>
      <c r="K23" s="20">
        <f t="shared" si="10"/>
        <v>0</v>
      </c>
      <c r="L23" s="20"/>
      <c r="M23" s="20">
        <f>99</f>
        <v>99</v>
      </c>
      <c r="N23" s="20">
        <f t="shared" si="11"/>
        <v>-40</v>
      </c>
      <c r="O23" s="20"/>
      <c r="P23" s="20">
        <f>99</f>
        <v>99</v>
      </c>
      <c r="Q23" s="20">
        <f t="shared" si="12"/>
        <v>0</v>
      </c>
      <c r="R23" s="20">
        <v>10</v>
      </c>
      <c r="S23" s="20">
        <f>10</f>
        <v>10</v>
      </c>
      <c r="T23" s="20">
        <f t="shared" si="13"/>
        <v>-89</v>
      </c>
      <c r="U23" s="20"/>
      <c r="V23" s="20"/>
      <c r="W23" s="20">
        <f t="shared" si="14"/>
        <v>-10</v>
      </c>
      <c r="X23" s="20"/>
      <c r="Y23" s="20"/>
      <c r="Z23" s="20">
        <f t="shared" si="15"/>
        <v>-99</v>
      </c>
      <c r="AA23" s="20"/>
      <c r="AB23" s="20"/>
      <c r="AC23" s="21">
        <f t="shared" si="16"/>
        <v>0</v>
      </c>
      <c r="AD23" s="263"/>
      <c r="AE23" s="263"/>
      <c r="AF23" s="268"/>
      <c r="AG23" s="263"/>
      <c r="AH23" s="261"/>
      <c r="AI23" s="263"/>
      <c r="AJ23" s="261"/>
      <c r="AK23" s="263"/>
      <c r="AL23" s="261"/>
      <c r="AM23" s="249"/>
      <c r="AN23" s="249"/>
      <c r="AO23" s="251"/>
    </row>
    <row r="24" spans="1:41" x14ac:dyDescent="0.25">
      <c r="A24" s="283"/>
      <c r="B24" s="279"/>
      <c r="C24" s="281"/>
      <c r="D24" s="20" t="s">
        <v>67</v>
      </c>
      <c r="E24" s="20">
        <v>155</v>
      </c>
      <c r="F24" s="20"/>
      <c r="G24" s="20">
        <f>146+9</f>
        <v>155</v>
      </c>
      <c r="H24" s="20">
        <f t="shared" si="9"/>
        <v>0</v>
      </c>
      <c r="I24" s="20"/>
      <c r="J24" s="20">
        <f>155</f>
        <v>155</v>
      </c>
      <c r="K24" s="20">
        <f t="shared" si="10"/>
        <v>0</v>
      </c>
      <c r="L24" s="20">
        <v>120</v>
      </c>
      <c r="M24" s="20">
        <f>120</f>
        <v>120</v>
      </c>
      <c r="N24" s="20">
        <f t="shared" si="11"/>
        <v>-35</v>
      </c>
      <c r="O24" s="20">
        <v>120</v>
      </c>
      <c r="P24" s="20">
        <f>120</f>
        <v>120</v>
      </c>
      <c r="Q24" s="20">
        <f t="shared" si="12"/>
        <v>0</v>
      </c>
      <c r="R24" s="20">
        <v>10</v>
      </c>
      <c r="S24" s="20">
        <f>10</f>
        <v>10</v>
      </c>
      <c r="T24" s="20">
        <f t="shared" si="13"/>
        <v>-110</v>
      </c>
      <c r="U24" s="20"/>
      <c r="V24" s="20"/>
      <c r="W24" s="20">
        <f t="shared" si="14"/>
        <v>-10</v>
      </c>
      <c r="X24" s="20"/>
      <c r="Y24" s="20"/>
      <c r="Z24" s="20">
        <f t="shared" si="15"/>
        <v>-120</v>
      </c>
      <c r="AA24" s="20"/>
      <c r="AB24" s="20"/>
      <c r="AC24" s="21">
        <f t="shared" si="16"/>
        <v>0</v>
      </c>
      <c r="AD24" s="263"/>
      <c r="AE24" s="263"/>
      <c r="AF24" s="268"/>
      <c r="AG24" s="263"/>
      <c r="AH24" s="261"/>
      <c r="AI24" s="263"/>
      <c r="AJ24" s="261"/>
      <c r="AK24" s="263"/>
      <c r="AL24" s="261"/>
      <c r="AM24" s="249"/>
      <c r="AN24" s="249"/>
      <c r="AO24" s="251"/>
    </row>
    <row r="25" spans="1:41" x14ac:dyDescent="0.25">
      <c r="A25" s="283"/>
      <c r="B25" s="279"/>
      <c r="C25" s="281"/>
      <c r="D25" s="20" t="s">
        <v>68</v>
      </c>
      <c r="E25" s="20">
        <v>155</v>
      </c>
      <c r="F25" s="20"/>
      <c r="G25" s="20">
        <f>142</f>
        <v>142</v>
      </c>
      <c r="H25" s="20">
        <f t="shared" si="9"/>
        <v>-13</v>
      </c>
      <c r="I25" s="20"/>
      <c r="J25" s="20">
        <f>142</f>
        <v>142</v>
      </c>
      <c r="K25" s="20">
        <f t="shared" si="10"/>
        <v>0</v>
      </c>
      <c r="L25" s="20"/>
      <c r="M25" s="20"/>
      <c r="N25" s="20">
        <f t="shared" si="11"/>
        <v>-142</v>
      </c>
      <c r="O25" s="20"/>
      <c r="P25" s="20"/>
      <c r="Q25" s="20">
        <f t="shared" si="12"/>
        <v>0</v>
      </c>
      <c r="R25" s="20"/>
      <c r="S25" s="20"/>
      <c r="T25" s="20">
        <f t="shared" si="13"/>
        <v>0</v>
      </c>
      <c r="U25" s="20"/>
      <c r="V25" s="20"/>
      <c r="W25" s="20">
        <f t="shared" si="14"/>
        <v>0</v>
      </c>
      <c r="X25" s="20"/>
      <c r="Y25" s="20"/>
      <c r="Z25" s="20">
        <f t="shared" si="15"/>
        <v>0</v>
      </c>
      <c r="AA25" s="20"/>
      <c r="AB25" s="20"/>
      <c r="AC25" s="21">
        <f t="shared" si="16"/>
        <v>0</v>
      </c>
      <c r="AD25" s="263"/>
      <c r="AE25" s="263"/>
      <c r="AF25" s="268"/>
      <c r="AG25" s="263"/>
      <c r="AH25" s="261"/>
      <c r="AI25" s="263"/>
      <c r="AJ25" s="261"/>
      <c r="AK25" s="263"/>
      <c r="AL25" s="261"/>
      <c r="AM25" s="249"/>
      <c r="AN25" s="249"/>
      <c r="AO25" s="251"/>
    </row>
    <row r="26" spans="1:41" ht="18" thickBot="1" x14ac:dyDescent="0.3">
      <c r="A26" s="283"/>
      <c r="B26" s="298"/>
      <c r="C26" s="281"/>
      <c r="D26" s="20" t="s">
        <v>60</v>
      </c>
      <c r="E26" s="20">
        <v>125</v>
      </c>
      <c r="F26" s="20"/>
      <c r="G26" s="20">
        <f>116+9</f>
        <v>125</v>
      </c>
      <c r="H26" s="20">
        <f t="shared" si="9"/>
        <v>0</v>
      </c>
      <c r="I26" s="20"/>
      <c r="J26" s="20">
        <f>125</f>
        <v>125</v>
      </c>
      <c r="K26" s="20">
        <f t="shared" si="10"/>
        <v>0</v>
      </c>
      <c r="L26" s="20">
        <v>7</v>
      </c>
      <c r="M26" s="20">
        <f>7</f>
        <v>7</v>
      </c>
      <c r="N26" s="20">
        <f t="shared" si="11"/>
        <v>-118</v>
      </c>
      <c r="O26" s="20">
        <v>7</v>
      </c>
      <c r="P26" s="20">
        <f>7</f>
        <v>7</v>
      </c>
      <c r="Q26" s="20">
        <f t="shared" si="12"/>
        <v>0</v>
      </c>
      <c r="R26" s="22"/>
      <c r="S26" s="22"/>
      <c r="T26" s="22">
        <f t="shared" si="13"/>
        <v>-7</v>
      </c>
      <c r="U26" s="22"/>
      <c r="V26" s="22"/>
      <c r="W26" s="22">
        <f t="shared" si="14"/>
        <v>0</v>
      </c>
      <c r="X26" s="20"/>
      <c r="Y26" s="20"/>
      <c r="Z26" s="20">
        <f t="shared" si="15"/>
        <v>-7</v>
      </c>
      <c r="AA26" s="20"/>
      <c r="AB26" s="20"/>
      <c r="AC26" s="21">
        <f t="shared" si="16"/>
        <v>0</v>
      </c>
      <c r="AD26" s="263"/>
      <c r="AE26" s="263"/>
      <c r="AF26" s="268"/>
      <c r="AG26" s="263"/>
      <c r="AH26" s="261"/>
      <c r="AI26" s="263"/>
      <c r="AJ26" s="261"/>
      <c r="AK26" s="263"/>
      <c r="AL26" s="261"/>
      <c r="AM26" s="249"/>
      <c r="AN26" s="249"/>
      <c r="AO26" s="251"/>
    </row>
    <row r="27" spans="1:41" ht="18" thickBot="1" x14ac:dyDescent="0.3">
      <c r="A27" s="283"/>
      <c r="B27" s="272" t="s">
        <v>34</v>
      </c>
      <c r="C27" s="273"/>
      <c r="D27" s="274"/>
      <c r="E27" s="23">
        <f>+SUM(E20:E26)</f>
        <v>1037</v>
      </c>
      <c r="F27" s="23">
        <f>+SUM(F20:F26)</f>
        <v>0</v>
      </c>
      <c r="G27" s="23">
        <f>SUM(G20:G26)</f>
        <v>965</v>
      </c>
      <c r="H27" s="23">
        <f t="shared" ref="H27:AC27" si="17">+SUM(H20:H26)</f>
        <v>-72</v>
      </c>
      <c r="I27" s="23">
        <f t="shared" si="17"/>
        <v>0</v>
      </c>
      <c r="J27" s="23">
        <f t="shared" si="17"/>
        <v>965</v>
      </c>
      <c r="K27" s="23">
        <f t="shared" si="17"/>
        <v>0</v>
      </c>
      <c r="L27" s="23">
        <f t="shared" si="17"/>
        <v>197</v>
      </c>
      <c r="M27" s="23">
        <f t="shared" si="17"/>
        <v>427</v>
      </c>
      <c r="N27" s="23">
        <f t="shared" si="17"/>
        <v>-538</v>
      </c>
      <c r="O27" s="23">
        <f t="shared" si="17"/>
        <v>197</v>
      </c>
      <c r="P27" s="23">
        <f t="shared" si="17"/>
        <v>427</v>
      </c>
      <c r="Q27" s="23">
        <f t="shared" si="17"/>
        <v>0</v>
      </c>
      <c r="R27" s="24">
        <f t="shared" si="17"/>
        <v>40</v>
      </c>
      <c r="S27" s="24">
        <f t="shared" si="17"/>
        <v>40</v>
      </c>
      <c r="T27" s="24">
        <f t="shared" si="17"/>
        <v>-387</v>
      </c>
      <c r="U27" s="24">
        <f t="shared" si="17"/>
        <v>10</v>
      </c>
      <c r="V27" s="24">
        <f t="shared" si="17"/>
        <v>10</v>
      </c>
      <c r="W27" s="24">
        <f t="shared" si="17"/>
        <v>-30</v>
      </c>
      <c r="X27" s="23">
        <f t="shared" si="17"/>
        <v>0</v>
      </c>
      <c r="Y27" s="23">
        <f t="shared" si="17"/>
        <v>0</v>
      </c>
      <c r="Z27" s="23">
        <f t="shared" si="17"/>
        <v>-427</v>
      </c>
      <c r="AA27" s="23">
        <f t="shared" si="17"/>
        <v>0</v>
      </c>
      <c r="AB27" s="23">
        <f t="shared" si="17"/>
        <v>0</v>
      </c>
      <c r="AC27" s="15">
        <f t="shared" si="17"/>
        <v>0</v>
      </c>
      <c r="AD27" s="264"/>
      <c r="AE27" s="264"/>
      <c r="AF27" s="269"/>
      <c r="AG27" s="264"/>
      <c r="AH27" s="262"/>
      <c r="AI27" s="264"/>
      <c r="AJ27" s="262"/>
      <c r="AK27" s="264"/>
      <c r="AL27" s="262"/>
      <c r="AM27" s="250"/>
      <c r="AN27" s="250"/>
      <c r="AO27" s="252"/>
    </row>
    <row r="28" spans="1:41" ht="18.75" customHeight="1" x14ac:dyDescent="0.25">
      <c r="A28" s="283"/>
      <c r="B28" s="297" t="s">
        <v>69</v>
      </c>
      <c r="C28" s="280" t="s">
        <v>37</v>
      </c>
      <c r="D28" s="16" t="s">
        <v>33</v>
      </c>
      <c r="E28" s="220">
        <v>160</v>
      </c>
      <c r="F28" s="220"/>
      <c r="G28" s="220">
        <f>160</f>
        <v>160</v>
      </c>
      <c r="H28" s="220">
        <f t="shared" ref="H28:H30" si="18">G28-E28</f>
        <v>0</v>
      </c>
      <c r="I28" s="220"/>
      <c r="J28" s="220">
        <f>160</f>
        <v>160</v>
      </c>
      <c r="K28" s="220">
        <f t="shared" ref="K28:K30" si="19">J28-G28</f>
        <v>0</v>
      </c>
      <c r="L28" s="220"/>
      <c r="M28" s="220"/>
      <c r="N28" s="220">
        <f t="shared" ref="N28:N30" si="20">M28-J28</f>
        <v>-160</v>
      </c>
      <c r="O28" s="220"/>
      <c r="P28" s="119"/>
      <c r="Q28" s="220">
        <f t="shared" ref="Q28:Q30" si="21">P28-M28</f>
        <v>0</v>
      </c>
      <c r="R28" s="18"/>
      <c r="S28" s="18"/>
      <c r="T28" s="18">
        <f t="shared" ref="T28:T30" si="22">S28-P28</f>
        <v>0</v>
      </c>
      <c r="U28" s="18"/>
      <c r="V28" s="18"/>
      <c r="W28" s="18">
        <f t="shared" ref="W28:W30" si="23">V28-S28</f>
        <v>0</v>
      </c>
      <c r="X28" s="220"/>
      <c r="Y28" s="220"/>
      <c r="Z28" s="220">
        <f t="shared" ref="Z28:Z30" si="24">Y28-P28</f>
        <v>0</v>
      </c>
      <c r="AA28" s="220"/>
      <c r="AB28" s="220"/>
      <c r="AC28" s="19">
        <f t="shared" ref="AC28:AC30" si="25">AB28-Y28</f>
        <v>0</v>
      </c>
      <c r="AD28" s="267">
        <f>L31</f>
        <v>0</v>
      </c>
      <c r="AE28" s="267"/>
      <c r="AF28" s="282">
        <v>29.512</v>
      </c>
      <c r="AG28" s="267">
        <v>10</v>
      </c>
      <c r="AH28" s="277">
        <f>5+10</f>
        <v>15</v>
      </c>
      <c r="AI28" s="267"/>
      <c r="AJ28" s="277"/>
      <c r="AK28" s="267"/>
      <c r="AL28" s="277"/>
      <c r="AM28" s="270">
        <f>L31*AF28/480/AG28</f>
        <v>0</v>
      </c>
      <c r="AN28" s="270">
        <f>M31*AF28/480/AH28</f>
        <v>0</v>
      </c>
      <c r="AO28" s="271"/>
    </row>
    <row r="29" spans="1:41" x14ac:dyDescent="0.25">
      <c r="A29" s="283"/>
      <c r="B29" s="279"/>
      <c r="C29" s="281"/>
      <c r="D29" s="20" t="s">
        <v>59</v>
      </c>
      <c r="E29" s="20">
        <v>180</v>
      </c>
      <c r="F29" s="20"/>
      <c r="G29" s="20">
        <f>180</f>
        <v>180</v>
      </c>
      <c r="H29" s="20">
        <f t="shared" si="18"/>
        <v>0</v>
      </c>
      <c r="I29" s="20">
        <v>40</v>
      </c>
      <c r="J29" s="20">
        <f>140+40</f>
        <v>180</v>
      </c>
      <c r="K29" s="20">
        <f t="shared" si="19"/>
        <v>0</v>
      </c>
      <c r="L29" s="20"/>
      <c r="M29" s="20"/>
      <c r="N29" s="20">
        <f t="shared" si="20"/>
        <v>-180</v>
      </c>
      <c r="O29" s="20"/>
      <c r="P29" s="20"/>
      <c r="Q29" s="20">
        <f t="shared" si="21"/>
        <v>0</v>
      </c>
      <c r="R29" s="20"/>
      <c r="S29" s="20"/>
      <c r="T29" s="20">
        <f t="shared" si="22"/>
        <v>0</v>
      </c>
      <c r="U29" s="20"/>
      <c r="V29" s="20"/>
      <c r="W29" s="20">
        <f t="shared" si="23"/>
        <v>0</v>
      </c>
      <c r="X29" s="20"/>
      <c r="Y29" s="20"/>
      <c r="Z29" s="20">
        <f t="shared" si="24"/>
        <v>0</v>
      </c>
      <c r="AA29" s="20"/>
      <c r="AB29" s="20"/>
      <c r="AC29" s="21">
        <f t="shared" si="25"/>
        <v>0</v>
      </c>
      <c r="AD29" s="263"/>
      <c r="AE29" s="263"/>
      <c r="AF29" s="268"/>
      <c r="AG29" s="263"/>
      <c r="AH29" s="261"/>
      <c r="AI29" s="263"/>
      <c r="AJ29" s="261"/>
      <c r="AK29" s="263"/>
      <c r="AL29" s="261"/>
      <c r="AM29" s="249"/>
      <c r="AN29" s="249"/>
      <c r="AO29" s="251"/>
    </row>
    <row r="30" spans="1:41" ht="18" thickBot="1" x14ac:dyDescent="0.3">
      <c r="A30" s="283"/>
      <c r="B30" s="279"/>
      <c r="C30" s="281"/>
      <c r="D30" s="20" t="s">
        <v>70</v>
      </c>
      <c r="E30" s="20">
        <v>210</v>
      </c>
      <c r="F30" s="20"/>
      <c r="G30" s="20">
        <f>210</f>
        <v>210</v>
      </c>
      <c r="H30" s="20">
        <f t="shared" si="18"/>
        <v>0</v>
      </c>
      <c r="I30" s="20">
        <v>210</v>
      </c>
      <c r="J30" s="20">
        <f>210</f>
        <v>210</v>
      </c>
      <c r="K30" s="20">
        <f t="shared" si="19"/>
        <v>0</v>
      </c>
      <c r="L30" s="20"/>
      <c r="M30" s="20"/>
      <c r="N30" s="20">
        <f t="shared" si="20"/>
        <v>-210</v>
      </c>
      <c r="O30" s="20"/>
      <c r="P30" s="20"/>
      <c r="Q30" s="20">
        <f t="shared" si="21"/>
        <v>0</v>
      </c>
      <c r="R30" s="20"/>
      <c r="S30" s="20"/>
      <c r="T30" s="20">
        <f t="shared" si="22"/>
        <v>0</v>
      </c>
      <c r="U30" s="20"/>
      <c r="V30" s="20"/>
      <c r="W30" s="20">
        <f t="shared" si="23"/>
        <v>0</v>
      </c>
      <c r="X30" s="20"/>
      <c r="Y30" s="20"/>
      <c r="Z30" s="20">
        <f t="shared" si="24"/>
        <v>0</v>
      </c>
      <c r="AA30" s="20"/>
      <c r="AB30" s="20"/>
      <c r="AC30" s="21">
        <f t="shared" si="25"/>
        <v>0</v>
      </c>
      <c r="AD30" s="263"/>
      <c r="AE30" s="263"/>
      <c r="AF30" s="268"/>
      <c r="AG30" s="263"/>
      <c r="AH30" s="261"/>
      <c r="AI30" s="263"/>
      <c r="AJ30" s="261"/>
      <c r="AK30" s="263"/>
      <c r="AL30" s="261"/>
      <c r="AM30" s="249"/>
      <c r="AN30" s="249"/>
      <c r="AO30" s="251"/>
    </row>
    <row r="31" spans="1:41" ht="18" thickBot="1" x14ac:dyDescent="0.3">
      <c r="A31" s="283"/>
      <c r="B31" s="272" t="s">
        <v>34</v>
      </c>
      <c r="C31" s="273"/>
      <c r="D31" s="274"/>
      <c r="E31" s="23">
        <f>+SUM(E28:E30)</f>
        <v>550</v>
      </c>
      <c r="F31" s="23">
        <f>+SUM(F28:F30)</f>
        <v>0</v>
      </c>
      <c r="G31" s="23">
        <f>SUM(G28:G30)</f>
        <v>550</v>
      </c>
      <c r="H31" s="23">
        <f t="shared" ref="H31:AC31" si="26">+SUM(H28:H30)</f>
        <v>0</v>
      </c>
      <c r="I31" s="23">
        <f t="shared" si="26"/>
        <v>250</v>
      </c>
      <c r="J31" s="23">
        <f t="shared" si="26"/>
        <v>550</v>
      </c>
      <c r="K31" s="23">
        <f t="shared" si="26"/>
        <v>0</v>
      </c>
      <c r="L31" s="23">
        <f t="shared" si="26"/>
        <v>0</v>
      </c>
      <c r="M31" s="23">
        <f t="shared" si="26"/>
        <v>0</v>
      </c>
      <c r="N31" s="23">
        <f t="shared" si="26"/>
        <v>-550</v>
      </c>
      <c r="O31" s="23">
        <f t="shared" si="26"/>
        <v>0</v>
      </c>
      <c r="P31" s="23">
        <f t="shared" si="26"/>
        <v>0</v>
      </c>
      <c r="Q31" s="23">
        <f t="shared" si="26"/>
        <v>0</v>
      </c>
      <c r="R31" s="24">
        <f t="shared" si="26"/>
        <v>0</v>
      </c>
      <c r="S31" s="24">
        <f t="shared" si="26"/>
        <v>0</v>
      </c>
      <c r="T31" s="24">
        <f t="shared" si="26"/>
        <v>0</v>
      </c>
      <c r="U31" s="24">
        <f t="shared" si="26"/>
        <v>0</v>
      </c>
      <c r="V31" s="24">
        <f t="shared" si="26"/>
        <v>0</v>
      </c>
      <c r="W31" s="24">
        <f t="shared" si="26"/>
        <v>0</v>
      </c>
      <c r="X31" s="23">
        <f t="shared" si="26"/>
        <v>0</v>
      </c>
      <c r="Y31" s="23">
        <f t="shared" si="26"/>
        <v>0</v>
      </c>
      <c r="Z31" s="23">
        <f t="shared" si="26"/>
        <v>0</v>
      </c>
      <c r="AA31" s="23">
        <f t="shared" si="26"/>
        <v>0</v>
      </c>
      <c r="AB31" s="23">
        <f t="shared" si="26"/>
        <v>0</v>
      </c>
      <c r="AC31" s="15">
        <f t="shared" si="26"/>
        <v>0</v>
      </c>
      <c r="AD31" s="264"/>
      <c r="AE31" s="264"/>
      <c r="AF31" s="269"/>
      <c r="AG31" s="264"/>
      <c r="AH31" s="262"/>
      <c r="AI31" s="264"/>
      <c r="AJ31" s="262"/>
      <c r="AK31" s="264"/>
      <c r="AL31" s="262"/>
      <c r="AM31" s="250"/>
      <c r="AN31" s="250"/>
      <c r="AO31" s="252"/>
    </row>
    <row r="32" spans="1:41" ht="18" thickBot="1" x14ac:dyDescent="0.3">
      <c r="A32" s="284"/>
      <c r="B32" s="275" t="s">
        <v>40</v>
      </c>
      <c r="C32" s="275"/>
      <c r="D32" s="276"/>
      <c r="E32" s="26">
        <f>E19+E31+E27</f>
        <v>6549</v>
      </c>
      <c r="F32" s="26">
        <f t="shared" ref="F32:AC32" si="27">F19+F31+F27</f>
        <v>0</v>
      </c>
      <c r="G32" s="26">
        <f t="shared" si="27"/>
        <v>5914</v>
      </c>
      <c r="H32" s="26">
        <f t="shared" si="27"/>
        <v>-635</v>
      </c>
      <c r="I32" s="26">
        <f t="shared" si="27"/>
        <v>250</v>
      </c>
      <c r="J32" s="26">
        <f t="shared" si="27"/>
        <v>5914</v>
      </c>
      <c r="K32" s="26">
        <f t="shared" si="27"/>
        <v>0</v>
      </c>
      <c r="L32" s="26">
        <f t="shared" si="27"/>
        <v>197</v>
      </c>
      <c r="M32" s="26">
        <f t="shared" si="27"/>
        <v>4826</v>
      </c>
      <c r="N32" s="26">
        <f t="shared" si="27"/>
        <v>-1088</v>
      </c>
      <c r="O32" s="26">
        <f t="shared" si="27"/>
        <v>197</v>
      </c>
      <c r="P32" s="26">
        <f t="shared" si="27"/>
        <v>4812</v>
      </c>
      <c r="Q32" s="26">
        <f t="shared" si="27"/>
        <v>-14</v>
      </c>
      <c r="R32" s="26">
        <f t="shared" si="27"/>
        <v>43</v>
      </c>
      <c r="S32" s="26">
        <f t="shared" si="27"/>
        <v>4425</v>
      </c>
      <c r="T32" s="26">
        <f t="shared" si="27"/>
        <v>-387</v>
      </c>
      <c r="U32" s="26">
        <f t="shared" si="27"/>
        <v>13</v>
      </c>
      <c r="V32" s="26">
        <f t="shared" si="27"/>
        <v>4058</v>
      </c>
      <c r="W32" s="26">
        <f t="shared" si="27"/>
        <v>-367</v>
      </c>
      <c r="X32" s="26">
        <f t="shared" si="27"/>
        <v>571</v>
      </c>
      <c r="Y32" s="26">
        <f t="shared" si="27"/>
        <v>3711</v>
      </c>
      <c r="Z32" s="26">
        <f t="shared" si="27"/>
        <v>-1101</v>
      </c>
      <c r="AA32" s="26">
        <f t="shared" si="27"/>
        <v>571</v>
      </c>
      <c r="AB32" s="26">
        <f t="shared" si="27"/>
        <v>3711</v>
      </c>
      <c r="AC32" s="26">
        <f t="shared" si="27"/>
        <v>0</v>
      </c>
      <c r="AD32" s="27">
        <f>SUM(AD6:AD31)</f>
        <v>197</v>
      </c>
      <c r="AE32" s="27">
        <f>SUM(AE6:AE31)</f>
        <v>4828</v>
      </c>
      <c r="AF32" s="27">
        <f>SUM(AF6:AF31)/3</f>
        <v>30.608333333333334</v>
      </c>
      <c r="AG32" s="27">
        <f t="shared" ref="AG32:AL32" si="28">SUM(AG6:AG31)</f>
        <v>22</v>
      </c>
      <c r="AH32" s="27">
        <f t="shared" si="28"/>
        <v>422</v>
      </c>
      <c r="AI32" s="27">
        <f t="shared" si="28"/>
        <v>8</v>
      </c>
      <c r="AJ32" s="27">
        <f t="shared" si="28"/>
        <v>198</v>
      </c>
      <c r="AK32" s="27">
        <f t="shared" si="28"/>
        <v>2</v>
      </c>
      <c r="AL32" s="27">
        <f t="shared" si="28"/>
        <v>32</v>
      </c>
      <c r="AM32" s="29">
        <f>L32*AF32/480/AG32</f>
        <v>0.57100773358585866</v>
      </c>
      <c r="AN32" s="30">
        <f>M32*AF32/480/AH32</f>
        <v>0.72924475052659299</v>
      </c>
      <c r="AO32" s="31"/>
    </row>
    <row r="33" spans="1:41" ht="18.75" customHeight="1" x14ac:dyDescent="0.25">
      <c r="A33" s="265" t="s">
        <v>32</v>
      </c>
      <c r="B33" s="219" t="s">
        <v>41</v>
      </c>
      <c r="C33" s="300" t="s">
        <v>37</v>
      </c>
      <c r="D33" s="34" t="s">
        <v>42</v>
      </c>
      <c r="E33" s="220">
        <v>1645</v>
      </c>
      <c r="F33" s="220"/>
      <c r="G33" s="220">
        <f>1430</f>
        <v>1430</v>
      </c>
      <c r="H33" s="220">
        <f t="shared" ref="H33:H35" si="29">G33-E33</f>
        <v>-215</v>
      </c>
      <c r="I33" s="220"/>
      <c r="J33" s="220">
        <f>1430</f>
        <v>1430</v>
      </c>
      <c r="K33" s="220">
        <f t="shared" ref="K33:K35" si="30">J33-G33</f>
        <v>0</v>
      </c>
      <c r="L33" s="220"/>
      <c r="M33" s="220">
        <f>102+201+302+351-99-125-110+133+127+49+120+24+166+155+34</f>
        <v>1430</v>
      </c>
      <c r="N33" s="220">
        <f t="shared" ref="N33:N35" si="31">M33-J33</f>
        <v>0</v>
      </c>
      <c r="O33" s="220"/>
      <c r="P33" s="220">
        <f>1075+166+155+34</f>
        <v>1430</v>
      </c>
      <c r="Q33" s="220">
        <f t="shared" ref="Q33:Q35" si="32">P33-M33</f>
        <v>0</v>
      </c>
      <c r="R33" s="220"/>
      <c r="S33" s="220">
        <f>970+260+50+150</f>
        <v>1430</v>
      </c>
      <c r="T33" s="35">
        <f t="shared" ref="T33:T35" si="33">S33-P33</f>
        <v>0</v>
      </c>
      <c r="U33" s="220"/>
      <c r="V33" s="220">
        <f>970+310+150</f>
        <v>1430</v>
      </c>
      <c r="W33" s="35">
        <f t="shared" ref="W33:W35" si="34">V33-S33</f>
        <v>0</v>
      </c>
      <c r="X33" s="220"/>
      <c r="Y33" s="220">
        <f>860+80+15+140+90+100</f>
        <v>1285</v>
      </c>
      <c r="Z33" s="220">
        <f t="shared" ref="Z33:Z35" si="35">Y33-P33</f>
        <v>-145</v>
      </c>
      <c r="AA33" s="220"/>
      <c r="AB33" s="220">
        <f>860+80+15+140+90+100</f>
        <v>1285</v>
      </c>
      <c r="AC33" s="33">
        <f t="shared" ref="AC33:AC35" si="36">AB33-Y33</f>
        <v>0</v>
      </c>
      <c r="AD33" s="267">
        <f>L36</f>
        <v>0</v>
      </c>
      <c r="AE33" s="263">
        <f>300+98+344+213+289+412+355+358+438+80</f>
        <v>2887</v>
      </c>
      <c r="AF33" s="268">
        <v>33.130000000000003</v>
      </c>
      <c r="AG33" s="263">
        <v>1</v>
      </c>
      <c r="AH33" s="261">
        <f>2+10+8+8+8+6+6+6+9+5+6+8+7+7+6+6+6+6+6+6+7+7+7+7+6+7+17+16+16+22+21+21+10+20+20+13+10+10+10+11+13</f>
        <v>403</v>
      </c>
      <c r="AI33" s="263"/>
      <c r="AJ33" s="261">
        <f>1+1+1+1+1+1+1+2+2+2+2+2+2+2+2+2+2+1+1+1+1+1+1+1+1+4+3+4+5+8+8+6+7+6+6+6+7+7+7</f>
        <v>119</v>
      </c>
      <c r="AK33" s="263"/>
      <c r="AL33" s="261">
        <f>1+1+1+1+1+1+1+1+1+1+1+1+1+1+1+1+2+2+2+2+2+1+1+1+1+1</f>
        <v>31</v>
      </c>
      <c r="AM33" s="249">
        <f>L36*AF33/480/AG33</f>
        <v>0</v>
      </c>
      <c r="AN33" s="249">
        <f>M36*AF33/480/AH33</f>
        <v>0.65818129652605462</v>
      </c>
      <c r="AO33" s="251"/>
    </row>
    <row r="34" spans="1:41" ht="18.75" customHeight="1" x14ac:dyDescent="0.25">
      <c r="A34" s="265"/>
      <c r="B34" s="36" t="s">
        <v>43</v>
      </c>
      <c r="C34" s="301"/>
      <c r="D34" s="38" t="s">
        <v>44</v>
      </c>
      <c r="E34" s="20">
        <v>1245</v>
      </c>
      <c r="F34" s="20"/>
      <c r="G34" s="20">
        <f>1231</f>
        <v>1231</v>
      </c>
      <c r="H34" s="20">
        <f t="shared" si="29"/>
        <v>-14</v>
      </c>
      <c r="I34" s="20"/>
      <c r="J34" s="20">
        <f>1231</f>
        <v>1231</v>
      </c>
      <c r="K34" s="20">
        <f t="shared" si="30"/>
        <v>0</v>
      </c>
      <c r="L34" s="20"/>
      <c r="M34" s="20">
        <f>300+99+125+110+98+101+59+41+12+93+57+100+35</f>
        <v>1230</v>
      </c>
      <c r="N34" s="20">
        <f t="shared" si="31"/>
        <v>-1</v>
      </c>
      <c r="O34" s="20"/>
      <c r="P34" s="20">
        <f>1038+57+100+35</f>
        <v>1230</v>
      </c>
      <c r="Q34" s="20">
        <f t="shared" si="32"/>
        <v>0</v>
      </c>
      <c r="R34" s="20"/>
      <c r="S34" s="20">
        <f>930+160+50+90</f>
        <v>1230</v>
      </c>
      <c r="T34" s="39">
        <f t="shared" si="33"/>
        <v>0</v>
      </c>
      <c r="U34" s="20"/>
      <c r="V34" s="20">
        <f>910+230+90</f>
        <v>1230</v>
      </c>
      <c r="W34" s="39">
        <f t="shared" si="34"/>
        <v>0</v>
      </c>
      <c r="X34" s="20"/>
      <c r="Y34" s="20">
        <f>750+75+40+90+100+130</f>
        <v>1185</v>
      </c>
      <c r="Z34" s="20">
        <f t="shared" si="35"/>
        <v>-45</v>
      </c>
      <c r="AA34" s="20"/>
      <c r="AB34" s="20">
        <f>750+75+40+90+100+130</f>
        <v>1185</v>
      </c>
      <c r="AC34" s="37">
        <f t="shared" si="36"/>
        <v>0</v>
      </c>
      <c r="AD34" s="263"/>
      <c r="AE34" s="263"/>
      <c r="AF34" s="268"/>
      <c r="AG34" s="263"/>
      <c r="AH34" s="261"/>
      <c r="AI34" s="263"/>
      <c r="AJ34" s="261"/>
      <c r="AK34" s="263"/>
      <c r="AL34" s="261"/>
      <c r="AM34" s="249"/>
      <c r="AN34" s="249"/>
      <c r="AO34" s="251"/>
    </row>
    <row r="35" spans="1:41" ht="18.75" customHeight="1" thickBot="1" x14ac:dyDescent="0.3">
      <c r="A35" s="265"/>
      <c r="B35" s="223" t="s">
        <v>45</v>
      </c>
      <c r="C35" s="302"/>
      <c r="D35" s="42" t="s">
        <v>46</v>
      </c>
      <c r="E35" s="25">
        <v>1300</v>
      </c>
      <c r="F35" s="25"/>
      <c r="G35" s="25">
        <f>1183</f>
        <v>1183</v>
      </c>
      <c r="H35" s="25">
        <f t="shared" si="29"/>
        <v>-117</v>
      </c>
      <c r="I35" s="25"/>
      <c r="J35" s="25">
        <f>520+663</f>
        <v>1183</v>
      </c>
      <c r="K35" s="25">
        <f t="shared" si="30"/>
        <v>0</v>
      </c>
      <c r="L35" s="25"/>
      <c r="M35" s="25">
        <f>110+27+199+280+238+135+183+11</f>
        <v>1183</v>
      </c>
      <c r="N35" s="25">
        <f t="shared" si="31"/>
        <v>0</v>
      </c>
      <c r="O35" s="25"/>
      <c r="P35" s="25">
        <f>854+135+183+11</f>
        <v>1183</v>
      </c>
      <c r="Q35" s="25">
        <f t="shared" si="32"/>
        <v>0</v>
      </c>
      <c r="R35" s="25"/>
      <c r="S35" s="25">
        <f>530+420+150+83</f>
        <v>1183</v>
      </c>
      <c r="T35" s="43">
        <f t="shared" si="33"/>
        <v>0</v>
      </c>
      <c r="U35" s="25"/>
      <c r="V35" s="25">
        <f>130+400+420+150+83</f>
        <v>1183</v>
      </c>
      <c r="W35" s="43">
        <f t="shared" si="34"/>
        <v>0</v>
      </c>
      <c r="X35" s="25"/>
      <c r="Y35" s="25">
        <f>100+190+190+320+190+120</f>
        <v>1110</v>
      </c>
      <c r="Z35" s="25">
        <f t="shared" si="35"/>
        <v>-73</v>
      </c>
      <c r="AA35" s="25"/>
      <c r="AB35" s="25">
        <f>100+190+190+320+190+120</f>
        <v>1110</v>
      </c>
      <c r="AC35" s="44">
        <f t="shared" si="36"/>
        <v>0</v>
      </c>
      <c r="AD35" s="263"/>
      <c r="AE35" s="263"/>
      <c r="AF35" s="268"/>
      <c r="AG35" s="263"/>
      <c r="AH35" s="261"/>
      <c r="AI35" s="263"/>
      <c r="AJ35" s="261"/>
      <c r="AK35" s="263"/>
      <c r="AL35" s="261"/>
      <c r="AM35" s="249"/>
      <c r="AN35" s="249"/>
      <c r="AO35" s="251"/>
    </row>
    <row r="36" spans="1:41" ht="18" thickBot="1" x14ac:dyDescent="0.3">
      <c r="A36" s="265"/>
      <c r="B36" s="253" t="s">
        <v>34</v>
      </c>
      <c r="C36" s="254"/>
      <c r="D36" s="255"/>
      <c r="E36" s="24">
        <f>+SUM(E33:E35)</f>
        <v>4190</v>
      </c>
      <c r="F36" s="24">
        <f t="shared" ref="F36:AC36" si="37">+SUM(F33:F35)</f>
        <v>0</v>
      </c>
      <c r="G36" s="24">
        <f t="shared" si="37"/>
        <v>3844</v>
      </c>
      <c r="H36" s="24">
        <f t="shared" si="37"/>
        <v>-346</v>
      </c>
      <c r="I36" s="24">
        <f t="shared" si="37"/>
        <v>0</v>
      </c>
      <c r="J36" s="24">
        <f t="shared" si="37"/>
        <v>3844</v>
      </c>
      <c r="K36" s="24">
        <f t="shared" si="37"/>
        <v>0</v>
      </c>
      <c r="L36" s="24">
        <f t="shared" si="37"/>
        <v>0</v>
      </c>
      <c r="M36" s="24">
        <f t="shared" si="37"/>
        <v>3843</v>
      </c>
      <c r="N36" s="24">
        <f t="shared" si="37"/>
        <v>-1</v>
      </c>
      <c r="O36" s="24">
        <f t="shared" si="37"/>
        <v>0</v>
      </c>
      <c r="P36" s="24">
        <f t="shared" si="37"/>
        <v>3843</v>
      </c>
      <c r="Q36" s="24">
        <f t="shared" si="37"/>
        <v>0</v>
      </c>
      <c r="R36" s="24">
        <f t="shared" si="37"/>
        <v>0</v>
      </c>
      <c r="S36" s="24">
        <f t="shared" si="37"/>
        <v>3843</v>
      </c>
      <c r="T36" s="24">
        <f t="shared" si="37"/>
        <v>0</v>
      </c>
      <c r="U36" s="24">
        <f t="shared" si="37"/>
        <v>0</v>
      </c>
      <c r="V36" s="24">
        <f t="shared" si="37"/>
        <v>3843</v>
      </c>
      <c r="W36" s="24">
        <f t="shared" si="37"/>
        <v>0</v>
      </c>
      <c r="X36" s="24">
        <f t="shared" si="37"/>
        <v>0</v>
      </c>
      <c r="Y36" s="24">
        <f t="shared" si="37"/>
        <v>3580</v>
      </c>
      <c r="Z36" s="24">
        <f t="shared" si="37"/>
        <v>-263</v>
      </c>
      <c r="AA36" s="24">
        <f t="shared" si="37"/>
        <v>0</v>
      </c>
      <c r="AB36" s="24">
        <f t="shared" si="37"/>
        <v>3580</v>
      </c>
      <c r="AC36" s="24">
        <f t="shared" si="37"/>
        <v>0</v>
      </c>
      <c r="AD36" s="264"/>
      <c r="AE36" s="264"/>
      <c r="AF36" s="269"/>
      <c r="AG36" s="264"/>
      <c r="AH36" s="262"/>
      <c r="AI36" s="264"/>
      <c r="AJ36" s="262"/>
      <c r="AK36" s="264"/>
      <c r="AL36" s="262"/>
      <c r="AM36" s="250"/>
      <c r="AN36" s="250"/>
      <c r="AO36" s="252"/>
    </row>
    <row r="37" spans="1:41" ht="18" customHeight="1" thickBot="1" x14ac:dyDescent="0.3">
      <c r="A37" s="266"/>
      <c r="B37" s="256" t="s">
        <v>40</v>
      </c>
      <c r="C37" s="256"/>
      <c r="D37" s="257"/>
      <c r="E37" s="26">
        <f>E36</f>
        <v>4190</v>
      </c>
      <c r="F37" s="26">
        <f t="shared" ref="F37:AC37" si="38">F36</f>
        <v>0</v>
      </c>
      <c r="G37" s="26">
        <f t="shared" si="38"/>
        <v>3844</v>
      </c>
      <c r="H37" s="26">
        <f t="shared" si="38"/>
        <v>-346</v>
      </c>
      <c r="I37" s="26">
        <f t="shared" si="38"/>
        <v>0</v>
      </c>
      <c r="J37" s="26">
        <f t="shared" si="38"/>
        <v>3844</v>
      </c>
      <c r="K37" s="26">
        <f t="shared" si="38"/>
        <v>0</v>
      </c>
      <c r="L37" s="26">
        <f t="shared" si="38"/>
        <v>0</v>
      </c>
      <c r="M37" s="26">
        <f t="shared" si="38"/>
        <v>3843</v>
      </c>
      <c r="N37" s="26">
        <f t="shared" si="38"/>
        <v>-1</v>
      </c>
      <c r="O37" s="26">
        <f t="shared" si="38"/>
        <v>0</v>
      </c>
      <c r="P37" s="26">
        <f t="shared" si="38"/>
        <v>3843</v>
      </c>
      <c r="Q37" s="26">
        <f t="shared" si="38"/>
        <v>0</v>
      </c>
      <c r="R37" s="26">
        <f t="shared" si="38"/>
        <v>0</v>
      </c>
      <c r="S37" s="26">
        <f t="shared" si="38"/>
        <v>3843</v>
      </c>
      <c r="T37" s="26">
        <f t="shared" si="38"/>
        <v>0</v>
      </c>
      <c r="U37" s="26">
        <f t="shared" si="38"/>
        <v>0</v>
      </c>
      <c r="V37" s="26">
        <f t="shared" si="38"/>
        <v>3843</v>
      </c>
      <c r="W37" s="26">
        <f t="shared" si="38"/>
        <v>0</v>
      </c>
      <c r="X37" s="26">
        <f t="shared" si="38"/>
        <v>0</v>
      </c>
      <c r="Y37" s="26">
        <f t="shared" si="38"/>
        <v>3580</v>
      </c>
      <c r="Z37" s="26">
        <f t="shared" si="38"/>
        <v>-263</v>
      </c>
      <c r="AA37" s="26">
        <f t="shared" si="38"/>
        <v>0</v>
      </c>
      <c r="AB37" s="26">
        <f t="shared" si="38"/>
        <v>3580</v>
      </c>
      <c r="AC37" s="26">
        <f t="shared" si="38"/>
        <v>0</v>
      </c>
      <c r="AD37" s="45">
        <f t="shared" ref="AD37:AL37" si="39">SUM(AD33:AD36)</f>
        <v>0</v>
      </c>
      <c r="AE37" s="45">
        <f t="shared" si="39"/>
        <v>2887</v>
      </c>
      <c r="AF37" s="46">
        <f t="shared" si="39"/>
        <v>33.130000000000003</v>
      </c>
      <c r="AG37" s="45">
        <f t="shared" si="39"/>
        <v>1</v>
      </c>
      <c r="AH37" s="45">
        <f t="shared" si="39"/>
        <v>403</v>
      </c>
      <c r="AI37" s="45">
        <f t="shared" si="39"/>
        <v>0</v>
      </c>
      <c r="AJ37" s="45">
        <f t="shared" si="39"/>
        <v>119</v>
      </c>
      <c r="AK37" s="45">
        <f t="shared" si="39"/>
        <v>0</v>
      </c>
      <c r="AL37" s="45">
        <f t="shared" si="39"/>
        <v>31</v>
      </c>
      <c r="AM37" s="47">
        <f>L37*AF37/480/AG37</f>
        <v>0</v>
      </c>
      <c r="AN37" s="48">
        <f>M37*AF37/480/AH37</f>
        <v>0.65818129652605462</v>
      </c>
      <c r="AO37" s="49"/>
    </row>
    <row r="38" spans="1:41" s="60" customFormat="1" ht="15.75" thickBot="1" x14ac:dyDescent="0.3">
      <c r="A38" s="50"/>
      <c r="B38" s="51"/>
      <c r="C38" s="51"/>
      <c r="D38" s="51"/>
      <c r="E38" s="51"/>
      <c r="F38" s="52"/>
      <c r="G38" s="51"/>
      <c r="H38" s="51"/>
      <c r="I38" s="217"/>
      <c r="J38" s="54"/>
      <c r="K38" s="51"/>
      <c r="L38" s="55"/>
      <c r="M38" s="51"/>
      <c r="N38" s="51"/>
      <c r="O38" s="56"/>
      <c r="P38" s="51"/>
      <c r="Q38" s="51"/>
      <c r="R38" s="55"/>
      <c r="S38" s="51"/>
      <c r="T38" s="51"/>
      <c r="U38" s="55"/>
      <c r="V38" s="51"/>
      <c r="W38" s="51"/>
      <c r="X38" s="55"/>
      <c r="Y38" s="51"/>
      <c r="Z38" s="51"/>
      <c r="AA38" s="55"/>
      <c r="AB38" s="51"/>
      <c r="AC38" s="51"/>
      <c r="AD38" s="216"/>
      <c r="AE38" s="58"/>
      <c r="AF38" s="51"/>
      <c r="AG38" s="216"/>
      <c r="AH38" s="58"/>
      <c r="AI38" s="216"/>
      <c r="AJ38" s="58"/>
      <c r="AK38" s="216"/>
      <c r="AL38" s="58"/>
      <c r="AM38" s="216"/>
      <c r="AN38" s="55"/>
      <c r="AO38" s="59"/>
    </row>
    <row r="39" spans="1:41" s="60" customFormat="1" ht="15.75" thickBot="1" x14ac:dyDescent="0.3">
      <c r="A39" s="258" t="s">
        <v>47</v>
      </c>
      <c r="B39" s="259"/>
      <c r="C39" s="259"/>
      <c r="D39" s="259"/>
      <c r="E39" s="260"/>
      <c r="F39" s="63">
        <f>F37+F32</f>
        <v>0</v>
      </c>
      <c r="G39" s="64"/>
      <c r="H39" s="64"/>
      <c r="I39" s="63">
        <f>I37+I32</f>
        <v>250</v>
      </c>
      <c r="J39" s="64"/>
      <c r="K39" s="65">
        <f>K37+K32</f>
        <v>0</v>
      </c>
      <c r="L39" s="66">
        <f>L37+L32</f>
        <v>197</v>
      </c>
      <c r="M39" s="64"/>
      <c r="N39" s="65">
        <f>N37+N32</f>
        <v>-1089</v>
      </c>
      <c r="O39" s="66">
        <f>O37+O32</f>
        <v>197</v>
      </c>
      <c r="P39" s="64"/>
      <c r="Q39" s="65">
        <f>Q37+Q32</f>
        <v>-14</v>
      </c>
      <c r="R39" s="66">
        <f>R37+R32</f>
        <v>43</v>
      </c>
      <c r="S39" s="64"/>
      <c r="T39" s="65">
        <f>T37+T32</f>
        <v>-387</v>
      </c>
      <c r="U39" s="66">
        <f>U37+U32</f>
        <v>13</v>
      </c>
      <c r="V39" s="64"/>
      <c r="W39" s="65">
        <f>W37+W32</f>
        <v>-367</v>
      </c>
      <c r="X39" s="66">
        <f>X37+X32</f>
        <v>571</v>
      </c>
      <c r="Y39" s="64"/>
      <c r="Z39" s="65">
        <f>Z37+Z32</f>
        <v>-1364</v>
      </c>
      <c r="AA39" s="66">
        <f>AA37+AA32</f>
        <v>571</v>
      </c>
      <c r="AB39" s="64"/>
      <c r="AC39" s="65">
        <f>AC37+AC32</f>
        <v>0</v>
      </c>
      <c r="AD39" s="67">
        <f>AD37+AD32</f>
        <v>197</v>
      </c>
      <c r="AE39" s="65">
        <f>AE37+AE32</f>
        <v>7715</v>
      </c>
      <c r="AF39" s="64"/>
      <c r="AG39" s="63">
        <f>AG37+AG32</f>
        <v>23</v>
      </c>
      <c r="AH39" s="68"/>
      <c r="AI39" s="63">
        <f>AI37+AI32</f>
        <v>8</v>
      </c>
      <c r="AJ39" s="68"/>
      <c r="AK39" s="63">
        <f>AK37+AK32</f>
        <v>2</v>
      </c>
      <c r="AL39" s="68"/>
      <c r="AM39" s="69">
        <f>SUM(AM37+AM32)/2</f>
        <v>0.28550386679292933</v>
      </c>
      <c r="AN39" s="69">
        <f>SUM(AN37+AN32)/2</f>
        <v>0.6937130235263238</v>
      </c>
      <c r="AO39" s="70"/>
    </row>
    <row r="40" spans="1:41" s="60" customFormat="1" ht="15" x14ac:dyDescent="0.25">
      <c r="O40" s="71"/>
    </row>
    <row r="41" spans="1:41" s="60" customFormat="1" ht="15" x14ac:dyDescent="0.25">
      <c r="O41" s="71"/>
      <c r="W41" s="60" t="s">
        <v>5</v>
      </c>
      <c r="Z41" s="60" t="s">
        <v>5</v>
      </c>
      <c r="AC41" s="60" t="s">
        <v>5</v>
      </c>
    </row>
  </sheetData>
  <mergeCells count="90"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  <mergeCell ref="AM4:AN4"/>
    <mergeCell ref="AO4:AO5"/>
    <mergeCell ref="A6:A32"/>
    <mergeCell ref="B6:B9"/>
    <mergeCell ref="C6:C18"/>
    <mergeCell ref="AD6:AD19"/>
    <mergeCell ref="AE6:AE19"/>
    <mergeCell ref="AF6:AF19"/>
    <mergeCell ref="AG6:AG19"/>
    <mergeCell ref="AH6:AH19"/>
    <mergeCell ref="X4:Z4"/>
    <mergeCell ref="AA4:AC4"/>
    <mergeCell ref="AD4:AE4"/>
    <mergeCell ref="AG4:AH4"/>
    <mergeCell ref="AI4:AJ4"/>
    <mergeCell ref="AK4:AL4"/>
    <mergeCell ref="AO6:AO19"/>
    <mergeCell ref="B10:B13"/>
    <mergeCell ref="B14:B18"/>
    <mergeCell ref="B19:D19"/>
    <mergeCell ref="B20:B26"/>
    <mergeCell ref="C20:C26"/>
    <mergeCell ref="AD20:AD27"/>
    <mergeCell ref="AE20:AE27"/>
    <mergeCell ref="AF20:AF27"/>
    <mergeCell ref="AG20:AG27"/>
    <mergeCell ref="AI6:AI19"/>
    <mergeCell ref="AJ6:AJ19"/>
    <mergeCell ref="AK6:AK19"/>
    <mergeCell ref="AL6:AL19"/>
    <mergeCell ref="AM6:AM19"/>
    <mergeCell ref="AN6:AN19"/>
    <mergeCell ref="AN20:AN27"/>
    <mergeCell ref="AO20:AO27"/>
    <mergeCell ref="B27:D27"/>
    <mergeCell ref="B28:B30"/>
    <mergeCell ref="C28:C30"/>
    <mergeCell ref="AD28:AD31"/>
    <mergeCell ref="AE28:AE31"/>
    <mergeCell ref="AF28:AF31"/>
    <mergeCell ref="AG28:AG31"/>
    <mergeCell ref="AH28:AH31"/>
    <mergeCell ref="AH20:AH27"/>
    <mergeCell ref="AI20:AI27"/>
    <mergeCell ref="AJ20:AJ27"/>
    <mergeCell ref="AK20:AK27"/>
    <mergeCell ref="AL20:AL27"/>
    <mergeCell ref="AM20:AM27"/>
    <mergeCell ref="AO28:AO31"/>
    <mergeCell ref="B31:D31"/>
    <mergeCell ref="B32:D32"/>
    <mergeCell ref="A33:A37"/>
    <mergeCell ref="C33:C35"/>
    <mergeCell ref="AD33:AD36"/>
    <mergeCell ref="AE33:AE36"/>
    <mergeCell ref="AF33:AF36"/>
    <mergeCell ref="AG33:AG36"/>
    <mergeCell ref="AH33:AH36"/>
    <mergeCell ref="AI28:AI31"/>
    <mergeCell ref="AJ28:AJ31"/>
    <mergeCell ref="AK28:AK31"/>
    <mergeCell ref="AL28:AL31"/>
    <mergeCell ref="AM28:AM31"/>
    <mergeCell ref="AN28:AN31"/>
    <mergeCell ref="AO33:AO36"/>
    <mergeCell ref="B36:D36"/>
    <mergeCell ref="B37:D37"/>
    <mergeCell ref="A39:E39"/>
    <mergeCell ref="AI33:AI36"/>
    <mergeCell ref="AJ33:AJ36"/>
    <mergeCell ref="AK33:AK36"/>
    <mergeCell ref="AL33:AL36"/>
    <mergeCell ref="AM33:AM36"/>
    <mergeCell ref="AN33:AN36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39" max="55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X17" sqref="X17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5.7109375" style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6.14062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6.140625" style="1" bestFit="1" customWidth="1"/>
    <col min="18" max="18" width="7.85546875" style="1" customWidth="1"/>
    <col min="19" max="19" width="8.85546875" style="1" customWidth="1"/>
    <col min="20" max="20" width="7.42578125" style="1" bestFit="1" customWidth="1"/>
    <col min="21" max="21" width="8.42578125" style="1" customWidth="1"/>
    <col min="22" max="22" width="7.85546875" style="1" customWidth="1"/>
    <col min="23" max="23" width="7.425781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10.8554687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45379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56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226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224" t="s">
        <v>26</v>
      </c>
      <c r="G5" s="9" t="s">
        <v>27</v>
      </c>
      <c r="H5" s="10" t="s">
        <v>28</v>
      </c>
      <c r="I5" s="226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225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226" t="s">
        <v>26</v>
      </c>
      <c r="AE5" s="9" t="s">
        <v>27</v>
      </c>
      <c r="AF5" s="224" t="s">
        <v>26</v>
      </c>
      <c r="AG5" s="224" t="s">
        <v>26</v>
      </c>
      <c r="AH5" s="9" t="s">
        <v>27</v>
      </c>
      <c r="AI5" s="224" t="s">
        <v>26</v>
      </c>
      <c r="AJ5" s="15" t="s">
        <v>27</v>
      </c>
      <c r="AK5" s="224" t="s">
        <v>26</v>
      </c>
      <c r="AL5" s="9" t="s">
        <v>27</v>
      </c>
      <c r="AM5" s="226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228">
        <v>680</v>
      </c>
      <c r="F6" s="228"/>
      <c r="G6" s="228">
        <f>680</f>
        <v>680</v>
      </c>
      <c r="H6" s="228">
        <f t="shared" ref="H6:H18" si="0">G6-E6</f>
        <v>0</v>
      </c>
      <c r="I6" s="228"/>
      <c r="J6" s="228">
        <f>428+252</f>
        <v>680</v>
      </c>
      <c r="K6" s="228">
        <f t="shared" ref="K6:K18" si="1">J6-G6</f>
        <v>0</v>
      </c>
      <c r="L6" s="228"/>
      <c r="M6" s="228">
        <f>62+144+4+9+26+75+226+36+4+6+7+45+26+10</f>
        <v>680</v>
      </c>
      <c r="N6" s="228">
        <f t="shared" ref="N6:N18" si="2">M6-J6</f>
        <v>0</v>
      </c>
      <c r="O6" s="228"/>
      <c r="P6" s="119">
        <f>546+36+4+6+7+45+26+9</f>
        <v>679</v>
      </c>
      <c r="Q6" s="228">
        <f t="shared" ref="Q6:Q18" si="3">P6-M6</f>
        <v>-1</v>
      </c>
      <c r="R6" s="18"/>
      <c r="S6" s="18">
        <f>210+330+40+12+83+4</f>
        <v>679</v>
      </c>
      <c r="T6" s="18">
        <f t="shared" ref="T6:T18" si="4">S6-P6</f>
        <v>0</v>
      </c>
      <c r="U6" s="18"/>
      <c r="V6" s="18">
        <f>200+340+40+62+32+5</f>
        <v>679</v>
      </c>
      <c r="W6" s="18">
        <f t="shared" ref="W6:W18" si="5">V6-S6</f>
        <v>0</v>
      </c>
      <c r="X6" s="228"/>
      <c r="Y6" s="228">
        <f>175+10+40+350+50+30+7</f>
        <v>662</v>
      </c>
      <c r="Z6" s="228">
        <f t="shared" ref="Z6:Z18" si="6">Y6-P6</f>
        <v>-17</v>
      </c>
      <c r="AA6" s="228"/>
      <c r="AB6" s="228">
        <f>175+10+40+350+50+30+7</f>
        <v>662</v>
      </c>
      <c r="AC6" s="19">
        <f t="shared" ref="AC6:AC18" si="7">AB6-Y6</f>
        <v>0</v>
      </c>
      <c r="AD6" s="267">
        <f>L19</f>
        <v>0</v>
      </c>
      <c r="AE6" s="267">
        <f>62+144+4+20+190+196+47+175+261+297+182+288+308+374+343+307+397+362+442+2</f>
        <v>4401</v>
      </c>
      <c r="AF6" s="282">
        <v>24.192</v>
      </c>
      <c r="AG6" s="267"/>
      <c r="AH6" s="277">
        <f>6+8+6+10+10+10+20+6+22+13+22+8+10+9+11+13+26+20+20+20+15+13+13</f>
        <v>311</v>
      </c>
      <c r="AI6" s="267"/>
      <c r="AJ6" s="277">
        <f>1+2+2+2+3+3+5+4+5+5+11+11+7+7+7+7+14+12+12+12+10+9+8</f>
        <v>159</v>
      </c>
      <c r="AK6" s="267"/>
      <c r="AL6" s="277">
        <f>1+1+1+1+1+1+1+1+1+1+1+1+2+1+1+1+1+1+1</f>
        <v>20</v>
      </c>
      <c r="AM6" s="270" t="e">
        <f>L19*AF6/480/AG6</f>
        <v>#DIV/0!</v>
      </c>
      <c r="AN6" s="270">
        <f>M19*AF6/480/AH6</f>
        <v>0.71289260450160774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/>
      <c r="M7" s="20">
        <f>20+117+9+13+48+110+29+97+43+5+27+50+14+17</f>
        <v>599</v>
      </c>
      <c r="N7" s="20">
        <f t="shared" si="2"/>
        <v>0</v>
      </c>
      <c r="O7" s="20"/>
      <c r="P7" s="20">
        <f>292+29+122+43+5+27+64+11</f>
        <v>593</v>
      </c>
      <c r="Q7" s="20">
        <f t="shared" si="3"/>
        <v>-6</v>
      </c>
      <c r="R7" s="20"/>
      <c r="S7" s="20">
        <f>160+140+90+90+11+96+6</f>
        <v>593</v>
      </c>
      <c r="T7" s="20">
        <f t="shared" si="4"/>
        <v>0</v>
      </c>
      <c r="U7" s="20"/>
      <c r="V7" s="20">
        <f>150+240+90+61+40+12</f>
        <v>593</v>
      </c>
      <c r="W7" s="20">
        <f t="shared" si="5"/>
        <v>0</v>
      </c>
      <c r="X7" s="20"/>
      <c r="Y7" s="20">
        <f>480+70+12</f>
        <v>562</v>
      </c>
      <c r="Z7" s="20">
        <f t="shared" si="6"/>
        <v>-31</v>
      </c>
      <c r="AA7" s="20"/>
      <c r="AB7" s="20">
        <f>480+70+12</f>
        <v>562</v>
      </c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/>
      <c r="M8" s="20">
        <f>73+187+25+59+76+42+58+4+3+5+31+100-14+28</f>
        <v>677</v>
      </c>
      <c r="N8" s="20">
        <f t="shared" si="2"/>
        <v>0</v>
      </c>
      <c r="O8" s="20"/>
      <c r="P8" s="20">
        <f>420+42+58+4+3+5+31+86+24</f>
        <v>673</v>
      </c>
      <c r="Q8" s="20">
        <f t="shared" si="3"/>
        <v>-4</v>
      </c>
      <c r="R8" s="20"/>
      <c r="S8" s="20">
        <f>250+150+50+50+25+141+7</f>
        <v>673</v>
      </c>
      <c r="T8" s="20">
        <f t="shared" si="4"/>
        <v>0</v>
      </c>
      <c r="U8" s="20"/>
      <c r="V8" s="20">
        <f>250+200+50+135+14+24</f>
        <v>673</v>
      </c>
      <c r="W8" s="20">
        <f t="shared" si="5"/>
        <v>0</v>
      </c>
      <c r="X8" s="20"/>
      <c r="Y8" s="20">
        <f>180+45+80+130+75+100+40+13</f>
        <v>663</v>
      </c>
      <c r="Z8" s="20">
        <f t="shared" si="6"/>
        <v>-10</v>
      </c>
      <c r="AA8" s="20"/>
      <c r="AB8" s="20">
        <f>180+45+80+130+75+100+40+13</f>
        <v>663</v>
      </c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>
        <f>42+27+5+5+19+8</f>
        <v>106</v>
      </c>
      <c r="N9" s="20">
        <f t="shared" si="2"/>
        <v>0</v>
      </c>
      <c r="O9" s="20"/>
      <c r="P9" s="20">
        <f>42+27+5+5+19+5+3</f>
        <v>106</v>
      </c>
      <c r="Q9" s="20">
        <f t="shared" si="3"/>
        <v>0</v>
      </c>
      <c r="R9" s="20"/>
      <c r="S9" s="20">
        <f>10+14+79+3</f>
        <v>106</v>
      </c>
      <c r="T9" s="20">
        <f t="shared" si="4"/>
        <v>0</v>
      </c>
      <c r="U9" s="20"/>
      <c r="V9" s="20">
        <f>74+29+3</f>
        <v>106</v>
      </c>
      <c r="W9" s="20">
        <f t="shared" si="5"/>
        <v>0</v>
      </c>
      <c r="X9" s="20"/>
      <c r="Y9" s="20">
        <f>95+8</f>
        <v>103</v>
      </c>
      <c r="Z9" s="20">
        <f t="shared" si="6"/>
        <v>-3</v>
      </c>
      <c r="AA9" s="20"/>
      <c r="AB9" s="20">
        <f>95+8</f>
        <v>103</v>
      </c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303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/>
      <c r="M10" s="20">
        <f>37+134+20+12+19+1</f>
        <v>223</v>
      </c>
      <c r="N10" s="20">
        <f t="shared" si="2"/>
        <v>0</v>
      </c>
      <c r="O10" s="20"/>
      <c r="P10" s="20">
        <f>37+134+20+12+19+1</f>
        <v>223</v>
      </c>
      <c r="Q10" s="20">
        <f t="shared" si="3"/>
        <v>0</v>
      </c>
      <c r="R10" s="20"/>
      <c r="S10" s="20">
        <f>170+20+32+1</f>
        <v>223</v>
      </c>
      <c r="T10" s="20">
        <f t="shared" si="4"/>
        <v>0</v>
      </c>
      <c r="U10" s="20"/>
      <c r="V10" s="20">
        <f>160+62</f>
        <v>222</v>
      </c>
      <c r="W10" s="20">
        <f t="shared" si="5"/>
        <v>-1</v>
      </c>
      <c r="X10" s="20"/>
      <c r="Y10" s="20">
        <f>180+20+15+5</f>
        <v>220</v>
      </c>
      <c r="Z10" s="20">
        <f t="shared" si="6"/>
        <v>-3</v>
      </c>
      <c r="AA10" s="20"/>
      <c r="AB10" s="20">
        <f>180+20+15+5</f>
        <v>220</v>
      </c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>
        <f>172+55</f>
        <v>227</v>
      </c>
      <c r="N11" s="20">
        <f t="shared" si="2"/>
        <v>0</v>
      </c>
      <c r="O11" s="20"/>
      <c r="P11" s="20">
        <f>172+55</f>
        <v>227</v>
      </c>
      <c r="Q11" s="20">
        <f t="shared" si="3"/>
        <v>0</v>
      </c>
      <c r="R11" s="20"/>
      <c r="S11" s="20">
        <f>160+60+7</f>
        <v>227</v>
      </c>
      <c r="T11" s="20">
        <f t="shared" si="4"/>
        <v>0</v>
      </c>
      <c r="U11" s="20"/>
      <c r="V11" s="20">
        <f>10+210+7</f>
        <v>227</v>
      </c>
      <c r="W11" s="20">
        <f t="shared" si="5"/>
        <v>0</v>
      </c>
      <c r="X11" s="20"/>
      <c r="Y11" s="20">
        <f>200+20+3</f>
        <v>223</v>
      </c>
      <c r="Z11" s="20">
        <f t="shared" si="6"/>
        <v>-4</v>
      </c>
      <c r="AA11" s="20"/>
      <c r="AB11" s="20">
        <f>200+20+3</f>
        <v>223</v>
      </c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/>
      <c r="M12" s="20">
        <f>156+20+12+52+2</f>
        <v>242</v>
      </c>
      <c r="N12" s="20">
        <f t="shared" si="2"/>
        <v>0</v>
      </c>
      <c r="O12" s="20"/>
      <c r="P12" s="20">
        <f>156+20+12+52</f>
        <v>240</v>
      </c>
      <c r="Q12" s="20">
        <f t="shared" si="3"/>
        <v>-2</v>
      </c>
      <c r="R12" s="20"/>
      <c r="S12" s="20">
        <f>10+171+59</f>
        <v>240</v>
      </c>
      <c r="T12" s="20">
        <f t="shared" si="4"/>
        <v>0</v>
      </c>
      <c r="U12" s="20"/>
      <c r="V12" s="20">
        <f>170+70</f>
        <v>240</v>
      </c>
      <c r="W12" s="20">
        <f t="shared" si="5"/>
        <v>0</v>
      </c>
      <c r="X12" s="20"/>
      <c r="Y12" s="20">
        <f>180+20+30+8</f>
        <v>238</v>
      </c>
      <c r="Z12" s="20">
        <f t="shared" si="6"/>
        <v>-2</v>
      </c>
      <c r="AA12" s="20"/>
      <c r="AB12" s="20">
        <f>180+20+30+8</f>
        <v>238</v>
      </c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x14ac:dyDescent="0.25">
      <c r="A13" s="283"/>
      <c r="B13" s="298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/>
      <c r="M13" s="20">
        <f>10+108+4+4+24+21</f>
        <v>171</v>
      </c>
      <c r="N13" s="20">
        <f t="shared" si="2"/>
        <v>0</v>
      </c>
      <c r="O13" s="20"/>
      <c r="P13" s="20">
        <f>10+108+4+4+24+20</f>
        <v>170</v>
      </c>
      <c r="Q13" s="20">
        <f t="shared" si="3"/>
        <v>-1</v>
      </c>
      <c r="R13" s="20"/>
      <c r="S13" s="20">
        <f>10+154+6</f>
        <v>170</v>
      </c>
      <c r="T13" s="20">
        <f t="shared" si="4"/>
        <v>0</v>
      </c>
      <c r="U13" s="20"/>
      <c r="V13" s="20">
        <f>10+140+20</f>
        <v>170</v>
      </c>
      <c r="W13" s="20">
        <f t="shared" si="5"/>
        <v>0</v>
      </c>
      <c r="X13" s="20"/>
      <c r="Y13" s="20">
        <f>20+150</f>
        <v>170</v>
      </c>
      <c r="Z13" s="20">
        <f t="shared" si="6"/>
        <v>0</v>
      </c>
      <c r="AA13" s="20"/>
      <c r="AB13" s="20">
        <f>20+150</f>
        <v>170</v>
      </c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x14ac:dyDescent="0.25">
      <c r="A14" s="283"/>
      <c r="B14" s="279" t="s">
        <v>57</v>
      </c>
      <c r="C14" s="281"/>
      <c r="D14" s="20" t="s">
        <v>58</v>
      </c>
      <c r="E14" s="20">
        <v>350</v>
      </c>
      <c r="F14" s="20"/>
      <c r="G14" s="20">
        <f>328</f>
        <v>328</v>
      </c>
      <c r="H14" s="20">
        <f t="shared" si="0"/>
        <v>-22</v>
      </c>
      <c r="I14" s="20"/>
      <c r="J14" s="20">
        <f>328</f>
        <v>328</v>
      </c>
      <c r="K14" s="20">
        <f t="shared" si="1"/>
        <v>0</v>
      </c>
      <c r="L14" s="20"/>
      <c r="M14" s="20">
        <f>151+134+2+41</f>
        <v>328</v>
      </c>
      <c r="N14" s="20">
        <f t="shared" si="2"/>
        <v>0</v>
      </c>
      <c r="O14" s="20"/>
      <c r="P14" s="20">
        <f>151+134+2+41</f>
        <v>328</v>
      </c>
      <c r="Q14" s="20">
        <f t="shared" si="3"/>
        <v>0</v>
      </c>
      <c r="R14" s="18"/>
      <c r="S14" s="18">
        <f>280+48</f>
        <v>328</v>
      </c>
      <c r="T14" s="18">
        <f t="shared" si="4"/>
        <v>0</v>
      </c>
      <c r="U14" s="18"/>
      <c r="V14" s="18">
        <f>280+48</f>
        <v>328</v>
      </c>
      <c r="W14" s="18">
        <f t="shared" si="5"/>
        <v>0</v>
      </c>
      <c r="X14" s="20">
        <v>140</v>
      </c>
      <c r="Y14" s="20">
        <f>180+140</f>
        <v>320</v>
      </c>
      <c r="Z14" s="20">
        <f t="shared" si="6"/>
        <v>-8</v>
      </c>
      <c r="AA14" s="20">
        <v>140</v>
      </c>
      <c r="AB14" s="20">
        <f>180+140</f>
        <v>320</v>
      </c>
      <c r="AC14" s="21">
        <f t="shared" si="7"/>
        <v>0</v>
      </c>
      <c r="AD14" s="263"/>
      <c r="AE14" s="263"/>
      <c r="AF14" s="268"/>
      <c r="AG14" s="263"/>
      <c r="AH14" s="261"/>
      <c r="AI14" s="263"/>
      <c r="AJ14" s="261"/>
      <c r="AK14" s="263"/>
      <c r="AL14" s="261"/>
      <c r="AM14" s="249"/>
      <c r="AN14" s="249"/>
      <c r="AO14" s="251"/>
    </row>
    <row r="15" spans="1:41" x14ac:dyDescent="0.25">
      <c r="A15" s="283"/>
      <c r="B15" s="279"/>
      <c r="C15" s="281"/>
      <c r="D15" s="20" t="s">
        <v>33</v>
      </c>
      <c r="E15" s="20">
        <v>375</v>
      </c>
      <c r="F15" s="20"/>
      <c r="G15" s="20">
        <f>350</f>
        <v>350</v>
      </c>
      <c r="H15" s="20">
        <f t="shared" si="0"/>
        <v>-25</v>
      </c>
      <c r="I15" s="20"/>
      <c r="J15" s="20">
        <f>350</f>
        <v>350</v>
      </c>
      <c r="K15" s="20">
        <f t="shared" si="1"/>
        <v>0</v>
      </c>
      <c r="L15" s="20"/>
      <c r="M15" s="20">
        <f>152+120+21+28+29</f>
        <v>350</v>
      </c>
      <c r="N15" s="20">
        <f t="shared" si="2"/>
        <v>0</v>
      </c>
      <c r="O15" s="20"/>
      <c r="P15" s="20">
        <f>152+120+21+28+29</f>
        <v>350</v>
      </c>
      <c r="Q15" s="20">
        <f t="shared" si="3"/>
        <v>0</v>
      </c>
      <c r="R15" s="20"/>
      <c r="S15" s="20">
        <f>338+12</f>
        <v>350</v>
      </c>
      <c r="T15" s="20">
        <f t="shared" si="4"/>
        <v>0</v>
      </c>
      <c r="U15" s="20"/>
      <c r="V15" s="20">
        <f>338+12</f>
        <v>350</v>
      </c>
      <c r="W15" s="20">
        <f t="shared" si="5"/>
        <v>0</v>
      </c>
      <c r="X15" s="20">
        <v>40</v>
      </c>
      <c r="Y15" s="20">
        <f>300+40</f>
        <v>340</v>
      </c>
      <c r="Z15" s="20">
        <f t="shared" si="6"/>
        <v>-10</v>
      </c>
      <c r="AA15" s="20">
        <v>40</v>
      </c>
      <c r="AB15" s="20">
        <f>300+40</f>
        <v>340</v>
      </c>
      <c r="AC15" s="21">
        <f t="shared" si="7"/>
        <v>0</v>
      </c>
      <c r="AD15" s="263"/>
      <c r="AE15" s="263"/>
      <c r="AF15" s="268"/>
      <c r="AG15" s="263"/>
      <c r="AH15" s="261"/>
      <c r="AI15" s="263"/>
      <c r="AJ15" s="261"/>
      <c r="AK15" s="263"/>
      <c r="AL15" s="261"/>
      <c r="AM15" s="249"/>
      <c r="AN15" s="249"/>
      <c r="AO15" s="251"/>
    </row>
    <row r="16" spans="1:41" x14ac:dyDescent="0.25">
      <c r="A16" s="283"/>
      <c r="B16" s="279"/>
      <c r="C16" s="281"/>
      <c r="D16" s="20" t="s">
        <v>59</v>
      </c>
      <c r="E16" s="20">
        <v>375</v>
      </c>
      <c r="F16" s="20"/>
      <c r="G16" s="20">
        <f>213</f>
        <v>213</v>
      </c>
      <c r="H16" s="20">
        <f t="shared" si="0"/>
        <v>-162</v>
      </c>
      <c r="I16" s="20"/>
      <c r="J16" s="20">
        <f>213</f>
        <v>213</v>
      </c>
      <c r="K16" s="20">
        <f t="shared" si="1"/>
        <v>0</v>
      </c>
      <c r="L16" s="20"/>
      <c r="M16" s="20">
        <f>200+13</f>
        <v>213</v>
      </c>
      <c r="N16" s="20">
        <f t="shared" si="2"/>
        <v>0</v>
      </c>
      <c r="O16" s="20"/>
      <c r="P16" s="20">
        <f>200+13</f>
        <v>213</v>
      </c>
      <c r="Q16" s="20">
        <f t="shared" si="3"/>
        <v>0</v>
      </c>
      <c r="R16" s="20"/>
      <c r="S16" s="20">
        <f>10+203</f>
        <v>213</v>
      </c>
      <c r="T16" s="20">
        <f t="shared" si="4"/>
        <v>0</v>
      </c>
      <c r="U16" s="20"/>
      <c r="V16" s="20">
        <f>213</f>
        <v>213</v>
      </c>
      <c r="W16" s="20">
        <f t="shared" si="5"/>
        <v>0</v>
      </c>
      <c r="X16" s="20">
        <v>7</v>
      </c>
      <c r="Y16" s="20">
        <f>200+7</f>
        <v>207</v>
      </c>
      <c r="Z16" s="20">
        <f t="shared" si="6"/>
        <v>-6</v>
      </c>
      <c r="AA16" s="20">
        <v>7</v>
      </c>
      <c r="AB16" s="20">
        <f>200+7</f>
        <v>207</v>
      </c>
      <c r="AC16" s="21">
        <f t="shared" si="7"/>
        <v>0</v>
      </c>
      <c r="AD16" s="263"/>
      <c r="AE16" s="263"/>
      <c r="AF16" s="268"/>
      <c r="AG16" s="263"/>
      <c r="AH16" s="261"/>
      <c r="AI16" s="263"/>
      <c r="AJ16" s="261"/>
      <c r="AK16" s="263"/>
      <c r="AL16" s="261"/>
      <c r="AM16" s="249"/>
      <c r="AN16" s="249"/>
      <c r="AO16" s="251"/>
    </row>
    <row r="17" spans="1:41" x14ac:dyDescent="0.25">
      <c r="A17" s="283"/>
      <c r="B17" s="279"/>
      <c r="C17" s="281"/>
      <c r="D17" s="20" t="s">
        <v>60</v>
      </c>
      <c r="E17" s="20">
        <v>350</v>
      </c>
      <c r="F17" s="20"/>
      <c r="G17" s="20">
        <f>237</f>
        <v>237</v>
      </c>
      <c r="H17" s="20">
        <f t="shared" si="0"/>
        <v>-113</v>
      </c>
      <c r="I17" s="20"/>
      <c r="J17" s="20">
        <f>237</f>
        <v>237</v>
      </c>
      <c r="K17" s="20">
        <f t="shared" si="1"/>
        <v>0</v>
      </c>
      <c r="L17" s="20"/>
      <c r="M17" s="20">
        <f>47+190</f>
        <v>237</v>
      </c>
      <c r="N17" s="20">
        <f t="shared" si="2"/>
        <v>0</v>
      </c>
      <c r="O17" s="20"/>
      <c r="P17" s="20">
        <f>237</f>
        <v>237</v>
      </c>
      <c r="Q17" s="20">
        <f t="shared" si="3"/>
        <v>0</v>
      </c>
      <c r="R17" s="20"/>
      <c r="S17" s="20">
        <f>220+17</f>
        <v>237</v>
      </c>
      <c r="T17" s="20">
        <f t="shared" si="4"/>
        <v>0</v>
      </c>
      <c r="U17" s="20"/>
      <c r="V17" s="20">
        <f>10+227</f>
        <v>237</v>
      </c>
      <c r="W17" s="20">
        <f t="shared" si="5"/>
        <v>0</v>
      </c>
      <c r="X17" s="20">
        <v>44</v>
      </c>
      <c r="Y17" s="20">
        <f>55+135+44</f>
        <v>234</v>
      </c>
      <c r="Z17" s="20">
        <f t="shared" si="6"/>
        <v>-3</v>
      </c>
      <c r="AA17" s="20">
        <v>44</v>
      </c>
      <c r="AB17" s="20">
        <f>55+135+44</f>
        <v>234</v>
      </c>
      <c r="AC17" s="21">
        <f t="shared" si="7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" thickBot="1" x14ac:dyDescent="0.3">
      <c r="A18" s="283"/>
      <c r="B18" s="299"/>
      <c r="C18" s="281"/>
      <c r="D18" s="20" t="s">
        <v>61</v>
      </c>
      <c r="E18" s="20">
        <v>350</v>
      </c>
      <c r="F18" s="20"/>
      <c r="G18" s="20">
        <f>345+1</f>
        <v>346</v>
      </c>
      <c r="H18" s="20">
        <f t="shared" si="0"/>
        <v>-4</v>
      </c>
      <c r="I18" s="20"/>
      <c r="J18" s="20">
        <f>345+1</f>
        <v>346</v>
      </c>
      <c r="K18" s="20">
        <f t="shared" si="1"/>
        <v>0</v>
      </c>
      <c r="L18" s="20"/>
      <c r="M18" s="20">
        <f>72+273+1</f>
        <v>346</v>
      </c>
      <c r="N18" s="20">
        <f t="shared" si="2"/>
        <v>0</v>
      </c>
      <c r="O18" s="20"/>
      <c r="P18" s="20">
        <f>72+274</f>
        <v>346</v>
      </c>
      <c r="Q18" s="20">
        <f t="shared" si="3"/>
        <v>0</v>
      </c>
      <c r="R18" s="25"/>
      <c r="S18" s="25">
        <f>340+6</f>
        <v>346</v>
      </c>
      <c r="T18" s="25">
        <f t="shared" si="4"/>
        <v>0</v>
      </c>
      <c r="U18" s="25"/>
      <c r="V18" s="25">
        <f>10</f>
        <v>10</v>
      </c>
      <c r="W18" s="25">
        <f t="shared" si="5"/>
        <v>-336</v>
      </c>
      <c r="X18" s="20"/>
      <c r="Y18" s="20"/>
      <c r="Z18" s="20">
        <f t="shared" si="6"/>
        <v>-346</v>
      </c>
      <c r="AA18" s="20"/>
      <c r="AB18" s="20"/>
      <c r="AC18" s="21">
        <f t="shared" si="7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83"/>
      <c r="B19" s="272" t="s">
        <v>34</v>
      </c>
      <c r="C19" s="273"/>
      <c r="D19" s="274"/>
      <c r="E19" s="23">
        <f>+SUM(E6:E18)</f>
        <v>4962</v>
      </c>
      <c r="F19" s="23">
        <f>+SUM(F6:F18)</f>
        <v>0</v>
      </c>
      <c r="G19" s="23">
        <f>SUM(G6:G18)</f>
        <v>4399</v>
      </c>
      <c r="H19" s="23">
        <f t="shared" ref="H19:AC19" si="8">+SUM(H6:H18)</f>
        <v>-563</v>
      </c>
      <c r="I19" s="23">
        <f t="shared" si="8"/>
        <v>0</v>
      </c>
      <c r="J19" s="23">
        <f t="shared" si="8"/>
        <v>4399</v>
      </c>
      <c r="K19" s="23">
        <f t="shared" si="8"/>
        <v>0</v>
      </c>
      <c r="L19" s="23">
        <f t="shared" si="8"/>
        <v>0</v>
      </c>
      <c r="M19" s="23">
        <f t="shared" si="8"/>
        <v>4399</v>
      </c>
      <c r="N19" s="23">
        <f t="shared" si="8"/>
        <v>0</v>
      </c>
      <c r="O19" s="23">
        <f t="shared" si="8"/>
        <v>0</v>
      </c>
      <c r="P19" s="23">
        <f t="shared" si="8"/>
        <v>4385</v>
      </c>
      <c r="Q19" s="23">
        <f t="shared" si="8"/>
        <v>-14</v>
      </c>
      <c r="R19" s="24">
        <f t="shared" si="8"/>
        <v>0</v>
      </c>
      <c r="S19" s="24">
        <f t="shared" si="8"/>
        <v>4385</v>
      </c>
      <c r="T19" s="24">
        <f t="shared" si="8"/>
        <v>0</v>
      </c>
      <c r="U19" s="24">
        <f t="shared" si="8"/>
        <v>0</v>
      </c>
      <c r="V19" s="24">
        <f t="shared" si="8"/>
        <v>4048</v>
      </c>
      <c r="W19" s="24">
        <f t="shared" si="8"/>
        <v>-337</v>
      </c>
      <c r="X19" s="23">
        <f t="shared" si="8"/>
        <v>231</v>
      </c>
      <c r="Y19" s="23">
        <f t="shared" si="8"/>
        <v>3942</v>
      </c>
      <c r="Z19" s="23">
        <f t="shared" si="8"/>
        <v>-443</v>
      </c>
      <c r="AA19" s="23">
        <f t="shared" si="8"/>
        <v>231</v>
      </c>
      <c r="AB19" s="23">
        <f t="shared" si="8"/>
        <v>3942</v>
      </c>
      <c r="AC19" s="15">
        <f t="shared" si="8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.75" customHeight="1" x14ac:dyDescent="0.25">
      <c r="A20" s="283"/>
      <c r="B20" s="297" t="s">
        <v>62</v>
      </c>
      <c r="C20" s="280" t="s">
        <v>63</v>
      </c>
      <c r="D20" s="16" t="s">
        <v>33</v>
      </c>
      <c r="E20" s="228">
        <v>155</v>
      </c>
      <c r="F20" s="228"/>
      <c r="G20" s="228">
        <f>130+8</f>
        <v>138</v>
      </c>
      <c r="H20" s="228">
        <f t="shared" ref="H20:H26" si="9">G20-E20</f>
        <v>-17</v>
      </c>
      <c r="I20" s="228"/>
      <c r="J20" s="228">
        <f>100+30+8</f>
        <v>138</v>
      </c>
      <c r="K20" s="228">
        <f t="shared" ref="K20:K26" si="10">J20-G20</f>
        <v>0</v>
      </c>
      <c r="L20" s="228">
        <v>40</v>
      </c>
      <c r="M20" s="228">
        <f>25+55+18+40</f>
        <v>138</v>
      </c>
      <c r="N20" s="228">
        <f t="shared" ref="N20:N26" si="11">M20-J20</f>
        <v>0</v>
      </c>
      <c r="O20" s="228">
        <v>2</v>
      </c>
      <c r="P20" s="119">
        <f>10+70+18+2</f>
        <v>100</v>
      </c>
      <c r="Q20" s="228">
        <f t="shared" ref="Q20:Q26" si="12">P20-M20</f>
        <v>-38</v>
      </c>
      <c r="R20" s="18">
        <v>90</v>
      </c>
      <c r="S20" s="18">
        <f>10+90</f>
        <v>100</v>
      </c>
      <c r="T20" s="18">
        <f t="shared" ref="T20:T26" si="13">S20-P20</f>
        <v>0</v>
      </c>
      <c r="U20" s="18"/>
      <c r="V20" s="18">
        <f>10</f>
        <v>10</v>
      </c>
      <c r="W20" s="18">
        <f t="shared" ref="W20:W26" si="14">V20-S20</f>
        <v>-90</v>
      </c>
      <c r="X20" s="228"/>
      <c r="Y20" s="228"/>
      <c r="Z20" s="228">
        <f t="shared" ref="Z20:Z26" si="15">Y20-P20</f>
        <v>-100</v>
      </c>
      <c r="AA20" s="228"/>
      <c r="AB20" s="228"/>
      <c r="AC20" s="19">
        <f t="shared" ref="AC20:AC26" si="16">AB20-Y20</f>
        <v>0</v>
      </c>
      <c r="AD20" s="267">
        <f>L27</f>
        <v>538</v>
      </c>
      <c r="AE20" s="267">
        <f>25+205+197+538</f>
        <v>965</v>
      </c>
      <c r="AF20" s="282">
        <v>38.121000000000002</v>
      </c>
      <c r="AG20" s="267">
        <v>10</v>
      </c>
      <c r="AH20" s="277">
        <f>5+5+5+10+10+10+22+17+12+10</f>
        <v>106</v>
      </c>
      <c r="AI20" s="267">
        <v>6</v>
      </c>
      <c r="AJ20" s="277">
        <f>2+2+2+4+6+7+8+8+6</f>
        <v>45</v>
      </c>
      <c r="AK20" s="267">
        <v>1</v>
      </c>
      <c r="AL20" s="277">
        <f>1+1+1+1+1+1+2+2+2+1</f>
        <v>13</v>
      </c>
      <c r="AM20" s="270">
        <f>L27*AF20/480/AG20</f>
        <v>4.2727287500000006</v>
      </c>
      <c r="AN20" s="270">
        <f>M27*AF20/480/AH20</f>
        <v>0.72301031839622643</v>
      </c>
      <c r="AO20" s="271"/>
    </row>
    <row r="21" spans="1:41" x14ac:dyDescent="0.25">
      <c r="A21" s="283"/>
      <c r="B21" s="279"/>
      <c r="C21" s="281"/>
      <c r="D21" s="20" t="s">
        <v>64</v>
      </c>
      <c r="E21" s="20">
        <v>155</v>
      </c>
      <c r="F21" s="20"/>
      <c r="G21" s="20">
        <f>124+17</f>
        <v>141</v>
      </c>
      <c r="H21" s="20">
        <f t="shared" si="9"/>
        <v>-14</v>
      </c>
      <c r="I21" s="20"/>
      <c r="J21" s="20">
        <f>141</f>
        <v>141</v>
      </c>
      <c r="K21" s="20">
        <f t="shared" si="10"/>
        <v>0</v>
      </c>
      <c r="L21" s="20">
        <v>141</v>
      </c>
      <c r="M21" s="20">
        <f>141</f>
        <v>141</v>
      </c>
      <c r="N21" s="20">
        <f t="shared" si="11"/>
        <v>0</v>
      </c>
      <c r="O21" s="20">
        <v>20</v>
      </c>
      <c r="P21" s="20">
        <f>20</f>
        <v>20</v>
      </c>
      <c r="Q21" s="20">
        <f t="shared" si="12"/>
        <v>-121</v>
      </c>
      <c r="R21" s="20">
        <v>10</v>
      </c>
      <c r="S21" s="20">
        <f>10</f>
        <v>10</v>
      </c>
      <c r="T21" s="20">
        <f t="shared" si="13"/>
        <v>-10</v>
      </c>
      <c r="U21" s="20"/>
      <c r="V21" s="20"/>
      <c r="W21" s="20">
        <f t="shared" si="14"/>
        <v>-10</v>
      </c>
      <c r="X21" s="20"/>
      <c r="Y21" s="20"/>
      <c r="Z21" s="20">
        <f t="shared" si="15"/>
        <v>-20</v>
      </c>
      <c r="AA21" s="20"/>
      <c r="AB21" s="20"/>
      <c r="AC21" s="21">
        <f t="shared" si="16"/>
        <v>0</v>
      </c>
      <c r="AD21" s="263"/>
      <c r="AE21" s="263"/>
      <c r="AF21" s="268"/>
      <c r="AG21" s="263"/>
      <c r="AH21" s="261"/>
      <c r="AI21" s="263"/>
      <c r="AJ21" s="261"/>
      <c r="AK21" s="263"/>
      <c r="AL21" s="261"/>
      <c r="AM21" s="249"/>
      <c r="AN21" s="249"/>
      <c r="AO21" s="251"/>
    </row>
    <row r="22" spans="1:41" x14ac:dyDescent="0.25">
      <c r="A22" s="283"/>
      <c r="B22" s="279"/>
      <c r="C22" s="281"/>
      <c r="D22" s="20" t="s">
        <v>65</v>
      </c>
      <c r="E22" s="20">
        <v>155</v>
      </c>
      <c r="F22" s="20"/>
      <c r="G22" s="20">
        <f>116+9</f>
        <v>125</v>
      </c>
      <c r="H22" s="20">
        <f t="shared" si="9"/>
        <v>-30</v>
      </c>
      <c r="I22" s="20"/>
      <c r="J22" s="20">
        <f>116+9</f>
        <v>125</v>
      </c>
      <c r="K22" s="20">
        <f t="shared" si="10"/>
        <v>0</v>
      </c>
      <c r="L22" s="20">
        <v>22</v>
      </c>
      <c r="M22" s="20">
        <f>51+52+22</f>
        <v>125</v>
      </c>
      <c r="N22" s="20">
        <f t="shared" si="11"/>
        <v>0</v>
      </c>
      <c r="O22" s="20">
        <v>3</v>
      </c>
      <c r="P22" s="20">
        <f>51+52+3</f>
        <v>106</v>
      </c>
      <c r="Q22" s="20">
        <f t="shared" si="12"/>
        <v>-19</v>
      </c>
      <c r="R22" s="20">
        <v>90</v>
      </c>
      <c r="S22" s="20">
        <f>10+90</f>
        <v>100</v>
      </c>
      <c r="T22" s="20">
        <f t="shared" si="13"/>
        <v>-6</v>
      </c>
      <c r="U22" s="20">
        <v>10</v>
      </c>
      <c r="V22" s="20">
        <f>10</f>
        <v>10</v>
      </c>
      <c r="W22" s="20">
        <f t="shared" si="14"/>
        <v>-90</v>
      </c>
      <c r="X22" s="20"/>
      <c r="Y22" s="20"/>
      <c r="Z22" s="20">
        <f t="shared" si="15"/>
        <v>-106</v>
      </c>
      <c r="AA22" s="20"/>
      <c r="AB22" s="20"/>
      <c r="AC22" s="21">
        <f t="shared" si="16"/>
        <v>0</v>
      </c>
      <c r="AD22" s="263"/>
      <c r="AE22" s="263"/>
      <c r="AF22" s="268"/>
      <c r="AG22" s="263"/>
      <c r="AH22" s="261"/>
      <c r="AI22" s="263"/>
      <c r="AJ22" s="261"/>
      <c r="AK22" s="263"/>
      <c r="AL22" s="261"/>
      <c r="AM22" s="249"/>
      <c r="AN22" s="249"/>
      <c r="AO22" s="251"/>
    </row>
    <row r="23" spans="1:41" x14ac:dyDescent="0.25">
      <c r="A23" s="283"/>
      <c r="B23" s="279"/>
      <c r="C23" s="281"/>
      <c r="D23" s="20" t="s">
        <v>66</v>
      </c>
      <c r="E23" s="20">
        <v>137</v>
      </c>
      <c r="F23" s="20"/>
      <c r="G23" s="20">
        <f>124+15</f>
        <v>139</v>
      </c>
      <c r="H23" s="20">
        <f t="shared" si="9"/>
        <v>2</v>
      </c>
      <c r="I23" s="20"/>
      <c r="J23" s="20">
        <f>124+15</f>
        <v>139</v>
      </c>
      <c r="K23" s="20">
        <f t="shared" si="10"/>
        <v>0</v>
      </c>
      <c r="L23" s="20">
        <v>40</v>
      </c>
      <c r="M23" s="20">
        <f>99+40</f>
        <v>139</v>
      </c>
      <c r="N23" s="20">
        <f t="shared" si="11"/>
        <v>0</v>
      </c>
      <c r="O23" s="20">
        <v>4</v>
      </c>
      <c r="P23" s="20">
        <f>99+4</f>
        <v>103</v>
      </c>
      <c r="Q23" s="20">
        <f t="shared" si="12"/>
        <v>-36</v>
      </c>
      <c r="R23" s="20">
        <v>80</v>
      </c>
      <c r="S23" s="20">
        <f>10+80</f>
        <v>90</v>
      </c>
      <c r="T23" s="20">
        <f t="shared" si="13"/>
        <v>-13</v>
      </c>
      <c r="U23" s="20">
        <v>10</v>
      </c>
      <c r="V23" s="20">
        <f>10</f>
        <v>10</v>
      </c>
      <c r="W23" s="20">
        <f t="shared" si="14"/>
        <v>-80</v>
      </c>
      <c r="X23" s="20"/>
      <c r="Y23" s="20"/>
      <c r="Z23" s="20">
        <f t="shared" si="15"/>
        <v>-103</v>
      </c>
      <c r="AA23" s="20"/>
      <c r="AB23" s="20"/>
      <c r="AC23" s="21">
        <f t="shared" si="16"/>
        <v>0</v>
      </c>
      <c r="AD23" s="263"/>
      <c r="AE23" s="263"/>
      <c r="AF23" s="268"/>
      <c r="AG23" s="263"/>
      <c r="AH23" s="261"/>
      <c r="AI23" s="263"/>
      <c r="AJ23" s="261"/>
      <c r="AK23" s="263"/>
      <c r="AL23" s="261"/>
      <c r="AM23" s="249"/>
      <c r="AN23" s="249"/>
      <c r="AO23" s="251"/>
    </row>
    <row r="24" spans="1:41" x14ac:dyDescent="0.25">
      <c r="A24" s="283"/>
      <c r="B24" s="279"/>
      <c r="C24" s="281"/>
      <c r="D24" s="20" t="s">
        <v>67</v>
      </c>
      <c r="E24" s="20">
        <v>155</v>
      </c>
      <c r="F24" s="20"/>
      <c r="G24" s="20">
        <f>146+9</f>
        <v>155</v>
      </c>
      <c r="H24" s="20">
        <f t="shared" si="9"/>
        <v>0</v>
      </c>
      <c r="I24" s="20"/>
      <c r="J24" s="20">
        <f>155</f>
        <v>155</v>
      </c>
      <c r="K24" s="20">
        <f t="shared" si="10"/>
        <v>0</v>
      </c>
      <c r="L24" s="20">
        <v>35</v>
      </c>
      <c r="M24" s="20">
        <f>120+35</f>
        <v>155</v>
      </c>
      <c r="N24" s="20">
        <f t="shared" si="11"/>
        <v>0</v>
      </c>
      <c r="O24" s="20">
        <v>5</v>
      </c>
      <c r="P24" s="20">
        <f>120+5</f>
        <v>125</v>
      </c>
      <c r="Q24" s="20">
        <f t="shared" si="12"/>
        <v>-30</v>
      </c>
      <c r="R24" s="20">
        <v>100</v>
      </c>
      <c r="S24" s="20">
        <f>10+100</f>
        <v>110</v>
      </c>
      <c r="T24" s="20">
        <f t="shared" si="13"/>
        <v>-15</v>
      </c>
      <c r="U24" s="20">
        <v>10</v>
      </c>
      <c r="V24" s="20">
        <f>10</f>
        <v>10</v>
      </c>
      <c r="W24" s="20">
        <f t="shared" si="14"/>
        <v>-100</v>
      </c>
      <c r="X24" s="20"/>
      <c r="Y24" s="20"/>
      <c r="Z24" s="20">
        <f t="shared" si="15"/>
        <v>-125</v>
      </c>
      <c r="AA24" s="20"/>
      <c r="AB24" s="20"/>
      <c r="AC24" s="21">
        <f t="shared" si="16"/>
        <v>0</v>
      </c>
      <c r="AD24" s="263"/>
      <c r="AE24" s="263"/>
      <c r="AF24" s="268"/>
      <c r="AG24" s="263"/>
      <c r="AH24" s="261"/>
      <c r="AI24" s="263"/>
      <c r="AJ24" s="261"/>
      <c r="AK24" s="263"/>
      <c r="AL24" s="261"/>
      <c r="AM24" s="249"/>
      <c r="AN24" s="249"/>
      <c r="AO24" s="251"/>
    </row>
    <row r="25" spans="1:41" x14ac:dyDescent="0.25">
      <c r="A25" s="283"/>
      <c r="B25" s="279"/>
      <c r="C25" s="281"/>
      <c r="D25" s="20" t="s">
        <v>68</v>
      </c>
      <c r="E25" s="20">
        <v>155</v>
      </c>
      <c r="F25" s="20"/>
      <c r="G25" s="20">
        <f>142</f>
        <v>142</v>
      </c>
      <c r="H25" s="20">
        <f t="shared" si="9"/>
        <v>-13</v>
      </c>
      <c r="I25" s="20"/>
      <c r="J25" s="20">
        <f>142</f>
        <v>142</v>
      </c>
      <c r="K25" s="20">
        <f t="shared" si="10"/>
        <v>0</v>
      </c>
      <c r="L25" s="20">
        <f>142</f>
        <v>142</v>
      </c>
      <c r="M25" s="20">
        <f>142</f>
        <v>142</v>
      </c>
      <c r="N25" s="20">
        <f t="shared" si="11"/>
        <v>0</v>
      </c>
      <c r="O25" s="20">
        <v>103</v>
      </c>
      <c r="P25" s="20">
        <f>103</f>
        <v>103</v>
      </c>
      <c r="Q25" s="20">
        <f t="shared" si="12"/>
        <v>-39</v>
      </c>
      <c r="R25" s="20">
        <v>10</v>
      </c>
      <c r="S25" s="20">
        <f>10</f>
        <v>10</v>
      </c>
      <c r="T25" s="20">
        <f t="shared" si="13"/>
        <v>-93</v>
      </c>
      <c r="U25" s="20"/>
      <c r="V25" s="20"/>
      <c r="W25" s="20">
        <f t="shared" si="14"/>
        <v>-10</v>
      </c>
      <c r="X25" s="20"/>
      <c r="Y25" s="20"/>
      <c r="Z25" s="20">
        <f t="shared" si="15"/>
        <v>-103</v>
      </c>
      <c r="AA25" s="20"/>
      <c r="AB25" s="20"/>
      <c r="AC25" s="21">
        <f t="shared" si="16"/>
        <v>0</v>
      </c>
      <c r="AD25" s="263"/>
      <c r="AE25" s="263"/>
      <c r="AF25" s="268"/>
      <c r="AG25" s="263"/>
      <c r="AH25" s="261"/>
      <c r="AI25" s="263"/>
      <c r="AJ25" s="261"/>
      <c r="AK25" s="263"/>
      <c r="AL25" s="261"/>
      <c r="AM25" s="249"/>
      <c r="AN25" s="249"/>
      <c r="AO25" s="251"/>
    </row>
    <row r="26" spans="1:41" ht="18" thickBot="1" x14ac:dyDescent="0.3">
      <c r="A26" s="283"/>
      <c r="B26" s="298"/>
      <c r="C26" s="281"/>
      <c r="D26" s="20" t="s">
        <v>60</v>
      </c>
      <c r="E26" s="20">
        <v>125</v>
      </c>
      <c r="F26" s="20"/>
      <c r="G26" s="20">
        <f>116+9</f>
        <v>125</v>
      </c>
      <c r="H26" s="20">
        <f t="shared" si="9"/>
        <v>0</v>
      </c>
      <c r="I26" s="20"/>
      <c r="J26" s="20">
        <f>125</f>
        <v>125</v>
      </c>
      <c r="K26" s="20">
        <f t="shared" si="10"/>
        <v>0</v>
      </c>
      <c r="L26" s="20">
        <f>83+35</f>
        <v>118</v>
      </c>
      <c r="M26" s="20">
        <f>7+118</f>
        <v>125</v>
      </c>
      <c r="N26" s="20">
        <f t="shared" si="11"/>
        <v>0</v>
      </c>
      <c r="O26" s="20">
        <v>83</v>
      </c>
      <c r="P26" s="20">
        <f>7+83</f>
        <v>90</v>
      </c>
      <c r="Q26" s="20">
        <f t="shared" si="12"/>
        <v>-35</v>
      </c>
      <c r="R26" s="22">
        <v>10</v>
      </c>
      <c r="S26" s="22">
        <f>10</f>
        <v>10</v>
      </c>
      <c r="T26" s="22">
        <f t="shared" si="13"/>
        <v>-80</v>
      </c>
      <c r="U26" s="22"/>
      <c r="V26" s="22"/>
      <c r="W26" s="22">
        <f t="shared" si="14"/>
        <v>-10</v>
      </c>
      <c r="X26" s="20"/>
      <c r="Y26" s="20"/>
      <c r="Z26" s="20">
        <f t="shared" si="15"/>
        <v>-90</v>
      </c>
      <c r="AA26" s="20"/>
      <c r="AB26" s="20"/>
      <c r="AC26" s="21">
        <f t="shared" si="16"/>
        <v>0</v>
      </c>
      <c r="AD26" s="263"/>
      <c r="AE26" s="263"/>
      <c r="AF26" s="268"/>
      <c r="AG26" s="263"/>
      <c r="AH26" s="261"/>
      <c r="AI26" s="263"/>
      <c r="AJ26" s="261"/>
      <c r="AK26" s="263"/>
      <c r="AL26" s="261"/>
      <c r="AM26" s="249"/>
      <c r="AN26" s="249"/>
      <c r="AO26" s="251"/>
    </row>
    <row r="27" spans="1:41" ht="18" thickBot="1" x14ac:dyDescent="0.3">
      <c r="A27" s="283"/>
      <c r="B27" s="272" t="s">
        <v>34</v>
      </c>
      <c r="C27" s="273"/>
      <c r="D27" s="274"/>
      <c r="E27" s="23">
        <f>+SUM(E20:E26)</f>
        <v>1037</v>
      </c>
      <c r="F27" s="23">
        <f>+SUM(F20:F26)</f>
        <v>0</v>
      </c>
      <c r="G27" s="23">
        <f>SUM(G20:G26)</f>
        <v>965</v>
      </c>
      <c r="H27" s="23">
        <f t="shared" ref="H27:AC27" si="17">+SUM(H20:H26)</f>
        <v>-72</v>
      </c>
      <c r="I27" s="23">
        <f t="shared" si="17"/>
        <v>0</v>
      </c>
      <c r="J27" s="23">
        <f t="shared" si="17"/>
        <v>965</v>
      </c>
      <c r="K27" s="23">
        <f t="shared" si="17"/>
        <v>0</v>
      </c>
      <c r="L27" s="23">
        <f t="shared" si="17"/>
        <v>538</v>
      </c>
      <c r="M27" s="23">
        <f t="shared" si="17"/>
        <v>965</v>
      </c>
      <c r="N27" s="23">
        <f t="shared" si="17"/>
        <v>0</v>
      </c>
      <c r="O27" s="23">
        <f t="shared" si="17"/>
        <v>220</v>
      </c>
      <c r="P27" s="23">
        <f t="shared" si="17"/>
        <v>647</v>
      </c>
      <c r="Q27" s="23">
        <f t="shared" si="17"/>
        <v>-318</v>
      </c>
      <c r="R27" s="24">
        <f t="shared" si="17"/>
        <v>390</v>
      </c>
      <c r="S27" s="24">
        <f t="shared" si="17"/>
        <v>430</v>
      </c>
      <c r="T27" s="24">
        <f t="shared" si="17"/>
        <v>-217</v>
      </c>
      <c r="U27" s="24">
        <f t="shared" si="17"/>
        <v>30</v>
      </c>
      <c r="V27" s="24">
        <f t="shared" si="17"/>
        <v>40</v>
      </c>
      <c r="W27" s="24">
        <f t="shared" si="17"/>
        <v>-390</v>
      </c>
      <c r="X27" s="23">
        <f t="shared" si="17"/>
        <v>0</v>
      </c>
      <c r="Y27" s="23">
        <f t="shared" si="17"/>
        <v>0</v>
      </c>
      <c r="Z27" s="23">
        <f t="shared" si="17"/>
        <v>-647</v>
      </c>
      <c r="AA27" s="23">
        <f t="shared" si="17"/>
        <v>0</v>
      </c>
      <c r="AB27" s="23">
        <f t="shared" si="17"/>
        <v>0</v>
      </c>
      <c r="AC27" s="15">
        <f t="shared" si="17"/>
        <v>0</v>
      </c>
      <c r="AD27" s="264"/>
      <c r="AE27" s="264"/>
      <c r="AF27" s="269"/>
      <c r="AG27" s="264"/>
      <c r="AH27" s="262"/>
      <c r="AI27" s="264"/>
      <c r="AJ27" s="262"/>
      <c r="AK27" s="264"/>
      <c r="AL27" s="262"/>
      <c r="AM27" s="250"/>
      <c r="AN27" s="250"/>
      <c r="AO27" s="252"/>
    </row>
    <row r="28" spans="1:41" ht="18.75" customHeight="1" x14ac:dyDescent="0.25">
      <c r="A28" s="283"/>
      <c r="B28" s="297" t="s">
        <v>69</v>
      </c>
      <c r="C28" s="280" t="s">
        <v>37</v>
      </c>
      <c r="D28" s="16" t="s">
        <v>33</v>
      </c>
      <c r="E28" s="232">
        <v>160</v>
      </c>
      <c r="F28" s="232"/>
      <c r="G28" s="232">
        <f>160</f>
        <v>160</v>
      </c>
      <c r="H28" s="232">
        <f t="shared" ref="H28:H30" si="18">G28-E28</f>
        <v>0</v>
      </c>
      <c r="I28" s="232"/>
      <c r="J28" s="232">
        <f>160</f>
        <v>160</v>
      </c>
      <c r="K28" s="232">
        <f t="shared" ref="K28:K30" si="19">J28-G28</f>
        <v>0</v>
      </c>
      <c r="L28" s="232"/>
      <c r="M28" s="232"/>
      <c r="N28" s="232">
        <f t="shared" ref="N28:N30" si="20">M28-J28</f>
        <v>-160</v>
      </c>
      <c r="O28" s="232"/>
      <c r="P28" s="119"/>
      <c r="Q28" s="232">
        <f t="shared" ref="Q28:Q30" si="21">P28-M28</f>
        <v>0</v>
      </c>
      <c r="R28" s="18"/>
      <c r="S28" s="18"/>
      <c r="T28" s="18">
        <f t="shared" ref="T28:T30" si="22">S28-P28</f>
        <v>0</v>
      </c>
      <c r="U28" s="18"/>
      <c r="V28" s="18"/>
      <c r="W28" s="18">
        <f t="shared" ref="W28:W30" si="23">V28-S28</f>
        <v>0</v>
      </c>
      <c r="X28" s="232"/>
      <c r="Y28" s="232"/>
      <c r="Z28" s="232">
        <f t="shared" ref="Z28:Z30" si="24">Y28-P28</f>
        <v>0</v>
      </c>
      <c r="AA28" s="232"/>
      <c r="AB28" s="232"/>
      <c r="AC28" s="19">
        <f t="shared" ref="AC28:AC30" si="25">AB28-Y28</f>
        <v>0</v>
      </c>
      <c r="AD28" s="267">
        <f>L31</f>
        <v>0</v>
      </c>
      <c r="AE28" s="267"/>
      <c r="AF28" s="282">
        <v>29.512</v>
      </c>
      <c r="AG28" s="267">
        <v>7</v>
      </c>
      <c r="AH28" s="277">
        <f>5+10+7</f>
        <v>22</v>
      </c>
      <c r="AI28" s="267">
        <v>2</v>
      </c>
      <c r="AJ28" s="277">
        <f>2</f>
        <v>2</v>
      </c>
      <c r="AK28" s="267"/>
      <c r="AL28" s="277"/>
      <c r="AM28" s="270">
        <f>L31*AF28/480/AG28</f>
        <v>0</v>
      </c>
      <c r="AN28" s="270">
        <f>M31*AF28/480/AH28</f>
        <v>0</v>
      </c>
      <c r="AO28" s="271"/>
    </row>
    <row r="29" spans="1:41" x14ac:dyDescent="0.25">
      <c r="A29" s="283"/>
      <c r="B29" s="279"/>
      <c r="C29" s="281"/>
      <c r="D29" s="20" t="s">
        <v>59</v>
      </c>
      <c r="E29" s="20">
        <v>180</v>
      </c>
      <c r="F29" s="20"/>
      <c r="G29" s="20">
        <f>180</f>
        <v>180</v>
      </c>
      <c r="H29" s="20">
        <f t="shared" si="18"/>
        <v>0</v>
      </c>
      <c r="I29" s="20"/>
      <c r="J29" s="20">
        <f>140+40</f>
        <v>180</v>
      </c>
      <c r="K29" s="20">
        <f t="shared" si="19"/>
        <v>0</v>
      </c>
      <c r="L29" s="20"/>
      <c r="M29" s="20"/>
      <c r="N29" s="20">
        <f t="shared" si="20"/>
        <v>-180</v>
      </c>
      <c r="O29" s="20"/>
      <c r="P29" s="20"/>
      <c r="Q29" s="20">
        <f t="shared" si="21"/>
        <v>0</v>
      </c>
      <c r="R29" s="20"/>
      <c r="S29" s="20"/>
      <c r="T29" s="20">
        <f t="shared" si="22"/>
        <v>0</v>
      </c>
      <c r="U29" s="20"/>
      <c r="V29" s="20"/>
      <c r="W29" s="20">
        <f t="shared" si="23"/>
        <v>0</v>
      </c>
      <c r="X29" s="20"/>
      <c r="Y29" s="20"/>
      <c r="Z29" s="20">
        <f t="shared" si="24"/>
        <v>0</v>
      </c>
      <c r="AA29" s="20"/>
      <c r="AB29" s="20"/>
      <c r="AC29" s="21">
        <f t="shared" si="25"/>
        <v>0</v>
      </c>
      <c r="AD29" s="263"/>
      <c r="AE29" s="263"/>
      <c r="AF29" s="268"/>
      <c r="AG29" s="263"/>
      <c r="AH29" s="261"/>
      <c r="AI29" s="263"/>
      <c r="AJ29" s="261"/>
      <c r="AK29" s="263"/>
      <c r="AL29" s="261"/>
      <c r="AM29" s="249"/>
      <c r="AN29" s="249"/>
      <c r="AO29" s="251"/>
    </row>
    <row r="30" spans="1:41" ht="18" thickBot="1" x14ac:dyDescent="0.3">
      <c r="A30" s="283"/>
      <c r="B30" s="279"/>
      <c r="C30" s="281"/>
      <c r="D30" s="20" t="s">
        <v>70</v>
      </c>
      <c r="E30" s="20">
        <v>210</v>
      </c>
      <c r="F30" s="20"/>
      <c r="G30" s="20">
        <f>210</f>
        <v>210</v>
      </c>
      <c r="H30" s="20">
        <f t="shared" si="18"/>
        <v>0</v>
      </c>
      <c r="I30" s="20"/>
      <c r="J30" s="20">
        <f>210</f>
        <v>210</v>
      </c>
      <c r="K30" s="20">
        <f t="shared" si="19"/>
        <v>0</v>
      </c>
      <c r="L30" s="20"/>
      <c r="M30" s="20"/>
      <c r="N30" s="20">
        <f t="shared" si="20"/>
        <v>-210</v>
      </c>
      <c r="O30" s="20"/>
      <c r="P30" s="20"/>
      <c r="Q30" s="20">
        <f t="shared" si="21"/>
        <v>0</v>
      </c>
      <c r="R30" s="22"/>
      <c r="S30" s="22"/>
      <c r="T30" s="22">
        <f t="shared" si="22"/>
        <v>0</v>
      </c>
      <c r="U30" s="22"/>
      <c r="V30" s="22"/>
      <c r="W30" s="22">
        <f t="shared" si="23"/>
        <v>0</v>
      </c>
      <c r="X30" s="20"/>
      <c r="Y30" s="20"/>
      <c r="Z30" s="20">
        <f t="shared" si="24"/>
        <v>0</v>
      </c>
      <c r="AA30" s="20"/>
      <c r="AB30" s="20"/>
      <c r="AC30" s="21">
        <f t="shared" si="25"/>
        <v>0</v>
      </c>
      <c r="AD30" s="263"/>
      <c r="AE30" s="263"/>
      <c r="AF30" s="268"/>
      <c r="AG30" s="263"/>
      <c r="AH30" s="261"/>
      <c r="AI30" s="263"/>
      <c r="AJ30" s="261"/>
      <c r="AK30" s="263"/>
      <c r="AL30" s="261"/>
      <c r="AM30" s="249"/>
      <c r="AN30" s="249"/>
      <c r="AO30" s="251"/>
    </row>
    <row r="31" spans="1:41" ht="18" thickBot="1" x14ac:dyDescent="0.3">
      <c r="A31" s="283"/>
      <c r="B31" s="272" t="s">
        <v>34</v>
      </c>
      <c r="C31" s="273"/>
      <c r="D31" s="274"/>
      <c r="E31" s="23">
        <f>+SUM(E28:E30)</f>
        <v>550</v>
      </c>
      <c r="F31" s="23">
        <f>+SUM(F28:F30)</f>
        <v>0</v>
      </c>
      <c r="G31" s="23">
        <f>SUM(G28:G30)</f>
        <v>550</v>
      </c>
      <c r="H31" s="23">
        <f t="shared" ref="H31:AC31" si="26">+SUM(H28:H30)</f>
        <v>0</v>
      </c>
      <c r="I31" s="23">
        <f t="shared" si="26"/>
        <v>0</v>
      </c>
      <c r="J31" s="23">
        <f t="shared" si="26"/>
        <v>550</v>
      </c>
      <c r="K31" s="23">
        <f t="shared" si="26"/>
        <v>0</v>
      </c>
      <c r="L31" s="23">
        <f t="shared" si="26"/>
        <v>0</v>
      </c>
      <c r="M31" s="23">
        <f t="shared" si="26"/>
        <v>0</v>
      </c>
      <c r="N31" s="23">
        <f t="shared" si="26"/>
        <v>-550</v>
      </c>
      <c r="O31" s="23">
        <f t="shared" si="26"/>
        <v>0</v>
      </c>
      <c r="P31" s="23">
        <f t="shared" si="26"/>
        <v>0</v>
      </c>
      <c r="Q31" s="23">
        <f t="shared" si="26"/>
        <v>0</v>
      </c>
      <c r="R31" s="24">
        <f t="shared" si="26"/>
        <v>0</v>
      </c>
      <c r="S31" s="24">
        <f t="shared" si="26"/>
        <v>0</v>
      </c>
      <c r="T31" s="24">
        <f t="shared" si="26"/>
        <v>0</v>
      </c>
      <c r="U31" s="24">
        <f t="shared" si="26"/>
        <v>0</v>
      </c>
      <c r="V31" s="24">
        <f t="shared" si="26"/>
        <v>0</v>
      </c>
      <c r="W31" s="24">
        <f t="shared" si="26"/>
        <v>0</v>
      </c>
      <c r="X31" s="23">
        <f t="shared" si="26"/>
        <v>0</v>
      </c>
      <c r="Y31" s="23">
        <f t="shared" si="26"/>
        <v>0</v>
      </c>
      <c r="Z31" s="23">
        <f t="shared" si="26"/>
        <v>0</v>
      </c>
      <c r="AA31" s="23">
        <f t="shared" si="26"/>
        <v>0</v>
      </c>
      <c r="AB31" s="23">
        <f t="shared" si="26"/>
        <v>0</v>
      </c>
      <c r="AC31" s="15">
        <f t="shared" si="26"/>
        <v>0</v>
      </c>
      <c r="AD31" s="264"/>
      <c r="AE31" s="264"/>
      <c r="AF31" s="269"/>
      <c r="AG31" s="264"/>
      <c r="AH31" s="262"/>
      <c r="AI31" s="264"/>
      <c r="AJ31" s="262"/>
      <c r="AK31" s="264"/>
      <c r="AL31" s="262"/>
      <c r="AM31" s="250"/>
      <c r="AN31" s="250"/>
      <c r="AO31" s="252"/>
    </row>
    <row r="32" spans="1:41" ht="18.75" customHeight="1" x14ac:dyDescent="0.25">
      <c r="A32" s="283"/>
      <c r="B32" s="297" t="s">
        <v>71</v>
      </c>
      <c r="C32" s="280" t="s">
        <v>72</v>
      </c>
      <c r="D32" s="16" t="s">
        <v>73</v>
      </c>
      <c r="E32" s="228">
        <v>667</v>
      </c>
      <c r="F32" s="228">
        <v>665</v>
      </c>
      <c r="G32" s="228">
        <f>665</f>
        <v>665</v>
      </c>
      <c r="H32" s="228">
        <f t="shared" ref="H32:H34" si="27">G32-E32</f>
        <v>-2</v>
      </c>
      <c r="I32" s="228">
        <v>76</v>
      </c>
      <c r="J32" s="228">
        <f>76</f>
        <v>76</v>
      </c>
      <c r="K32" s="228">
        <f t="shared" ref="K32:K34" si="28">J32-G32</f>
        <v>-589</v>
      </c>
      <c r="L32" s="228"/>
      <c r="M32" s="228"/>
      <c r="N32" s="228">
        <f t="shared" ref="N32:N34" si="29">M32-J32</f>
        <v>-76</v>
      </c>
      <c r="O32" s="228"/>
      <c r="P32" s="119"/>
      <c r="Q32" s="228">
        <f t="shared" ref="Q32:Q34" si="30">P32-M32</f>
        <v>0</v>
      </c>
      <c r="R32" s="18"/>
      <c r="S32" s="18"/>
      <c r="T32" s="18">
        <f t="shared" ref="T32:T34" si="31">S32-P32</f>
        <v>0</v>
      </c>
      <c r="U32" s="18"/>
      <c r="V32" s="18"/>
      <c r="W32" s="18">
        <f t="shared" ref="W32:W34" si="32">V32-S32</f>
        <v>0</v>
      </c>
      <c r="X32" s="228"/>
      <c r="Y32" s="228"/>
      <c r="Z32" s="228">
        <f t="shared" ref="Z32:Z34" si="33">Y32-P32</f>
        <v>0</v>
      </c>
      <c r="AA32" s="228"/>
      <c r="AB32" s="228"/>
      <c r="AC32" s="19">
        <f t="shared" ref="AC32:AC34" si="34">AB32-Y32</f>
        <v>0</v>
      </c>
      <c r="AD32" s="267">
        <f>L35</f>
        <v>0</v>
      </c>
      <c r="AE32" s="267"/>
      <c r="AF32" s="282">
        <v>58.84</v>
      </c>
      <c r="AG32" s="267">
        <v>5</v>
      </c>
      <c r="AH32" s="277">
        <f>5</f>
        <v>5</v>
      </c>
      <c r="AI32" s="267">
        <v>1</v>
      </c>
      <c r="AJ32" s="277">
        <f>1</f>
        <v>1</v>
      </c>
      <c r="AK32" s="267"/>
      <c r="AL32" s="277"/>
      <c r="AM32" s="270">
        <f>L35*AF32/480/AG32</f>
        <v>0</v>
      </c>
      <c r="AN32" s="270">
        <f>M35*AF32/480/AH32</f>
        <v>0</v>
      </c>
      <c r="AO32" s="271"/>
    </row>
    <row r="33" spans="1:41" x14ac:dyDescent="0.25">
      <c r="A33" s="283"/>
      <c r="B33" s="279"/>
      <c r="C33" s="281"/>
      <c r="D33" s="20" t="s">
        <v>74</v>
      </c>
      <c r="E33" s="20">
        <v>162</v>
      </c>
      <c r="F33" s="20">
        <v>160</v>
      </c>
      <c r="G33" s="20">
        <f>160</f>
        <v>160</v>
      </c>
      <c r="H33" s="20">
        <f t="shared" si="27"/>
        <v>-2</v>
      </c>
      <c r="I33" s="20"/>
      <c r="J33" s="20"/>
      <c r="K33" s="20">
        <f t="shared" si="28"/>
        <v>-160</v>
      </c>
      <c r="L33" s="20"/>
      <c r="M33" s="20"/>
      <c r="N33" s="20">
        <f t="shared" si="29"/>
        <v>0</v>
      </c>
      <c r="O33" s="20"/>
      <c r="P33" s="20"/>
      <c r="Q33" s="20">
        <f t="shared" si="30"/>
        <v>0</v>
      </c>
      <c r="R33" s="20"/>
      <c r="S33" s="20"/>
      <c r="T33" s="20">
        <f t="shared" si="31"/>
        <v>0</v>
      </c>
      <c r="U33" s="20"/>
      <c r="V33" s="20"/>
      <c r="W33" s="20">
        <f t="shared" si="32"/>
        <v>0</v>
      </c>
      <c r="X33" s="20"/>
      <c r="Y33" s="20"/>
      <c r="Z33" s="20">
        <f t="shared" si="33"/>
        <v>0</v>
      </c>
      <c r="AA33" s="20"/>
      <c r="AB33" s="20"/>
      <c r="AC33" s="21">
        <f t="shared" si="34"/>
        <v>0</v>
      </c>
      <c r="AD33" s="263"/>
      <c r="AE33" s="263"/>
      <c r="AF33" s="268"/>
      <c r="AG33" s="263"/>
      <c r="AH33" s="261"/>
      <c r="AI33" s="263"/>
      <c r="AJ33" s="261"/>
      <c r="AK33" s="263"/>
      <c r="AL33" s="261"/>
      <c r="AM33" s="249"/>
      <c r="AN33" s="249"/>
      <c r="AO33" s="251"/>
    </row>
    <row r="34" spans="1:41" ht="18" thickBot="1" x14ac:dyDescent="0.3">
      <c r="A34" s="283"/>
      <c r="B34" s="279"/>
      <c r="C34" s="281"/>
      <c r="D34" s="20" t="s">
        <v>75</v>
      </c>
      <c r="E34" s="20">
        <v>160</v>
      </c>
      <c r="F34" s="20"/>
      <c r="G34" s="20"/>
      <c r="H34" s="20">
        <f t="shared" si="27"/>
        <v>-160</v>
      </c>
      <c r="I34" s="20"/>
      <c r="J34" s="20"/>
      <c r="K34" s="20">
        <f t="shared" si="28"/>
        <v>0</v>
      </c>
      <c r="L34" s="20"/>
      <c r="M34" s="20"/>
      <c r="N34" s="20">
        <f t="shared" si="29"/>
        <v>0</v>
      </c>
      <c r="O34" s="20"/>
      <c r="P34" s="20"/>
      <c r="Q34" s="20">
        <f t="shared" si="30"/>
        <v>0</v>
      </c>
      <c r="R34" s="22"/>
      <c r="S34" s="22"/>
      <c r="T34" s="22">
        <f t="shared" si="31"/>
        <v>0</v>
      </c>
      <c r="U34" s="22"/>
      <c r="V34" s="22"/>
      <c r="W34" s="22">
        <f t="shared" si="32"/>
        <v>0</v>
      </c>
      <c r="X34" s="20"/>
      <c r="Y34" s="20"/>
      <c r="Z34" s="20">
        <f t="shared" si="33"/>
        <v>0</v>
      </c>
      <c r="AA34" s="20"/>
      <c r="AB34" s="20"/>
      <c r="AC34" s="21">
        <f t="shared" si="34"/>
        <v>0</v>
      </c>
      <c r="AD34" s="263"/>
      <c r="AE34" s="263"/>
      <c r="AF34" s="268"/>
      <c r="AG34" s="263"/>
      <c r="AH34" s="261"/>
      <c r="AI34" s="263"/>
      <c r="AJ34" s="261"/>
      <c r="AK34" s="263"/>
      <c r="AL34" s="261"/>
      <c r="AM34" s="249"/>
      <c r="AN34" s="249"/>
      <c r="AO34" s="251"/>
    </row>
    <row r="35" spans="1:41" ht="18" thickBot="1" x14ac:dyDescent="0.3">
      <c r="A35" s="283"/>
      <c r="B35" s="272" t="s">
        <v>34</v>
      </c>
      <c r="C35" s="273"/>
      <c r="D35" s="274"/>
      <c r="E35" s="23">
        <f>+SUM(E32:E34)</f>
        <v>989</v>
      </c>
      <c r="F35" s="23">
        <f>+SUM(F32:F34)</f>
        <v>825</v>
      </c>
      <c r="G35" s="23">
        <f>SUM(G32:G34)</f>
        <v>825</v>
      </c>
      <c r="H35" s="23">
        <f t="shared" ref="H35:AC35" si="35">+SUM(H32:H34)</f>
        <v>-164</v>
      </c>
      <c r="I35" s="23">
        <f t="shared" si="35"/>
        <v>76</v>
      </c>
      <c r="J35" s="23">
        <f t="shared" si="35"/>
        <v>76</v>
      </c>
      <c r="K35" s="23">
        <f t="shared" si="35"/>
        <v>-749</v>
      </c>
      <c r="L35" s="23">
        <f t="shared" si="35"/>
        <v>0</v>
      </c>
      <c r="M35" s="23">
        <f t="shared" si="35"/>
        <v>0</v>
      </c>
      <c r="N35" s="23">
        <f t="shared" si="35"/>
        <v>-76</v>
      </c>
      <c r="O35" s="23">
        <f t="shared" si="35"/>
        <v>0</v>
      </c>
      <c r="P35" s="23">
        <f t="shared" si="35"/>
        <v>0</v>
      </c>
      <c r="Q35" s="23">
        <f t="shared" si="35"/>
        <v>0</v>
      </c>
      <c r="R35" s="24">
        <f t="shared" si="35"/>
        <v>0</v>
      </c>
      <c r="S35" s="24">
        <f t="shared" si="35"/>
        <v>0</v>
      </c>
      <c r="T35" s="24">
        <f t="shared" si="35"/>
        <v>0</v>
      </c>
      <c r="U35" s="24">
        <f t="shared" si="35"/>
        <v>0</v>
      </c>
      <c r="V35" s="24">
        <f t="shared" si="35"/>
        <v>0</v>
      </c>
      <c r="W35" s="24">
        <f t="shared" si="35"/>
        <v>0</v>
      </c>
      <c r="X35" s="23">
        <f t="shared" si="35"/>
        <v>0</v>
      </c>
      <c r="Y35" s="23">
        <f t="shared" si="35"/>
        <v>0</v>
      </c>
      <c r="Z35" s="23">
        <f t="shared" si="35"/>
        <v>0</v>
      </c>
      <c r="AA35" s="23">
        <f t="shared" si="35"/>
        <v>0</v>
      </c>
      <c r="AB35" s="23">
        <f t="shared" si="35"/>
        <v>0</v>
      </c>
      <c r="AC35" s="15">
        <f t="shared" si="35"/>
        <v>0</v>
      </c>
      <c r="AD35" s="264"/>
      <c r="AE35" s="264"/>
      <c r="AF35" s="269"/>
      <c r="AG35" s="264"/>
      <c r="AH35" s="262"/>
      <c r="AI35" s="264"/>
      <c r="AJ35" s="262"/>
      <c r="AK35" s="264"/>
      <c r="AL35" s="262"/>
      <c r="AM35" s="250"/>
      <c r="AN35" s="250"/>
      <c r="AO35" s="252"/>
    </row>
    <row r="36" spans="1:41" ht="18" thickBot="1" x14ac:dyDescent="0.3">
      <c r="A36" s="284"/>
      <c r="B36" s="275" t="s">
        <v>40</v>
      </c>
      <c r="C36" s="275"/>
      <c r="D36" s="276"/>
      <c r="E36" s="26">
        <f>E19+E35+E27+E31</f>
        <v>7538</v>
      </c>
      <c r="F36" s="26">
        <f t="shared" ref="F36:AC36" si="36">F19+F35+F27+F31</f>
        <v>825</v>
      </c>
      <c r="G36" s="26">
        <f t="shared" si="36"/>
        <v>6739</v>
      </c>
      <c r="H36" s="26">
        <f t="shared" si="36"/>
        <v>-799</v>
      </c>
      <c r="I36" s="26">
        <f t="shared" si="36"/>
        <v>76</v>
      </c>
      <c r="J36" s="26">
        <f t="shared" si="36"/>
        <v>5990</v>
      </c>
      <c r="K36" s="26">
        <f t="shared" si="36"/>
        <v>-749</v>
      </c>
      <c r="L36" s="26">
        <f t="shared" si="36"/>
        <v>538</v>
      </c>
      <c r="M36" s="26">
        <f t="shared" si="36"/>
        <v>5364</v>
      </c>
      <c r="N36" s="26">
        <f t="shared" si="36"/>
        <v>-626</v>
      </c>
      <c r="O36" s="26">
        <f t="shared" si="36"/>
        <v>220</v>
      </c>
      <c r="P36" s="26">
        <f t="shared" si="36"/>
        <v>5032</v>
      </c>
      <c r="Q36" s="26">
        <f t="shared" si="36"/>
        <v>-332</v>
      </c>
      <c r="R36" s="26">
        <f t="shared" si="36"/>
        <v>390</v>
      </c>
      <c r="S36" s="26">
        <f t="shared" si="36"/>
        <v>4815</v>
      </c>
      <c r="T36" s="26">
        <f t="shared" si="36"/>
        <v>-217</v>
      </c>
      <c r="U36" s="26">
        <f t="shared" si="36"/>
        <v>30</v>
      </c>
      <c r="V36" s="26">
        <f t="shared" si="36"/>
        <v>4088</v>
      </c>
      <c r="W36" s="26">
        <f t="shared" si="36"/>
        <v>-727</v>
      </c>
      <c r="X36" s="26">
        <f t="shared" si="36"/>
        <v>231</v>
      </c>
      <c r="Y36" s="26">
        <f t="shared" si="36"/>
        <v>3942</v>
      </c>
      <c r="Z36" s="26">
        <f t="shared" si="36"/>
        <v>-1090</v>
      </c>
      <c r="AA36" s="26">
        <f t="shared" si="36"/>
        <v>231</v>
      </c>
      <c r="AB36" s="26">
        <f t="shared" si="36"/>
        <v>3942</v>
      </c>
      <c r="AC36" s="26">
        <f t="shared" si="36"/>
        <v>0</v>
      </c>
      <c r="AD36" s="27">
        <f>SUM(AD6:AD35)</f>
        <v>538</v>
      </c>
      <c r="AE36" s="27">
        <f>SUM(AE6:AE35)</f>
        <v>5366</v>
      </c>
      <c r="AF36" s="28">
        <f>SUM(AF6:AF35)/4</f>
        <v>37.666250000000005</v>
      </c>
      <c r="AG36" s="27">
        <f t="shared" ref="AG36:AL36" si="37">SUM(AG6:AG35)</f>
        <v>22</v>
      </c>
      <c r="AH36" s="27">
        <f t="shared" si="37"/>
        <v>444</v>
      </c>
      <c r="AI36" s="27">
        <f t="shared" si="37"/>
        <v>9</v>
      </c>
      <c r="AJ36" s="27">
        <f t="shared" si="37"/>
        <v>207</v>
      </c>
      <c r="AK36" s="27">
        <f t="shared" si="37"/>
        <v>1</v>
      </c>
      <c r="AL36" s="27">
        <f t="shared" si="37"/>
        <v>33</v>
      </c>
      <c r="AM36" s="29">
        <f>L36*AF36/480/AG36</f>
        <v>1.918981297348485</v>
      </c>
      <c r="AN36" s="30">
        <f>M36*AF36/480/AH36</f>
        <v>0.94801879222972985</v>
      </c>
      <c r="AO36" s="31"/>
    </row>
    <row r="37" spans="1:41" ht="18.75" customHeight="1" x14ac:dyDescent="0.25">
      <c r="A37" s="265" t="s">
        <v>32</v>
      </c>
      <c r="B37" s="227" t="s">
        <v>41</v>
      </c>
      <c r="C37" s="300" t="s">
        <v>37</v>
      </c>
      <c r="D37" s="34" t="s">
        <v>42</v>
      </c>
      <c r="E37" s="228">
        <v>1645</v>
      </c>
      <c r="F37" s="228"/>
      <c r="G37" s="228">
        <f>1430</f>
        <v>1430</v>
      </c>
      <c r="H37" s="228">
        <f t="shared" ref="H37:H39" si="38">G37-E37</f>
        <v>-215</v>
      </c>
      <c r="I37" s="228"/>
      <c r="J37" s="228">
        <f>1430</f>
        <v>1430</v>
      </c>
      <c r="K37" s="228">
        <f t="shared" ref="K37:K39" si="39">J37-G37</f>
        <v>0</v>
      </c>
      <c r="L37" s="228"/>
      <c r="M37" s="228">
        <f>102+201+302+351-99-125-110+133+127+49+120+24+166+155+34</f>
        <v>1430</v>
      </c>
      <c r="N37" s="228">
        <f t="shared" ref="N37:N39" si="40">M37-J37</f>
        <v>0</v>
      </c>
      <c r="O37" s="228"/>
      <c r="P37" s="228">
        <f>1075+166+155+34</f>
        <v>1430</v>
      </c>
      <c r="Q37" s="228">
        <f t="shared" ref="Q37:Q39" si="41">P37-M37</f>
        <v>0</v>
      </c>
      <c r="R37" s="228"/>
      <c r="S37" s="228">
        <f>970+260+50+150</f>
        <v>1430</v>
      </c>
      <c r="T37" s="35">
        <f t="shared" ref="T37:T39" si="42">S37-P37</f>
        <v>0</v>
      </c>
      <c r="U37" s="228"/>
      <c r="V37" s="228">
        <f>970+310+150</f>
        <v>1430</v>
      </c>
      <c r="W37" s="35">
        <f t="shared" ref="W37:W39" si="43">V37-S37</f>
        <v>0</v>
      </c>
      <c r="X37" s="228"/>
      <c r="Y37" s="228">
        <f>860+80+15+140+90+100</f>
        <v>1285</v>
      </c>
      <c r="Z37" s="228">
        <f t="shared" ref="Z37:Z39" si="44">Y37-P37</f>
        <v>-145</v>
      </c>
      <c r="AA37" s="228"/>
      <c r="AB37" s="228">
        <f>860+80+15+140+90+100</f>
        <v>1285</v>
      </c>
      <c r="AC37" s="33">
        <f t="shared" ref="AC37:AC39" si="45">AB37-Y37</f>
        <v>0</v>
      </c>
      <c r="AD37" s="267">
        <f>L40</f>
        <v>0</v>
      </c>
      <c r="AE37" s="263">
        <f>300+98+344+213+289+412+355+358+438+80</f>
        <v>2887</v>
      </c>
      <c r="AF37" s="268">
        <v>33.130000000000003</v>
      </c>
      <c r="AG37" s="263">
        <v>1</v>
      </c>
      <c r="AH37" s="261">
        <f>2+10+8+8+8+6+6+6+9+5+6+8+7+7+6+6+6+6+6+6+7+7+7+7+6+7+17+16+16+22+21+21+10+20+20+13+10+10+10+11+13</f>
        <v>403</v>
      </c>
      <c r="AI37" s="263"/>
      <c r="AJ37" s="261">
        <f>1+1+1+1+1+1+1+2+2+2+2+2+2+2+2+2+2+1+1+1+1+1+1+1+1+4+3+4+5+8+8+6+7+6+6+6+7+7+7</f>
        <v>119</v>
      </c>
      <c r="AK37" s="263"/>
      <c r="AL37" s="261">
        <f>1+1+1+1+1+1+1+1+1+1+1+1+1+1+1+1+2+2+2+2+2+1+1+1+1+1</f>
        <v>31</v>
      </c>
      <c r="AM37" s="249">
        <f>L40*AF37/480/AG37</f>
        <v>0</v>
      </c>
      <c r="AN37" s="249">
        <f>M40*AF37/480/AH37</f>
        <v>0.65818129652605462</v>
      </c>
      <c r="AO37" s="251"/>
    </row>
    <row r="38" spans="1:41" ht="18.75" customHeight="1" x14ac:dyDescent="0.25">
      <c r="A38" s="265"/>
      <c r="B38" s="36" t="s">
        <v>43</v>
      </c>
      <c r="C38" s="301"/>
      <c r="D38" s="38" t="s">
        <v>44</v>
      </c>
      <c r="E38" s="20">
        <v>1245</v>
      </c>
      <c r="F38" s="20"/>
      <c r="G38" s="20">
        <f>1231</f>
        <v>1231</v>
      </c>
      <c r="H38" s="20">
        <f t="shared" si="38"/>
        <v>-14</v>
      </c>
      <c r="I38" s="20"/>
      <c r="J38" s="20">
        <f>1231</f>
        <v>1231</v>
      </c>
      <c r="K38" s="20">
        <f t="shared" si="39"/>
        <v>0</v>
      </c>
      <c r="L38" s="20"/>
      <c r="M38" s="20">
        <f>300+99+125+110+98+101+59+41+12+93+57+100+35</f>
        <v>1230</v>
      </c>
      <c r="N38" s="20">
        <f t="shared" si="40"/>
        <v>-1</v>
      </c>
      <c r="O38" s="20"/>
      <c r="P38" s="20">
        <f>1038+57+100+35</f>
        <v>1230</v>
      </c>
      <c r="Q38" s="20">
        <f t="shared" si="41"/>
        <v>0</v>
      </c>
      <c r="R38" s="20"/>
      <c r="S38" s="20">
        <f>930+160+50+90</f>
        <v>1230</v>
      </c>
      <c r="T38" s="39">
        <f t="shared" si="42"/>
        <v>0</v>
      </c>
      <c r="U38" s="20"/>
      <c r="V38" s="20">
        <f>910+230+90</f>
        <v>1230</v>
      </c>
      <c r="W38" s="39">
        <f t="shared" si="43"/>
        <v>0</v>
      </c>
      <c r="X38" s="20"/>
      <c r="Y38" s="20">
        <f>750+75+40+90+100+130</f>
        <v>1185</v>
      </c>
      <c r="Z38" s="20">
        <f t="shared" si="44"/>
        <v>-45</v>
      </c>
      <c r="AA38" s="20"/>
      <c r="AB38" s="20">
        <f>750+75+40+90+100+130</f>
        <v>1185</v>
      </c>
      <c r="AC38" s="37">
        <f t="shared" si="45"/>
        <v>0</v>
      </c>
      <c r="AD38" s="263"/>
      <c r="AE38" s="263"/>
      <c r="AF38" s="268"/>
      <c r="AG38" s="263"/>
      <c r="AH38" s="261"/>
      <c r="AI38" s="263"/>
      <c r="AJ38" s="261"/>
      <c r="AK38" s="263"/>
      <c r="AL38" s="261"/>
      <c r="AM38" s="249"/>
      <c r="AN38" s="249"/>
      <c r="AO38" s="251"/>
    </row>
    <row r="39" spans="1:41" ht="18.75" customHeight="1" thickBot="1" x14ac:dyDescent="0.3">
      <c r="A39" s="265"/>
      <c r="B39" s="231" t="s">
        <v>45</v>
      </c>
      <c r="C39" s="302"/>
      <c r="D39" s="42" t="s">
        <v>46</v>
      </c>
      <c r="E39" s="25">
        <v>1300</v>
      </c>
      <c r="F39" s="25"/>
      <c r="G39" s="25">
        <f>1183</f>
        <v>1183</v>
      </c>
      <c r="H39" s="25">
        <f t="shared" si="38"/>
        <v>-117</v>
      </c>
      <c r="I39" s="25"/>
      <c r="J39" s="25">
        <f>520+663</f>
        <v>1183</v>
      </c>
      <c r="K39" s="25">
        <f t="shared" si="39"/>
        <v>0</v>
      </c>
      <c r="L39" s="25"/>
      <c r="M39" s="25">
        <f>110+27+199+280+238+135+183+11</f>
        <v>1183</v>
      </c>
      <c r="N39" s="25">
        <f t="shared" si="40"/>
        <v>0</v>
      </c>
      <c r="O39" s="25"/>
      <c r="P39" s="25">
        <f>854+135+183+11</f>
        <v>1183</v>
      </c>
      <c r="Q39" s="25">
        <f t="shared" si="41"/>
        <v>0</v>
      </c>
      <c r="R39" s="25"/>
      <c r="S39" s="25">
        <f>530+420+150+83</f>
        <v>1183</v>
      </c>
      <c r="T39" s="43">
        <f t="shared" si="42"/>
        <v>0</v>
      </c>
      <c r="U39" s="25"/>
      <c r="V39" s="25">
        <f>130+400+420+150+83</f>
        <v>1183</v>
      </c>
      <c r="W39" s="43">
        <f t="shared" si="43"/>
        <v>0</v>
      </c>
      <c r="X39" s="25"/>
      <c r="Y39" s="25">
        <f>100+190+190+320+190+120</f>
        <v>1110</v>
      </c>
      <c r="Z39" s="25">
        <f t="shared" si="44"/>
        <v>-73</v>
      </c>
      <c r="AA39" s="25"/>
      <c r="AB39" s="25">
        <f>100+190+190+320+190+120</f>
        <v>1110</v>
      </c>
      <c r="AC39" s="44">
        <f t="shared" si="45"/>
        <v>0</v>
      </c>
      <c r="AD39" s="263"/>
      <c r="AE39" s="263"/>
      <c r="AF39" s="268"/>
      <c r="AG39" s="263"/>
      <c r="AH39" s="261"/>
      <c r="AI39" s="263"/>
      <c r="AJ39" s="261"/>
      <c r="AK39" s="263"/>
      <c r="AL39" s="261"/>
      <c r="AM39" s="249"/>
      <c r="AN39" s="249"/>
      <c r="AO39" s="251"/>
    </row>
    <row r="40" spans="1:41" ht="18" thickBot="1" x14ac:dyDescent="0.3">
      <c r="A40" s="265"/>
      <c r="B40" s="253" t="s">
        <v>34</v>
      </c>
      <c r="C40" s="254"/>
      <c r="D40" s="255"/>
      <c r="E40" s="24">
        <f>+SUM(E37:E39)</f>
        <v>4190</v>
      </c>
      <c r="F40" s="24">
        <f t="shared" ref="F40:AC40" si="46">+SUM(F37:F39)</f>
        <v>0</v>
      </c>
      <c r="G40" s="24">
        <f t="shared" si="46"/>
        <v>3844</v>
      </c>
      <c r="H40" s="24">
        <f t="shared" si="46"/>
        <v>-346</v>
      </c>
      <c r="I40" s="24">
        <f t="shared" si="46"/>
        <v>0</v>
      </c>
      <c r="J40" s="24">
        <f t="shared" si="46"/>
        <v>3844</v>
      </c>
      <c r="K40" s="24">
        <f t="shared" si="46"/>
        <v>0</v>
      </c>
      <c r="L40" s="24">
        <f t="shared" si="46"/>
        <v>0</v>
      </c>
      <c r="M40" s="24">
        <f t="shared" si="46"/>
        <v>3843</v>
      </c>
      <c r="N40" s="24">
        <f t="shared" si="46"/>
        <v>-1</v>
      </c>
      <c r="O40" s="24">
        <f t="shared" si="46"/>
        <v>0</v>
      </c>
      <c r="P40" s="24">
        <f t="shared" si="46"/>
        <v>3843</v>
      </c>
      <c r="Q40" s="24">
        <f t="shared" si="46"/>
        <v>0</v>
      </c>
      <c r="R40" s="24">
        <f t="shared" si="46"/>
        <v>0</v>
      </c>
      <c r="S40" s="24">
        <f t="shared" si="46"/>
        <v>3843</v>
      </c>
      <c r="T40" s="24">
        <f t="shared" si="46"/>
        <v>0</v>
      </c>
      <c r="U40" s="24">
        <f t="shared" si="46"/>
        <v>0</v>
      </c>
      <c r="V40" s="24">
        <f t="shared" si="46"/>
        <v>3843</v>
      </c>
      <c r="W40" s="24">
        <f t="shared" si="46"/>
        <v>0</v>
      </c>
      <c r="X40" s="24">
        <f t="shared" si="46"/>
        <v>0</v>
      </c>
      <c r="Y40" s="24">
        <f t="shared" si="46"/>
        <v>3580</v>
      </c>
      <c r="Z40" s="24">
        <f t="shared" si="46"/>
        <v>-263</v>
      </c>
      <c r="AA40" s="24">
        <f t="shared" si="46"/>
        <v>0</v>
      </c>
      <c r="AB40" s="24">
        <f t="shared" si="46"/>
        <v>3580</v>
      </c>
      <c r="AC40" s="24">
        <f t="shared" si="46"/>
        <v>0</v>
      </c>
      <c r="AD40" s="264"/>
      <c r="AE40" s="264"/>
      <c r="AF40" s="269"/>
      <c r="AG40" s="264"/>
      <c r="AH40" s="262"/>
      <c r="AI40" s="264"/>
      <c r="AJ40" s="262"/>
      <c r="AK40" s="264"/>
      <c r="AL40" s="262"/>
      <c r="AM40" s="250"/>
      <c r="AN40" s="250"/>
      <c r="AO40" s="252"/>
    </row>
    <row r="41" spans="1:41" ht="18" customHeight="1" thickBot="1" x14ac:dyDescent="0.3">
      <c r="A41" s="266"/>
      <c r="B41" s="256" t="s">
        <v>40</v>
      </c>
      <c r="C41" s="256"/>
      <c r="D41" s="257"/>
      <c r="E41" s="26">
        <f>E40</f>
        <v>4190</v>
      </c>
      <c r="F41" s="26">
        <f t="shared" ref="F41:AC41" si="47">F40</f>
        <v>0</v>
      </c>
      <c r="G41" s="26">
        <f t="shared" si="47"/>
        <v>3844</v>
      </c>
      <c r="H41" s="26">
        <f t="shared" si="47"/>
        <v>-346</v>
      </c>
      <c r="I41" s="26">
        <f t="shared" si="47"/>
        <v>0</v>
      </c>
      <c r="J41" s="26">
        <f t="shared" si="47"/>
        <v>3844</v>
      </c>
      <c r="K41" s="26">
        <f t="shared" si="47"/>
        <v>0</v>
      </c>
      <c r="L41" s="26">
        <f t="shared" si="47"/>
        <v>0</v>
      </c>
      <c r="M41" s="26">
        <f t="shared" si="47"/>
        <v>3843</v>
      </c>
      <c r="N41" s="26">
        <f t="shared" si="47"/>
        <v>-1</v>
      </c>
      <c r="O41" s="26">
        <f t="shared" si="47"/>
        <v>0</v>
      </c>
      <c r="P41" s="26">
        <f t="shared" si="47"/>
        <v>3843</v>
      </c>
      <c r="Q41" s="26">
        <f t="shared" si="47"/>
        <v>0</v>
      </c>
      <c r="R41" s="26">
        <f t="shared" si="47"/>
        <v>0</v>
      </c>
      <c r="S41" s="26">
        <f t="shared" si="47"/>
        <v>3843</v>
      </c>
      <c r="T41" s="26">
        <f t="shared" si="47"/>
        <v>0</v>
      </c>
      <c r="U41" s="26">
        <f t="shared" si="47"/>
        <v>0</v>
      </c>
      <c r="V41" s="26">
        <f t="shared" si="47"/>
        <v>3843</v>
      </c>
      <c r="W41" s="26">
        <f t="shared" si="47"/>
        <v>0</v>
      </c>
      <c r="X41" s="26">
        <f t="shared" si="47"/>
        <v>0</v>
      </c>
      <c r="Y41" s="26">
        <f t="shared" si="47"/>
        <v>3580</v>
      </c>
      <c r="Z41" s="26">
        <f t="shared" si="47"/>
        <v>-263</v>
      </c>
      <c r="AA41" s="26">
        <f t="shared" si="47"/>
        <v>0</v>
      </c>
      <c r="AB41" s="26">
        <f t="shared" si="47"/>
        <v>3580</v>
      </c>
      <c r="AC41" s="26">
        <f t="shared" si="47"/>
        <v>0</v>
      </c>
      <c r="AD41" s="45">
        <f t="shared" ref="AD41:AL41" si="48">SUM(AD37:AD40)</f>
        <v>0</v>
      </c>
      <c r="AE41" s="45">
        <f t="shared" si="48"/>
        <v>2887</v>
      </c>
      <c r="AF41" s="46">
        <f t="shared" si="48"/>
        <v>33.130000000000003</v>
      </c>
      <c r="AG41" s="45">
        <f t="shared" si="48"/>
        <v>1</v>
      </c>
      <c r="AH41" s="45">
        <f t="shared" si="48"/>
        <v>403</v>
      </c>
      <c r="AI41" s="45">
        <f t="shared" si="48"/>
        <v>0</v>
      </c>
      <c r="AJ41" s="45">
        <f t="shared" si="48"/>
        <v>119</v>
      </c>
      <c r="AK41" s="45">
        <f t="shared" si="48"/>
        <v>0</v>
      </c>
      <c r="AL41" s="45">
        <f t="shared" si="48"/>
        <v>31</v>
      </c>
      <c r="AM41" s="47">
        <f>L41*AF41/480/AG41</f>
        <v>0</v>
      </c>
      <c r="AN41" s="48">
        <f>M41*AF41/480/AH41</f>
        <v>0.65818129652605462</v>
      </c>
      <c r="AO41" s="49"/>
    </row>
    <row r="42" spans="1:41" s="60" customFormat="1" ht="15.75" thickBot="1" x14ac:dyDescent="0.3">
      <c r="A42" s="50"/>
      <c r="B42" s="51"/>
      <c r="C42" s="51"/>
      <c r="D42" s="51"/>
      <c r="E42" s="51"/>
      <c r="F42" s="52"/>
      <c r="G42" s="51"/>
      <c r="H42" s="51"/>
      <c r="I42" s="230"/>
      <c r="J42" s="54"/>
      <c r="K42" s="51"/>
      <c r="L42" s="55"/>
      <c r="M42" s="51"/>
      <c r="N42" s="51"/>
      <c r="O42" s="56"/>
      <c r="P42" s="51"/>
      <c r="Q42" s="51"/>
      <c r="R42" s="55"/>
      <c r="S42" s="51"/>
      <c r="T42" s="51"/>
      <c r="U42" s="55"/>
      <c r="V42" s="51"/>
      <c r="W42" s="51"/>
      <c r="X42" s="55"/>
      <c r="Y42" s="51"/>
      <c r="Z42" s="51"/>
      <c r="AA42" s="55"/>
      <c r="AB42" s="51"/>
      <c r="AC42" s="51"/>
      <c r="AD42" s="229"/>
      <c r="AE42" s="58"/>
      <c r="AF42" s="51"/>
      <c r="AG42" s="229"/>
      <c r="AH42" s="58"/>
      <c r="AI42" s="229"/>
      <c r="AJ42" s="58"/>
      <c r="AK42" s="229"/>
      <c r="AL42" s="58"/>
      <c r="AM42" s="229"/>
      <c r="AN42" s="55"/>
      <c r="AO42" s="59"/>
    </row>
    <row r="43" spans="1:41" s="60" customFormat="1" ht="15.75" thickBot="1" x14ac:dyDescent="0.3">
      <c r="A43" s="258" t="s">
        <v>47</v>
      </c>
      <c r="B43" s="259"/>
      <c r="C43" s="259"/>
      <c r="D43" s="259"/>
      <c r="E43" s="260"/>
      <c r="F43" s="63">
        <f>F41+F36</f>
        <v>825</v>
      </c>
      <c r="G43" s="64"/>
      <c r="H43" s="64"/>
      <c r="I43" s="63">
        <f>I41+I36</f>
        <v>76</v>
      </c>
      <c r="J43" s="64"/>
      <c r="K43" s="65">
        <f>K41+K36</f>
        <v>-749</v>
      </c>
      <c r="L43" s="66">
        <f>L41+L36</f>
        <v>538</v>
      </c>
      <c r="M43" s="64"/>
      <c r="N43" s="65">
        <f>N41+N36</f>
        <v>-627</v>
      </c>
      <c r="O43" s="66">
        <f>O41+O36</f>
        <v>220</v>
      </c>
      <c r="P43" s="64"/>
      <c r="Q43" s="65">
        <f>Q41+Q36</f>
        <v>-332</v>
      </c>
      <c r="R43" s="66">
        <f>R41+R36</f>
        <v>390</v>
      </c>
      <c r="S43" s="64"/>
      <c r="T43" s="65">
        <f>T41+T36</f>
        <v>-217</v>
      </c>
      <c r="U43" s="66">
        <f>U41+U36</f>
        <v>30</v>
      </c>
      <c r="V43" s="64"/>
      <c r="W43" s="65">
        <f>W41+W36</f>
        <v>-727</v>
      </c>
      <c r="X43" s="66">
        <f>X41+X36</f>
        <v>231</v>
      </c>
      <c r="Y43" s="64"/>
      <c r="Z43" s="65">
        <f>Z41+Z36</f>
        <v>-1353</v>
      </c>
      <c r="AA43" s="66">
        <f>AA41+AA36</f>
        <v>231</v>
      </c>
      <c r="AB43" s="64"/>
      <c r="AC43" s="65">
        <f>AC41+AC36</f>
        <v>0</v>
      </c>
      <c r="AD43" s="67">
        <f>AD41+AD36</f>
        <v>538</v>
      </c>
      <c r="AE43" s="65">
        <f>AE41+AE36</f>
        <v>8253</v>
      </c>
      <c r="AF43" s="64"/>
      <c r="AG43" s="63">
        <f>AG41+AG36</f>
        <v>23</v>
      </c>
      <c r="AH43" s="68"/>
      <c r="AI43" s="63">
        <f>AI41+AI36</f>
        <v>9</v>
      </c>
      <c r="AJ43" s="68"/>
      <c r="AK43" s="63">
        <f>AK41+AK36</f>
        <v>1</v>
      </c>
      <c r="AL43" s="68"/>
      <c r="AM43" s="69">
        <f>SUM(AM41+AM36)/2</f>
        <v>0.9594906486742425</v>
      </c>
      <c r="AN43" s="69">
        <f>SUM(AN41+AN36)/2</f>
        <v>0.80310004437789217</v>
      </c>
      <c r="AO43" s="70"/>
    </row>
    <row r="44" spans="1:41" s="60" customFormat="1" ht="15" x14ac:dyDescent="0.25">
      <c r="O44" s="71"/>
    </row>
    <row r="45" spans="1:41" s="60" customFormat="1" ht="15" x14ac:dyDescent="0.25">
      <c r="O45" s="71"/>
      <c r="W45" s="60" t="s">
        <v>5</v>
      </c>
      <c r="Z45" s="60" t="s">
        <v>5</v>
      </c>
      <c r="AC45" s="60" t="s">
        <v>5</v>
      </c>
    </row>
  </sheetData>
  <mergeCells count="105">
    <mergeCell ref="A43:E43"/>
    <mergeCell ref="AI37:AI40"/>
    <mergeCell ref="AJ37:AJ40"/>
    <mergeCell ref="AK37:AK40"/>
    <mergeCell ref="AL37:AL40"/>
    <mergeCell ref="AM37:AM40"/>
    <mergeCell ref="AN37:AN40"/>
    <mergeCell ref="AM20:AM27"/>
    <mergeCell ref="AO32:AO35"/>
    <mergeCell ref="B35:D35"/>
    <mergeCell ref="B36:D36"/>
    <mergeCell ref="A37:A41"/>
    <mergeCell ref="C37:C39"/>
    <mergeCell ref="AD37:AD40"/>
    <mergeCell ref="AE37:AE40"/>
    <mergeCell ref="AF37:AF40"/>
    <mergeCell ref="AG37:AG40"/>
    <mergeCell ref="AH37:AH40"/>
    <mergeCell ref="AI32:AI35"/>
    <mergeCell ref="AJ32:AJ35"/>
    <mergeCell ref="AK32:AK35"/>
    <mergeCell ref="AL32:AL35"/>
    <mergeCell ref="AM32:AM35"/>
    <mergeCell ref="AN32:AN35"/>
    <mergeCell ref="AO37:AO40"/>
    <mergeCell ref="B40:D40"/>
    <mergeCell ref="B41:D41"/>
    <mergeCell ref="AO6:AO19"/>
    <mergeCell ref="B10:B13"/>
    <mergeCell ref="B14:B18"/>
    <mergeCell ref="B19:D19"/>
    <mergeCell ref="B20:B26"/>
    <mergeCell ref="C20:C26"/>
    <mergeCell ref="AD20:AD27"/>
    <mergeCell ref="AE20:AE27"/>
    <mergeCell ref="AF20:AF27"/>
    <mergeCell ref="AG20:AG27"/>
    <mergeCell ref="AI6:AI19"/>
    <mergeCell ref="AJ6:AJ19"/>
    <mergeCell ref="AK6:AK19"/>
    <mergeCell ref="AL6:AL19"/>
    <mergeCell ref="AM6:AM19"/>
    <mergeCell ref="AN6:AN19"/>
    <mergeCell ref="AN20:AN27"/>
    <mergeCell ref="AO20:AO27"/>
    <mergeCell ref="B27:D27"/>
    <mergeCell ref="AH20:AH27"/>
    <mergeCell ref="AI20:AI27"/>
    <mergeCell ref="AK20:AK27"/>
    <mergeCell ref="AL20:AL27"/>
    <mergeCell ref="A6:A36"/>
    <mergeCell ref="B6:B9"/>
    <mergeCell ref="C6:C18"/>
    <mergeCell ref="AD6:AD19"/>
    <mergeCell ref="AE6:AE19"/>
    <mergeCell ref="AF6:AF19"/>
    <mergeCell ref="AG6:AG19"/>
    <mergeCell ref="AH6:AH19"/>
    <mergeCell ref="AL28:AL31"/>
    <mergeCell ref="B32:B34"/>
    <mergeCell ref="C32:C34"/>
    <mergeCell ref="AD32:AD35"/>
    <mergeCell ref="AE32:AE35"/>
    <mergeCell ref="AF32:AF35"/>
    <mergeCell ref="AG32:AG35"/>
    <mergeCell ref="AH32:AH35"/>
    <mergeCell ref="U4:W4"/>
    <mergeCell ref="AJ20:AJ27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  <mergeCell ref="AM4:AN4"/>
    <mergeCell ref="AO4:AO5"/>
    <mergeCell ref="AI4:AJ4"/>
    <mergeCell ref="AK4:AL4"/>
    <mergeCell ref="X4:Z4"/>
    <mergeCell ref="AA4:AC4"/>
    <mergeCell ref="AD4:AE4"/>
    <mergeCell ref="AG4:AH4"/>
    <mergeCell ref="AM28:AM31"/>
    <mergeCell ref="AN28:AN31"/>
    <mergeCell ref="AO28:AO31"/>
    <mergeCell ref="B31:D31"/>
    <mergeCell ref="AG28:AG31"/>
    <mergeCell ref="AH28:AH31"/>
    <mergeCell ref="AI28:AI31"/>
    <mergeCell ref="AJ28:AJ31"/>
    <mergeCell ref="AK28:AK31"/>
    <mergeCell ref="B28:B30"/>
    <mergeCell ref="C28:C30"/>
    <mergeCell ref="AD28:AD31"/>
    <mergeCell ref="AE28:AE31"/>
    <mergeCell ref="AF28:AF31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43" max="55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6" sqref="F6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5.7109375" style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6.14062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6.140625" style="1" bestFit="1" customWidth="1"/>
    <col min="18" max="18" width="7.85546875" style="1" customWidth="1"/>
    <col min="19" max="19" width="8.85546875" style="1" customWidth="1"/>
    <col min="20" max="20" width="7.42578125" style="1" bestFit="1" customWidth="1"/>
    <col min="21" max="21" width="8.42578125" style="1" customWidth="1"/>
    <col min="22" max="22" width="7.85546875" style="1" customWidth="1"/>
    <col min="23" max="23" width="7.425781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10.8554687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45380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48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235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233" t="s">
        <v>26</v>
      </c>
      <c r="G5" s="9" t="s">
        <v>27</v>
      </c>
      <c r="H5" s="10" t="s">
        <v>28</v>
      </c>
      <c r="I5" s="235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234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235" t="s">
        <v>26</v>
      </c>
      <c r="AE5" s="9" t="s">
        <v>27</v>
      </c>
      <c r="AF5" s="233" t="s">
        <v>26</v>
      </c>
      <c r="AG5" s="233" t="s">
        <v>26</v>
      </c>
      <c r="AH5" s="9" t="s">
        <v>27</v>
      </c>
      <c r="AI5" s="233" t="s">
        <v>26</v>
      </c>
      <c r="AJ5" s="15" t="s">
        <v>27</v>
      </c>
      <c r="AK5" s="233" t="s">
        <v>26</v>
      </c>
      <c r="AL5" s="9" t="s">
        <v>27</v>
      </c>
      <c r="AM5" s="235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237">
        <v>680</v>
      </c>
      <c r="F6" s="237"/>
      <c r="G6" s="237">
        <f>680</f>
        <v>680</v>
      </c>
      <c r="H6" s="237">
        <f t="shared" ref="H6:H18" si="0">G6-E6</f>
        <v>0</v>
      </c>
      <c r="I6" s="237"/>
      <c r="J6" s="237">
        <f>428+252</f>
        <v>680</v>
      </c>
      <c r="K6" s="237">
        <f t="shared" ref="K6:K18" si="1">J6-G6</f>
        <v>0</v>
      </c>
      <c r="L6" s="237"/>
      <c r="M6" s="237">
        <f>62+144+4+9+26+75+226+36+4+6+7+45+26+10</f>
        <v>680</v>
      </c>
      <c r="N6" s="237">
        <f t="shared" ref="N6:N18" si="2">M6-J6</f>
        <v>0</v>
      </c>
      <c r="O6" s="237"/>
      <c r="P6" s="119">
        <f>546+36+4+6+7+45+26+9</f>
        <v>679</v>
      </c>
      <c r="Q6" s="237">
        <f t="shared" ref="Q6:Q18" si="3">P6-M6</f>
        <v>-1</v>
      </c>
      <c r="R6" s="18"/>
      <c r="S6" s="18">
        <f>210+330+40+12+83+4</f>
        <v>679</v>
      </c>
      <c r="T6" s="18">
        <f t="shared" ref="T6:T18" si="4">S6-P6</f>
        <v>0</v>
      </c>
      <c r="U6" s="18"/>
      <c r="V6" s="18">
        <f>200+340+40+62+32+5</f>
        <v>679</v>
      </c>
      <c r="W6" s="18">
        <f t="shared" ref="W6:W18" si="5">V6-S6</f>
        <v>0</v>
      </c>
      <c r="X6" s="237"/>
      <c r="Y6" s="237">
        <f>175+10+40+350+50+30+7</f>
        <v>662</v>
      </c>
      <c r="Z6" s="237">
        <f t="shared" ref="Z6:Z18" si="6">Y6-P6</f>
        <v>-17</v>
      </c>
      <c r="AA6" s="237"/>
      <c r="AB6" s="237">
        <f>175+10+40+350+50+30+7</f>
        <v>662</v>
      </c>
      <c r="AC6" s="19">
        <f t="shared" ref="AC6:AC18" si="7">AB6-Y6</f>
        <v>0</v>
      </c>
      <c r="AD6" s="267">
        <f>L19</f>
        <v>0</v>
      </c>
      <c r="AE6" s="267">
        <f>62+144+4+20+190+196+47+175+261+297+182+288+308+374+343+307+397+362+442+2</f>
        <v>4401</v>
      </c>
      <c r="AF6" s="282">
        <v>24.192</v>
      </c>
      <c r="AG6" s="267"/>
      <c r="AH6" s="277">
        <f>6+8+6+10+10+10+20+6+22+13+22+8+10+9+11+13+26+20+20+20+15+13+13</f>
        <v>311</v>
      </c>
      <c r="AI6" s="267"/>
      <c r="AJ6" s="277">
        <f>1+2+2+2+3+3+5+4+5+5+11+11+7+7+7+7+14+12+12+12+10+9+8</f>
        <v>159</v>
      </c>
      <c r="AK6" s="267"/>
      <c r="AL6" s="277">
        <f>1+1+1+1+1+1+1+1+1+1+1+1+2+1+1+1+1+1+1</f>
        <v>20</v>
      </c>
      <c r="AM6" s="270" t="e">
        <f>L19*AF6/480/AG6</f>
        <v>#DIV/0!</v>
      </c>
      <c r="AN6" s="270">
        <f>M19*AF6/480/AH6</f>
        <v>0.71289260450160774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/>
      <c r="M7" s="20">
        <f>20+117+9+13+48+110+29+97+43+5+27+50+14+17</f>
        <v>599</v>
      </c>
      <c r="N7" s="20">
        <f t="shared" si="2"/>
        <v>0</v>
      </c>
      <c r="O7" s="20"/>
      <c r="P7" s="20">
        <f>292+29+122+43+5+27+64+11</f>
        <v>593</v>
      </c>
      <c r="Q7" s="20">
        <f t="shared" si="3"/>
        <v>-6</v>
      </c>
      <c r="R7" s="20"/>
      <c r="S7" s="20">
        <f>160+140+90+90+11+96+6</f>
        <v>593</v>
      </c>
      <c r="T7" s="20">
        <f t="shared" si="4"/>
        <v>0</v>
      </c>
      <c r="U7" s="20"/>
      <c r="V7" s="20">
        <f>150+240+90+61+40+12</f>
        <v>593</v>
      </c>
      <c r="W7" s="20">
        <f t="shared" si="5"/>
        <v>0</v>
      </c>
      <c r="X7" s="20"/>
      <c r="Y7" s="20">
        <f>480+70+12</f>
        <v>562</v>
      </c>
      <c r="Z7" s="20">
        <f t="shared" si="6"/>
        <v>-31</v>
      </c>
      <c r="AA7" s="20"/>
      <c r="AB7" s="20">
        <f>480+70+12</f>
        <v>562</v>
      </c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/>
      <c r="M8" s="20">
        <f>73+187+25+59+76+42+58+4+3+5+31+100-14+28</f>
        <v>677</v>
      </c>
      <c r="N8" s="20">
        <f t="shared" si="2"/>
        <v>0</v>
      </c>
      <c r="O8" s="20"/>
      <c r="P8" s="20">
        <f>420+42+58+4+3+5+31+86+24</f>
        <v>673</v>
      </c>
      <c r="Q8" s="20">
        <f t="shared" si="3"/>
        <v>-4</v>
      </c>
      <c r="R8" s="20"/>
      <c r="S8" s="20">
        <f>250+150+50+50+25+141+7</f>
        <v>673</v>
      </c>
      <c r="T8" s="20">
        <f t="shared" si="4"/>
        <v>0</v>
      </c>
      <c r="U8" s="20"/>
      <c r="V8" s="20">
        <f>250+200+50+135+14+24</f>
        <v>673</v>
      </c>
      <c r="W8" s="20">
        <f t="shared" si="5"/>
        <v>0</v>
      </c>
      <c r="X8" s="20"/>
      <c r="Y8" s="20">
        <f>180+45+80+130+75+100+40+13</f>
        <v>663</v>
      </c>
      <c r="Z8" s="20">
        <f t="shared" si="6"/>
        <v>-10</v>
      </c>
      <c r="AA8" s="20"/>
      <c r="AB8" s="20">
        <f>180+45+80+130+75+100+40+13</f>
        <v>663</v>
      </c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>
        <f>42+27+5+5+19+8</f>
        <v>106</v>
      </c>
      <c r="N9" s="20">
        <f t="shared" si="2"/>
        <v>0</v>
      </c>
      <c r="O9" s="20"/>
      <c r="P9" s="20">
        <f>42+27+5+5+19+5+3</f>
        <v>106</v>
      </c>
      <c r="Q9" s="20">
        <f t="shared" si="3"/>
        <v>0</v>
      </c>
      <c r="R9" s="20"/>
      <c r="S9" s="20">
        <f>10+14+79+3</f>
        <v>106</v>
      </c>
      <c r="T9" s="20">
        <f t="shared" si="4"/>
        <v>0</v>
      </c>
      <c r="U9" s="20"/>
      <c r="V9" s="20">
        <f>74+29+3</f>
        <v>106</v>
      </c>
      <c r="W9" s="20">
        <f t="shared" si="5"/>
        <v>0</v>
      </c>
      <c r="X9" s="20"/>
      <c r="Y9" s="20">
        <f>95+8</f>
        <v>103</v>
      </c>
      <c r="Z9" s="20">
        <f t="shared" si="6"/>
        <v>-3</v>
      </c>
      <c r="AA9" s="20"/>
      <c r="AB9" s="20">
        <f>95+8</f>
        <v>103</v>
      </c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303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/>
      <c r="M10" s="20">
        <f>37+134+20+12+19+1</f>
        <v>223</v>
      </c>
      <c r="N10" s="20">
        <f t="shared" si="2"/>
        <v>0</v>
      </c>
      <c r="O10" s="20"/>
      <c r="P10" s="20">
        <f>37+134+20+12+19+1</f>
        <v>223</v>
      </c>
      <c r="Q10" s="20">
        <f t="shared" si="3"/>
        <v>0</v>
      </c>
      <c r="R10" s="20"/>
      <c r="S10" s="20">
        <f>170+20+32+1</f>
        <v>223</v>
      </c>
      <c r="T10" s="20">
        <f t="shared" si="4"/>
        <v>0</v>
      </c>
      <c r="U10" s="20"/>
      <c r="V10" s="20">
        <f>160+62</f>
        <v>222</v>
      </c>
      <c r="W10" s="20">
        <f t="shared" si="5"/>
        <v>-1</v>
      </c>
      <c r="X10" s="20"/>
      <c r="Y10" s="20">
        <f>180+20+15+5</f>
        <v>220</v>
      </c>
      <c r="Z10" s="20">
        <f t="shared" si="6"/>
        <v>-3</v>
      </c>
      <c r="AA10" s="20"/>
      <c r="AB10" s="20">
        <f>180+20+15+5</f>
        <v>220</v>
      </c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>
        <f>172+55</f>
        <v>227</v>
      </c>
      <c r="N11" s="20">
        <f t="shared" si="2"/>
        <v>0</v>
      </c>
      <c r="O11" s="20"/>
      <c r="P11" s="20">
        <f>172+55</f>
        <v>227</v>
      </c>
      <c r="Q11" s="20">
        <f t="shared" si="3"/>
        <v>0</v>
      </c>
      <c r="R11" s="20"/>
      <c r="S11" s="20">
        <f>160+60+7</f>
        <v>227</v>
      </c>
      <c r="T11" s="20">
        <f t="shared" si="4"/>
        <v>0</v>
      </c>
      <c r="U11" s="20"/>
      <c r="V11" s="20">
        <f>10+210+7</f>
        <v>227</v>
      </c>
      <c r="W11" s="20">
        <f t="shared" si="5"/>
        <v>0</v>
      </c>
      <c r="X11" s="20"/>
      <c r="Y11" s="20">
        <f>200+20+3</f>
        <v>223</v>
      </c>
      <c r="Z11" s="20">
        <f t="shared" si="6"/>
        <v>-4</v>
      </c>
      <c r="AA11" s="20"/>
      <c r="AB11" s="20">
        <f>200+20+3</f>
        <v>223</v>
      </c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/>
      <c r="M12" s="20">
        <f>156+20+12+52+2</f>
        <v>242</v>
      </c>
      <c r="N12" s="20">
        <f t="shared" si="2"/>
        <v>0</v>
      </c>
      <c r="O12" s="20"/>
      <c r="P12" s="20">
        <f>156+20+12+52</f>
        <v>240</v>
      </c>
      <c r="Q12" s="20">
        <f t="shared" si="3"/>
        <v>-2</v>
      </c>
      <c r="R12" s="20"/>
      <c r="S12" s="20">
        <f>10+171+59</f>
        <v>240</v>
      </c>
      <c r="T12" s="20">
        <f t="shared" si="4"/>
        <v>0</v>
      </c>
      <c r="U12" s="20"/>
      <c r="V12" s="20">
        <f>170+70</f>
        <v>240</v>
      </c>
      <c r="W12" s="20">
        <f t="shared" si="5"/>
        <v>0</v>
      </c>
      <c r="X12" s="20"/>
      <c r="Y12" s="20">
        <f>180+20+30+8</f>
        <v>238</v>
      </c>
      <c r="Z12" s="20">
        <f t="shared" si="6"/>
        <v>-2</v>
      </c>
      <c r="AA12" s="20"/>
      <c r="AB12" s="20">
        <f>180+20+30+8</f>
        <v>238</v>
      </c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x14ac:dyDescent="0.25">
      <c r="A13" s="283"/>
      <c r="B13" s="298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/>
      <c r="M13" s="20">
        <f>10+108+4+4+24+21</f>
        <v>171</v>
      </c>
      <c r="N13" s="20">
        <f t="shared" si="2"/>
        <v>0</v>
      </c>
      <c r="O13" s="20"/>
      <c r="P13" s="20">
        <f>10+108+4+4+24+20</f>
        <v>170</v>
      </c>
      <c r="Q13" s="20">
        <f t="shared" si="3"/>
        <v>-1</v>
      </c>
      <c r="R13" s="20"/>
      <c r="S13" s="20">
        <f>10+154+6</f>
        <v>170</v>
      </c>
      <c r="T13" s="20">
        <f t="shared" si="4"/>
        <v>0</v>
      </c>
      <c r="U13" s="20"/>
      <c r="V13" s="20">
        <f>10+140+20</f>
        <v>170</v>
      </c>
      <c r="W13" s="20">
        <f t="shared" si="5"/>
        <v>0</v>
      </c>
      <c r="X13" s="20"/>
      <c r="Y13" s="20">
        <f>20+150</f>
        <v>170</v>
      </c>
      <c r="Z13" s="20">
        <f t="shared" si="6"/>
        <v>0</v>
      </c>
      <c r="AA13" s="20"/>
      <c r="AB13" s="20">
        <f>20+150</f>
        <v>170</v>
      </c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x14ac:dyDescent="0.25">
      <c r="A14" s="283"/>
      <c r="B14" s="279" t="s">
        <v>57</v>
      </c>
      <c r="C14" s="281"/>
      <c r="D14" s="20" t="s">
        <v>58</v>
      </c>
      <c r="E14" s="20">
        <v>350</v>
      </c>
      <c r="F14" s="20"/>
      <c r="G14" s="20">
        <f>328</f>
        <v>328</v>
      </c>
      <c r="H14" s="20">
        <f t="shared" si="0"/>
        <v>-22</v>
      </c>
      <c r="I14" s="20"/>
      <c r="J14" s="20">
        <f>328</f>
        <v>328</v>
      </c>
      <c r="K14" s="20">
        <f t="shared" si="1"/>
        <v>0</v>
      </c>
      <c r="L14" s="20"/>
      <c r="M14" s="20">
        <f>151+134+2+41</f>
        <v>328</v>
      </c>
      <c r="N14" s="20">
        <f t="shared" si="2"/>
        <v>0</v>
      </c>
      <c r="O14" s="20"/>
      <c r="P14" s="20">
        <f>151+134+2+41</f>
        <v>328</v>
      </c>
      <c r="Q14" s="20">
        <f t="shared" si="3"/>
        <v>0</v>
      </c>
      <c r="R14" s="18"/>
      <c r="S14" s="18">
        <f>280+48</f>
        <v>328</v>
      </c>
      <c r="T14" s="18">
        <f t="shared" si="4"/>
        <v>0</v>
      </c>
      <c r="U14" s="18"/>
      <c r="V14" s="18">
        <f>280+48</f>
        <v>328</v>
      </c>
      <c r="W14" s="18">
        <f t="shared" si="5"/>
        <v>0</v>
      </c>
      <c r="X14" s="20"/>
      <c r="Y14" s="20">
        <f>180+140</f>
        <v>320</v>
      </c>
      <c r="Z14" s="20">
        <f t="shared" si="6"/>
        <v>-8</v>
      </c>
      <c r="AA14" s="20"/>
      <c r="AB14" s="20">
        <f>180+140</f>
        <v>320</v>
      </c>
      <c r="AC14" s="21">
        <f t="shared" si="7"/>
        <v>0</v>
      </c>
      <c r="AD14" s="263"/>
      <c r="AE14" s="263"/>
      <c r="AF14" s="268"/>
      <c r="AG14" s="263"/>
      <c r="AH14" s="261"/>
      <c r="AI14" s="263"/>
      <c r="AJ14" s="261"/>
      <c r="AK14" s="263"/>
      <c r="AL14" s="261"/>
      <c r="AM14" s="249"/>
      <c r="AN14" s="249"/>
      <c r="AO14" s="251"/>
    </row>
    <row r="15" spans="1:41" x14ac:dyDescent="0.25">
      <c r="A15" s="283"/>
      <c r="B15" s="279"/>
      <c r="C15" s="281"/>
      <c r="D15" s="20" t="s">
        <v>33</v>
      </c>
      <c r="E15" s="20">
        <v>375</v>
      </c>
      <c r="F15" s="20"/>
      <c r="G15" s="20">
        <f>350</f>
        <v>350</v>
      </c>
      <c r="H15" s="20">
        <f t="shared" si="0"/>
        <v>-25</v>
      </c>
      <c r="I15" s="20"/>
      <c r="J15" s="20">
        <f>350</f>
        <v>350</v>
      </c>
      <c r="K15" s="20">
        <f t="shared" si="1"/>
        <v>0</v>
      </c>
      <c r="L15" s="20"/>
      <c r="M15" s="20">
        <f>152+120+21+28+29</f>
        <v>350</v>
      </c>
      <c r="N15" s="20">
        <f t="shared" si="2"/>
        <v>0</v>
      </c>
      <c r="O15" s="20"/>
      <c r="P15" s="20">
        <f>152+120+21+28+29</f>
        <v>350</v>
      </c>
      <c r="Q15" s="20">
        <f t="shared" si="3"/>
        <v>0</v>
      </c>
      <c r="R15" s="20"/>
      <c r="S15" s="20">
        <f>338+12</f>
        <v>350</v>
      </c>
      <c r="T15" s="20">
        <f t="shared" si="4"/>
        <v>0</v>
      </c>
      <c r="U15" s="20"/>
      <c r="V15" s="20">
        <f>338+12</f>
        <v>350</v>
      </c>
      <c r="W15" s="20">
        <f t="shared" si="5"/>
        <v>0</v>
      </c>
      <c r="X15" s="20"/>
      <c r="Y15" s="20">
        <f>300+40</f>
        <v>340</v>
      </c>
      <c r="Z15" s="20">
        <f t="shared" si="6"/>
        <v>-10</v>
      </c>
      <c r="AA15" s="20"/>
      <c r="AB15" s="20">
        <f>300+40</f>
        <v>340</v>
      </c>
      <c r="AC15" s="21">
        <f t="shared" si="7"/>
        <v>0</v>
      </c>
      <c r="AD15" s="263"/>
      <c r="AE15" s="263"/>
      <c r="AF15" s="268"/>
      <c r="AG15" s="263"/>
      <c r="AH15" s="261"/>
      <c r="AI15" s="263"/>
      <c r="AJ15" s="261"/>
      <c r="AK15" s="263"/>
      <c r="AL15" s="261"/>
      <c r="AM15" s="249"/>
      <c r="AN15" s="249"/>
      <c r="AO15" s="251"/>
    </row>
    <row r="16" spans="1:41" x14ac:dyDescent="0.25">
      <c r="A16" s="283"/>
      <c r="B16" s="279"/>
      <c r="C16" s="281"/>
      <c r="D16" s="20" t="s">
        <v>59</v>
      </c>
      <c r="E16" s="20">
        <v>375</v>
      </c>
      <c r="F16" s="20"/>
      <c r="G16" s="20">
        <f>213</f>
        <v>213</v>
      </c>
      <c r="H16" s="20">
        <f t="shared" si="0"/>
        <v>-162</v>
      </c>
      <c r="I16" s="20"/>
      <c r="J16" s="20">
        <f>213</f>
        <v>213</v>
      </c>
      <c r="K16" s="20">
        <f t="shared" si="1"/>
        <v>0</v>
      </c>
      <c r="L16" s="20"/>
      <c r="M16" s="20">
        <f>200+13</f>
        <v>213</v>
      </c>
      <c r="N16" s="20">
        <f t="shared" si="2"/>
        <v>0</v>
      </c>
      <c r="O16" s="20"/>
      <c r="P16" s="20">
        <f>200+13</f>
        <v>213</v>
      </c>
      <c r="Q16" s="20">
        <f t="shared" si="3"/>
        <v>0</v>
      </c>
      <c r="R16" s="20"/>
      <c r="S16" s="20">
        <f>10+203</f>
        <v>213</v>
      </c>
      <c r="T16" s="20">
        <f t="shared" si="4"/>
        <v>0</v>
      </c>
      <c r="U16" s="20"/>
      <c r="V16" s="20">
        <f>213</f>
        <v>213</v>
      </c>
      <c r="W16" s="20">
        <f t="shared" si="5"/>
        <v>0</v>
      </c>
      <c r="X16" s="20"/>
      <c r="Y16" s="20">
        <f>200+7</f>
        <v>207</v>
      </c>
      <c r="Z16" s="20">
        <f t="shared" si="6"/>
        <v>-6</v>
      </c>
      <c r="AA16" s="20"/>
      <c r="AB16" s="20">
        <f>200+7</f>
        <v>207</v>
      </c>
      <c r="AC16" s="21">
        <f t="shared" si="7"/>
        <v>0</v>
      </c>
      <c r="AD16" s="263"/>
      <c r="AE16" s="263"/>
      <c r="AF16" s="268"/>
      <c r="AG16" s="263"/>
      <c r="AH16" s="261"/>
      <c r="AI16" s="263"/>
      <c r="AJ16" s="261"/>
      <c r="AK16" s="263"/>
      <c r="AL16" s="261"/>
      <c r="AM16" s="249"/>
      <c r="AN16" s="249"/>
      <c r="AO16" s="251"/>
    </row>
    <row r="17" spans="1:41" x14ac:dyDescent="0.25">
      <c r="A17" s="283"/>
      <c r="B17" s="279"/>
      <c r="C17" s="281"/>
      <c r="D17" s="20" t="s">
        <v>60</v>
      </c>
      <c r="E17" s="20">
        <v>350</v>
      </c>
      <c r="F17" s="20"/>
      <c r="G17" s="20">
        <f>237</f>
        <v>237</v>
      </c>
      <c r="H17" s="20">
        <f t="shared" si="0"/>
        <v>-113</v>
      </c>
      <c r="I17" s="20"/>
      <c r="J17" s="20">
        <f>237</f>
        <v>237</v>
      </c>
      <c r="K17" s="20">
        <f t="shared" si="1"/>
        <v>0</v>
      </c>
      <c r="L17" s="20"/>
      <c r="M17" s="20">
        <f>47+190</f>
        <v>237</v>
      </c>
      <c r="N17" s="20">
        <f t="shared" si="2"/>
        <v>0</v>
      </c>
      <c r="O17" s="20"/>
      <c r="P17" s="20">
        <f>237</f>
        <v>237</v>
      </c>
      <c r="Q17" s="20">
        <f t="shared" si="3"/>
        <v>0</v>
      </c>
      <c r="R17" s="20"/>
      <c r="S17" s="20">
        <f>220+17</f>
        <v>237</v>
      </c>
      <c r="T17" s="20">
        <f t="shared" si="4"/>
        <v>0</v>
      </c>
      <c r="U17" s="20"/>
      <c r="V17" s="20">
        <f>10+227</f>
        <v>237</v>
      </c>
      <c r="W17" s="20">
        <f t="shared" si="5"/>
        <v>0</v>
      </c>
      <c r="X17" s="20"/>
      <c r="Y17" s="20">
        <f>55+135+44</f>
        <v>234</v>
      </c>
      <c r="Z17" s="20">
        <f t="shared" si="6"/>
        <v>-3</v>
      </c>
      <c r="AA17" s="20"/>
      <c r="AB17" s="20">
        <f>55+135+44</f>
        <v>234</v>
      </c>
      <c r="AC17" s="21">
        <f t="shared" si="7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" thickBot="1" x14ac:dyDescent="0.3">
      <c r="A18" s="283"/>
      <c r="B18" s="299"/>
      <c r="C18" s="281"/>
      <c r="D18" s="20" t="s">
        <v>61</v>
      </c>
      <c r="E18" s="20">
        <v>350</v>
      </c>
      <c r="F18" s="20"/>
      <c r="G18" s="20">
        <f>345+1</f>
        <v>346</v>
      </c>
      <c r="H18" s="20">
        <f t="shared" si="0"/>
        <v>-4</v>
      </c>
      <c r="I18" s="20"/>
      <c r="J18" s="20">
        <f>345+1</f>
        <v>346</v>
      </c>
      <c r="K18" s="20">
        <f t="shared" si="1"/>
        <v>0</v>
      </c>
      <c r="L18" s="20"/>
      <c r="M18" s="20">
        <f>72+273+1</f>
        <v>346</v>
      </c>
      <c r="N18" s="20">
        <f t="shared" si="2"/>
        <v>0</v>
      </c>
      <c r="O18" s="20"/>
      <c r="P18" s="20">
        <f>72+274</f>
        <v>346</v>
      </c>
      <c r="Q18" s="20">
        <f t="shared" si="3"/>
        <v>0</v>
      </c>
      <c r="R18" s="25"/>
      <c r="S18" s="25">
        <f>340+6</f>
        <v>346</v>
      </c>
      <c r="T18" s="25">
        <f t="shared" si="4"/>
        <v>0</v>
      </c>
      <c r="U18" s="25"/>
      <c r="V18" s="25">
        <f>10</f>
        <v>10</v>
      </c>
      <c r="W18" s="25">
        <f t="shared" si="5"/>
        <v>-336</v>
      </c>
      <c r="X18" s="20"/>
      <c r="Y18" s="20"/>
      <c r="Z18" s="20">
        <f t="shared" si="6"/>
        <v>-346</v>
      </c>
      <c r="AA18" s="20"/>
      <c r="AB18" s="20"/>
      <c r="AC18" s="21">
        <f t="shared" si="7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83"/>
      <c r="B19" s="272" t="s">
        <v>34</v>
      </c>
      <c r="C19" s="273"/>
      <c r="D19" s="274"/>
      <c r="E19" s="23">
        <f>+SUM(E6:E18)</f>
        <v>4962</v>
      </c>
      <c r="F19" s="23">
        <f>+SUM(F6:F18)</f>
        <v>0</v>
      </c>
      <c r="G19" s="23">
        <f>SUM(G6:G18)</f>
        <v>4399</v>
      </c>
      <c r="H19" s="23">
        <f t="shared" ref="H19:AC19" si="8">+SUM(H6:H18)</f>
        <v>-563</v>
      </c>
      <c r="I19" s="23">
        <f t="shared" si="8"/>
        <v>0</v>
      </c>
      <c r="J19" s="23">
        <f t="shared" si="8"/>
        <v>4399</v>
      </c>
      <c r="K19" s="23">
        <f t="shared" si="8"/>
        <v>0</v>
      </c>
      <c r="L19" s="23">
        <f t="shared" si="8"/>
        <v>0</v>
      </c>
      <c r="M19" s="23">
        <f t="shared" si="8"/>
        <v>4399</v>
      </c>
      <c r="N19" s="23">
        <f t="shared" si="8"/>
        <v>0</v>
      </c>
      <c r="O19" s="23">
        <f t="shared" si="8"/>
        <v>0</v>
      </c>
      <c r="P19" s="23">
        <f t="shared" si="8"/>
        <v>4385</v>
      </c>
      <c r="Q19" s="23">
        <f t="shared" si="8"/>
        <v>-14</v>
      </c>
      <c r="R19" s="24">
        <f t="shared" si="8"/>
        <v>0</v>
      </c>
      <c r="S19" s="24">
        <f t="shared" si="8"/>
        <v>4385</v>
      </c>
      <c r="T19" s="24">
        <f t="shared" si="8"/>
        <v>0</v>
      </c>
      <c r="U19" s="24">
        <f t="shared" si="8"/>
        <v>0</v>
      </c>
      <c r="V19" s="24">
        <f t="shared" si="8"/>
        <v>4048</v>
      </c>
      <c r="W19" s="24">
        <f t="shared" si="8"/>
        <v>-337</v>
      </c>
      <c r="X19" s="23">
        <f t="shared" si="8"/>
        <v>0</v>
      </c>
      <c r="Y19" s="23">
        <f t="shared" si="8"/>
        <v>3942</v>
      </c>
      <c r="Z19" s="23">
        <f t="shared" si="8"/>
        <v>-443</v>
      </c>
      <c r="AA19" s="23">
        <f t="shared" si="8"/>
        <v>0</v>
      </c>
      <c r="AB19" s="23">
        <f t="shared" si="8"/>
        <v>3942</v>
      </c>
      <c r="AC19" s="15">
        <f t="shared" si="8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.75" customHeight="1" x14ac:dyDescent="0.25">
      <c r="A20" s="283"/>
      <c r="B20" s="297" t="s">
        <v>62</v>
      </c>
      <c r="C20" s="280" t="s">
        <v>63</v>
      </c>
      <c r="D20" s="16" t="s">
        <v>33</v>
      </c>
      <c r="E20" s="237">
        <v>155</v>
      </c>
      <c r="F20" s="237"/>
      <c r="G20" s="237">
        <f>130+8</f>
        <v>138</v>
      </c>
      <c r="H20" s="237">
        <f t="shared" ref="H20:H26" si="9">G20-E20</f>
        <v>-17</v>
      </c>
      <c r="I20" s="237"/>
      <c r="J20" s="237">
        <f>100+30+8</f>
        <v>138</v>
      </c>
      <c r="K20" s="237">
        <f t="shared" ref="K20:K26" si="10">J20-G20</f>
        <v>0</v>
      </c>
      <c r="L20" s="237"/>
      <c r="M20" s="237">
        <f>25+55+18+40</f>
        <v>138</v>
      </c>
      <c r="N20" s="237">
        <f t="shared" ref="N20:N26" si="11">M20-J20</f>
        <v>0</v>
      </c>
      <c r="O20" s="237">
        <v>37</v>
      </c>
      <c r="P20" s="119">
        <f>10+70+18+2+37</f>
        <v>137</v>
      </c>
      <c r="Q20" s="237">
        <f t="shared" ref="Q20:Q26" si="12">P20-M20</f>
        <v>-1</v>
      </c>
      <c r="R20" s="18"/>
      <c r="S20" s="18">
        <f>10+90</f>
        <v>100</v>
      </c>
      <c r="T20" s="18">
        <f t="shared" ref="T20:T26" si="13">S20-P20</f>
        <v>-37</v>
      </c>
      <c r="U20" s="18"/>
      <c r="V20" s="18">
        <f>10</f>
        <v>10</v>
      </c>
      <c r="W20" s="18">
        <f t="shared" ref="W20:W26" si="14">V20-S20</f>
        <v>-90</v>
      </c>
      <c r="X20" s="237"/>
      <c r="Y20" s="237"/>
      <c r="Z20" s="237">
        <f t="shared" ref="Z20:Z26" si="15">Y20-P20</f>
        <v>-137</v>
      </c>
      <c r="AA20" s="237"/>
      <c r="AB20" s="237"/>
      <c r="AC20" s="19">
        <f t="shared" ref="AC20:AC26" si="16">AB20-Y20</f>
        <v>0</v>
      </c>
      <c r="AD20" s="267">
        <f>L27</f>
        <v>0</v>
      </c>
      <c r="AE20" s="267">
        <f>25+205+197+538</f>
        <v>965</v>
      </c>
      <c r="AF20" s="282">
        <v>38.121000000000002</v>
      </c>
      <c r="AG20" s="267"/>
      <c r="AH20" s="277">
        <f>5+5+5+10+10+10+22+17+12+10</f>
        <v>106</v>
      </c>
      <c r="AI20" s="267"/>
      <c r="AJ20" s="277">
        <f>2+2+2+4+6+7+8+8+6</f>
        <v>45</v>
      </c>
      <c r="AK20" s="267"/>
      <c r="AL20" s="277">
        <f>1+1+1+1+1+1+2+2+2+1</f>
        <v>13</v>
      </c>
      <c r="AM20" s="270" t="e">
        <f>L27*AF20/480/AG20</f>
        <v>#DIV/0!</v>
      </c>
      <c r="AN20" s="270">
        <f>M27*AF20/480/AH20</f>
        <v>0.72226108490566032</v>
      </c>
      <c r="AO20" s="271"/>
    </row>
    <row r="21" spans="1:41" x14ac:dyDescent="0.25">
      <c r="A21" s="283"/>
      <c r="B21" s="279"/>
      <c r="C21" s="281"/>
      <c r="D21" s="20" t="s">
        <v>64</v>
      </c>
      <c r="E21" s="20">
        <v>155</v>
      </c>
      <c r="F21" s="20"/>
      <c r="G21" s="20">
        <f>140</f>
        <v>140</v>
      </c>
      <c r="H21" s="20">
        <f t="shared" si="9"/>
        <v>-15</v>
      </c>
      <c r="I21" s="20"/>
      <c r="J21" s="20">
        <f>140</f>
        <v>140</v>
      </c>
      <c r="K21" s="20">
        <f t="shared" si="10"/>
        <v>0</v>
      </c>
      <c r="L21" s="20"/>
      <c r="M21" s="20">
        <f>140</f>
        <v>140</v>
      </c>
      <c r="N21" s="20">
        <f t="shared" si="11"/>
        <v>0</v>
      </c>
      <c r="O21" s="20">
        <v>120</v>
      </c>
      <c r="P21" s="20">
        <f>20+120</f>
        <v>140</v>
      </c>
      <c r="Q21" s="20">
        <f t="shared" si="12"/>
        <v>0</v>
      </c>
      <c r="R21" s="20"/>
      <c r="S21" s="20">
        <f>10</f>
        <v>10</v>
      </c>
      <c r="T21" s="20">
        <f t="shared" si="13"/>
        <v>-130</v>
      </c>
      <c r="U21" s="20"/>
      <c r="V21" s="20"/>
      <c r="W21" s="20">
        <f t="shared" si="14"/>
        <v>-10</v>
      </c>
      <c r="X21" s="20"/>
      <c r="Y21" s="20"/>
      <c r="Z21" s="20">
        <f t="shared" si="15"/>
        <v>-140</v>
      </c>
      <c r="AA21" s="20"/>
      <c r="AB21" s="20"/>
      <c r="AC21" s="21">
        <f t="shared" si="16"/>
        <v>0</v>
      </c>
      <c r="AD21" s="263"/>
      <c r="AE21" s="263"/>
      <c r="AF21" s="268"/>
      <c r="AG21" s="263"/>
      <c r="AH21" s="261"/>
      <c r="AI21" s="263"/>
      <c r="AJ21" s="261"/>
      <c r="AK21" s="263"/>
      <c r="AL21" s="261"/>
      <c r="AM21" s="249"/>
      <c r="AN21" s="249"/>
      <c r="AO21" s="251"/>
    </row>
    <row r="22" spans="1:41" x14ac:dyDescent="0.25">
      <c r="A22" s="283"/>
      <c r="B22" s="279"/>
      <c r="C22" s="281"/>
      <c r="D22" s="20" t="s">
        <v>65</v>
      </c>
      <c r="E22" s="20">
        <v>155</v>
      </c>
      <c r="F22" s="20"/>
      <c r="G22" s="20">
        <f>116+9</f>
        <v>125</v>
      </c>
      <c r="H22" s="20">
        <f t="shared" si="9"/>
        <v>-30</v>
      </c>
      <c r="I22" s="20"/>
      <c r="J22" s="20">
        <f>116+9</f>
        <v>125</v>
      </c>
      <c r="K22" s="20">
        <f t="shared" si="10"/>
        <v>0</v>
      </c>
      <c r="L22" s="20"/>
      <c r="M22" s="20">
        <f>51+52+22</f>
        <v>125</v>
      </c>
      <c r="N22" s="20">
        <f t="shared" si="11"/>
        <v>0</v>
      </c>
      <c r="O22" s="20">
        <v>19</v>
      </c>
      <c r="P22" s="20">
        <f>51+52+3+19</f>
        <v>125</v>
      </c>
      <c r="Q22" s="20">
        <f t="shared" si="12"/>
        <v>0</v>
      </c>
      <c r="R22" s="20"/>
      <c r="S22" s="20">
        <f>10+90</f>
        <v>100</v>
      </c>
      <c r="T22" s="20">
        <f t="shared" si="13"/>
        <v>-25</v>
      </c>
      <c r="U22" s="20"/>
      <c r="V22" s="20">
        <f>10</f>
        <v>10</v>
      </c>
      <c r="W22" s="20">
        <f t="shared" si="14"/>
        <v>-90</v>
      </c>
      <c r="X22" s="20"/>
      <c r="Y22" s="20"/>
      <c r="Z22" s="20">
        <f t="shared" si="15"/>
        <v>-125</v>
      </c>
      <c r="AA22" s="20"/>
      <c r="AB22" s="20"/>
      <c r="AC22" s="21">
        <f t="shared" si="16"/>
        <v>0</v>
      </c>
      <c r="AD22" s="263"/>
      <c r="AE22" s="263"/>
      <c r="AF22" s="268"/>
      <c r="AG22" s="263"/>
      <c r="AH22" s="261"/>
      <c r="AI22" s="263"/>
      <c r="AJ22" s="261"/>
      <c r="AK22" s="263"/>
      <c r="AL22" s="261"/>
      <c r="AM22" s="249"/>
      <c r="AN22" s="249"/>
      <c r="AO22" s="251"/>
    </row>
    <row r="23" spans="1:41" x14ac:dyDescent="0.25">
      <c r="A23" s="283"/>
      <c r="B23" s="279"/>
      <c r="C23" s="281"/>
      <c r="D23" s="20" t="s">
        <v>66</v>
      </c>
      <c r="E23" s="20">
        <v>137</v>
      </c>
      <c r="F23" s="20"/>
      <c r="G23" s="20">
        <f>124+15</f>
        <v>139</v>
      </c>
      <c r="H23" s="20">
        <f t="shared" si="9"/>
        <v>2</v>
      </c>
      <c r="I23" s="20"/>
      <c r="J23" s="20">
        <f>124+15</f>
        <v>139</v>
      </c>
      <c r="K23" s="20">
        <f t="shared" si="10"/>
        <v>0</v>
      </c>
      <c r="L23" s="20"/>
      <c r="M23" s="20">
        <f>99+40</f>
        <v>139</v>
      </c>
      <c r="N23" s="20">
        <f t="shared" si="11"/>
        <v>0</v>
      </c>
      <c r="O23" s="20">
        <v>36</v>
      </c>
      <c r="P23" s="20">
        <f>99+4+36</f>
        <v>139</v>
      </c>
      <c r="Q23" s="20">
        <f t="shared" si="12"/>
        <v>0</v>
      </c>
      <c r="R23" s="20"/>
      <c r="S23" s="20">
        <f>10+80</f>
        <v>90</v>
      </c>
      <c r="T23" s="20">
        <f t="shared" si="13"/>
        <v>-49</v>
      </c>
      <c r="U23" s="20"/>
      <c r="V23" s="20">
        <f>10</f>
        <v>10</v>
      </c>
      <c r="W23" s="20">
        <f t="shared" si="14"/>
        <v>-80</v>
      </c>
      <c r="X23" s="20"/>
      <c r="Y23" s="20"/>
      <c r="Z23" s="20">
        <f t="shared" si="15"/>
        <v>-139</v>
      </c>
      <c r="AA23" s="20"/>
      <c r="AB23" s="20"/>
      <c r="AC23" s="21">
        <f t="shared" si="16"/>
        <v>0</v>
      </c>
      <c r="AD23" s="263"/>
      <c r="AE23" s="263"/>
      <c r="AF23" s="268"/>
      <c r="AG23" s="263"/>
      <c r="AH23" s="261"/>
      <c r="AI23" s="263"/>
      <c r="AJ23" s="261"/>
      <c r="AK23" s="263"/>
      <c r="AL23" s="261"/>
      <c r="AM23" s="249"/>
      <c r="AN23" s="249"/>
      <c r="AO23" s="251"/>
    </row>
    <row r="24" spans="1:41" x14ac:dyDescent="0.25">
      <c r="A24" s="283"/>
      <c r="B24" s="279"/>
      <c r="C24" s="281"/>
      <c r="D24" s="20" t="s">
        <v>67</v>
      </c>
      <c r="E24" s="20">
        <v>155</v>
      </c>
      <c r="F24" s="20"/>
      <c r="G24" s="20">
        <f>146+9</f>
        <v>155</v>
      </c>
      <c r="H24" s="20">
        <f t="shared" si="9"/>
        <v>0</v>
      </c>
      <c r="I24" s="20"/>
      <c r="J24" s="20">
        <f>155</f>
        <v>155</v>
      </c>
      <c r="K24" s="20">
        <f t="shared" si="10"/>
        <v>0</v>
      </c>
      <c r="L24" s="20"/>
      <c r="M24" s="20">
        <f>120+35</f>
        <v>155</v>
      </c>
      <c r="N24" s="20">
        <f t="shared" si="11"/>
        <v>0</v>
      </c>
      <c r="O24" s="20">
        <v>30</v>
      </c>
      <c r="P24" s="20">
        <f>120+5+30</f>
        <v>155</v>
      </c>
      <c r="Q24" s="20">
        <f t="shared" si="12"/>
        <v>0</v>
      </c>
      <c r="R24" s="20"/>
      <c r="S24" s="20">
        <f>10+100</f>
        <v>110</v>
      </c>
      <c r="T24" s="20">
        <f t="shared" si="13"/>
        <v>-45</v>
      </c>
      <c r="U24" s="20"/>
      <c r="V24" s="20">
        <f>10</f>
        <v>10</v>
      </c>
      <c r="W24" s="20">
        <f t="shared" si="14"/>
        <v>-100</v>
      </c>
      <c r="X24" s="20"/>
      <c r="Y24" s="20"/>
      <c r="Z24" s="20">
        <f t="shared" si="15"/>
        <v>-155</v>
      </c>
      <c r="AA24" s="20"/>
      <c r="AB24" s="20"/>
      <c r="AC24" s="21">
        <f t="shared" si="16"/>
        <v>0</v>
      </c>
      <c r="AD24" s="263"/>
      <c r="AE24" s="263"/>
      <c r="AF24" s="268"/>
      <c r="AG24" s="263"/>
      <c r="AH24" s="261"/>
      <c r="AI24" s="263"/>
      <c r="AJ24" s="261"/>
      <c r="AK24" s="263"/>
      <c r="AL24" s="261"/>
      <c r="AM24" s="249"/>
      <c r="AN24" s="249"/>
      <c r="AO24" s="251"/>
    </row>
    <row r="25" spans="1:41" x14ac:dyDescent="0.25">
      <c r="A25" s="283"/>
      <c r="B25" s="279"/>
      <c r="C25" s="281"/>
      <c r="D25" s="20" t="s">
        <v>68</v>
      </c>
      <c r="E25" s="20">
        <v>155</v>
      </c>
      <c r="F25" s="20"/>
      <c r="G25" s="20">
        <f>142</f>
        <v>142</v>
      </c>
      <c r="H25" s="20">
        <f t="shared" si="9"/>
        <v>-13</v>
      </c>
      <c r="I25" s="20"/>
      <c r="J25" s="20">
        <f>142</f>
        <v>142</v>
      </c>
      <c r="K25" s="20">
        <f t="shared" si="10"/>
        <v>0</v>
      </c>
      <c r="L25" s="20"/>
      <c r="M25" s="20">
        <f>142</f>
        <v>142</v>
      </c>
      <c r="N25" s="20">
        <f t="shared" si="11"/>
        <v>0</v>
      </c>
      <c r="O25" s="20">
        <v>39</v>
      </c>
      <c r="P25" s="20">
        <f>103+39</f>
        <v>142</v>
      </c>
      <c r="Q25" s="20">
        <f t="shared" si="12"/>
        <v>0</v>
      </c>
      <c r="R25" s="20"/>
      <c r="S25" s="20">
        <f>10</f>
        <v>10</v>
      </c>
      <c r="T25" s="20">
        <f t="shared" si="13"/>
        <v>-132</v>
      </c>
      <c r="U25" s="20"/>
      <c r="V25" s="20"/>
      <c r="W25" s="20">
        <f t="shared" si="14"/>
        <v>-10</v>
      </c>
      <c r="X25" s="20"/>
      <c r="Y25" s="20"/>
      <c r="Z25" s="20">
        <f t="shared" si="15"/>
        <v>-142</v>
      </c>
      <c r="AA25" s="20"/>
      <c r="AB25" s="20"/>
      <c r="AC25" s="21">
        <f t="shared" si="16"/>
        <v>0</v>
      </c>
      <c r="AD25" s="263"/>
      <c r="AE25" s="263"/>
      <c r="AF25" s="268"/>
      <c r="AG25" s="263"/>
      <c r="AH25" s="261"/>
      <c r="AI25" s="263"/>
      <c r="AJ25" s="261"/>
      <c r="AK25" s="263"/>
      <c r="AL25" s="261"/>
      <c r="AM25" s="249"/>
      <c r="AN25" s="249"/>
      <c r="AO25" s="251"/>
    </row>
    <row r="26" spans="1:41" ht="18" thickBot="1" x14ac:dyDescent="0.3">
      <c r="A26" s="283"/>
      <c r="B26" s="298"/>
      <c r="C26" s="281"/>
      <c r="D26" s="20" t="s">
        <v>60</v>
      </c>
      <c r="E26" s="20">
        <v>125</v>
      </c>
      <c r="F26" s="20"/>
      <c r="G26" s="20">
        <f>116+9</f>
        <v>125</v>
      </c>
      <c r="H26" s="20">
        <f t="shared" si="9"/>
        <v>0</v>
      </c>
      <c r="I26" s="20"/>
      <c r="J26" s="20">
        <f>125</f>
        <v>125</v>
      </c>
      <c r="K26" s="20">
        <f t="shared" si="10"/>
        <v>0</v>
      </c>
      <c r="L26" s="20"/>
      <c r="M26" s="20">
        <f>7+118</f>
        <v>125</v>
      </c>
      <c r="N26" s="20">
        <f t="shared" si="11"/>
        <v>0</v>
      </c>
      <c r="O26" s="20">
        <v>35</v>
      </c>
      <c r="P26" s="20">
        <f>7+83+35</f>
        <v>125</v>
      </c>
      <c r="Q26" s="20">
        <f t="shared" si="12"/>
        <v>0</v>
      </c>
      <c r="R26" s="22"/>
      <c r="S26" s="22">
        <f>10</f>
        <v>10</v>
      </c>
      <c r="T26" s="22">
        <f t="shared" si="13"/>
        <v>-115</v>
      </c>
      <c r="U26" s="22"/>
      <c r="V26" s="22"/>
      <c r="W26" s="22">
        <f t="shared" si="14"/>
        <v>-10</v>
      </c>
      <c r="X26" s="20"/>
      <c r="Y26" s="20"/>
      <c r="Z26" s="20">
        <f t="shared" si="15"/>
        <v>-125</v>
      </c>
      <c r="AA26" s="20"/>
      <c r="AB26" s="20"/>
      <c r="AC26" s="21">
        <f t="shared" si="16"/>
        <v>0</v>
      </c>
      <c r="AD26" s="263"/>
      <c r="AE26" s="263"/>
      <c r="AF26" s="268"/>
      <c r="AG26" s="263"/>
      <c r="AH26" s="261"/>
      <c r="AI26" s="263"/>
      <c r="AJ26" s="261"/>
      <c r="AK26" s="263"/>
      <c r="AL26" s="261"/>
      <c r="AM26" s="249"/>
      <c r="AN26" s="249"/>
      <c r="AO26" s="251"/>
    </row>
    <row r="27" spans="1:41" ht="18" thickBot="1" x14ac:dyDescent="0.3">
      <c r="A27" s="283"/>
      <c r="B27" s="272" t="s">
        <v>34</v>
      </c>
      <c r="C27" s="273"/>
      <c r="D27" s="274"/>
      <c r="E27" s="23">
        <f>+SUM(E20:E26)</f>
        <v>1037</v>
      </c>
      <c r="F27" s="23">
        <f>+SUM(F20:F26)</f>
        <v>0</v>
      </c>
      <c r="G27" s="23">
        <f>SUM(G20:G26)</f>
        <v>964</v>
      </c>
      <c r="H27" s="23">
        <f t="shared" ref="H27:AC27" si="17">+SUM(H20:H26)</f>
        <v>-73</v>
      </c>
      <c r="I27" s="23">
        <f t="shared" si="17"/>
        <v>0</v>
      </c>
      <c r="J27" s="23">
        <f t="shared" si="17"/>
        <v>964</v>
      </c>
      <c r="K27" s="23">
        <f t="shared" si="17"/>
        <v>0</v>
      </c>
      <c r="L27" s="23">
        <f t="shared" si="17"/>
        <v>0</v>
      </c>
      <c r="M27" s="23">
        <f t="shared" si="17"/>
        <v>964</v>
      </c>
      <c r="N27" s="23">
        <f t="shared" si="17"/>
        <v>0</v>
      </c>
      <c r="O27" s="23">
        <f t="shared" si="17"/>
        <v>316</v>
      </c>
      <c r="P27" s="23">
        <f t="shared" si="17"/>
        <v>963</v>
      </c>
      <c r="Q27" s="23">
        <f t="shared" si="17"/>
        <v>-1</v>
      </c>
      <c r="R27" s="24">
        <f t="shared" si="17"/>
        <v>0</v>
      </c>
      <c r="S27" s="24">
        <f t="shared" si="17"/>
        <v>430</v>
      </c>
      <c r="T27" s="24">
        <f t="shared" si="17"/>
        <v>-533</v>
      </c>
      <c r="U27" s="24">
        <f t="shared" si="17"/>
        <v>0</v>
      </c>
      <c r="V27" s="24">
        <f t="shared" si="17"/>
        <v>40</v>
      </c>
      <c r="W27" s="24">
        <f t="shared" si="17"/>
        <v>-390</v>
      </c>
      <c r="X27" s="23">
        <f t="shared" si="17"/>
        <v>0</v>
      </c>
      <c r="Y27" s="23">
        <f t="shared" si="17"/>
        <v>0</v>
      </c>
      <c r="Z27" s="23">
        <f t="shared" si="17"/>
        <v>-963</v>
      </c>
      <c r="AA27" s="23">
        <f t="shared" si="17"/>
        <v>0</v>
      </c>
      <c r="AB27" s="23">
        <f t="shared" si="17"/>
        <v>0</v>
      </c>
      <c r="AC27" s="15">
        <f t="shared" si="17"/>
        <v>0</v>
      </c>
      <c r="AD27" s="264"/>
      <c r="AE27" s="264"/>
      <c r="AF27" s="269"/>
      <c r="AG27" s="264"/>
      <c r="AH27" s="262"/>
      <c r="AI27" s="264"/>
      <c r="AJ27" s="262"/>
      <c r="AK27" s="264"/>
      <c r="AL27" s="262"/>
      <c r="AM27" s="250"/>
      <c r="AN27" s="250"/>
      <c r="AO27" s="252"/>
    </row>
    <row r="28" spans="1:41" ht="18.75" customHeight="1" x14ac:dyDescent="0.25">
      <c r="A28" s="283"/>
      <c r="B28" s="297" t="s">
        <v>69</v>
      </c>
      <c r="C28" s="280" t="s">
        <v>37</v>
      </c>
      <c r="D28" s="16" t="s">
        <v>33</v>
      </c>
      <c r="E28" s="237">
        <v>160</v>
      </c>
      <c r="F28" s="237"/>
      <c r="G28" s="237">
        <f>160</f>
        <v>160</v>
      </c>
      <c r="H28" s="237">
        <f t="shared" ref="H28:H30" si="18">G28-E28</f>
        <v>0</v>
      </c>
      <c r="I28" s="237"/>
      <c r="J28" s="237">
        <f>160</f>
        <v>160</v>
      </c>
      <c r="K28" s="237">
        <f t="shared" ref="K28:K30" si="19">J28-G28</f>
        <v>0</v>
      </c>
      <c r="L28" s="237">
        <v>20</v>
      </c>
      <c r="M28" s="237">
        <f>20</f>
        <v>20</v>
      </c>
      <c r="N28" s="237">
        <f t="shared" ref="N28:N30" si="20">M28-J28</f>
        <v>-140</v>
      </c>
      <c r="O28" s="237">
        <v>20</v>
      </c>
      <c r="P28" s="119">
        <f>20</f>
        <v>20</v>
      </c>
      <c r="Q28" s="237">
        <f t="shared" ref="Q28:Q30" si="21">P28-M28</f>
        <v>0</v>
      </c>
      <c r="R28" s="18"/>
      <c r="S28" s="18"/>
      <c r="T28" s="18">
        <f t="shared" ref="T28:T30" si="22">S28-P28</f>
        <v>-20</v>
      </c>
      <c r="U28" s="18"/>
      <c r="V28" s="18"/>
      <c r="W28" s="18">
        <f t="shared" ref="W28:W30" si="23">V28-S28</f>
        <v>0</v>
      </c>
      <c r="X28" s="237"/>
      <c r="Y28" s="237"/>
      <c r="Z28" s="237">
        <f t="shared" ref="Z28:Z30" si="24">Y28-P28</f>
        <v>-20</v>
      </c>
      <c r="AA28" s="237"/>
      <c r="AB28" s="237"/>
      <c r="AC28" s="19">
        <f t="shared" ref="AC28:AC30" si="25">AB28-Y28</f>
        <v>0</v>
      </c>
      <c r="AD28" s="267">
        <f>L31</f>
        <v>30</v>
      </c>
      <c r="AE28" s="267">
        <f>30</f>
        <v>30</v>
      </c>
      <c r="AF28" s="282">
        <v>29.512</v>
      </c>
      <c r="AG28" s="267">
        <v>15</v>
      </c>
      <c r="AH28" s="277">
        <f>5+10+7+15</f>
        <v>37</v>
      </c>
      <c r="AI28" s="267">
        <v>6</v>
      </c>
      <c r="AJ28" s="277">
        <f>2+6</f>
        <v>8</v>
      </c>
      <c r="AK28" s="267">
        <v>1</v>
      </c>
      <c r="AL28" s="277">
        <f>1</f>
        <v>1</v>
      </c>
      <c r="AM28" s="270">
        <f>L31*AF28/480/AG28</f>
        <v>0.12296666666666667</v>
      </c>
      <c r="AN28" s="270">
        <f>M31*AF28/480/AH28</f>
        <v>4.9851351351351353E-2</v>
      </c>
      <c r="AO28" s="271"/>
    </row>
    <row r="29" spans="1:41" x14ac:dyDescent="0.25">
      <c r="A29" s="283"/>
      <c r="B29" s="279"/>
      <c r="C29" s="281"/>
      <c r="D29" s="20" t="s">
        <v>59</v>
      </c>
      <c r="E29" s="20">
        <v>180</v>
      </c>
      <c r="F29" s="20"/>
      <c r="G29" s="20">
        <f>180</f>
        <v>180</v>
      </c>
      <c r="H29" s="20">
        <f t="shared" si="18"/>
        <v>0</v>
      </c>
      <c r="I29" s="20"/>
      <c r="J29" s="20">
        <f>140+40</f>
        <v>180</v>
      </c>
      <c r="K29" s="20">
        <f t="shared" si="19"/>
        <v>0</v>
      </c>
      <c r="L29" s="20"/>
      <c r="M29" s="20"/>
      <c r="N29" s="20">
        <f t="shared" si="20"/>
        <v>-180</v>
      </c>
      <c r="O29" s="20"/>
      <c r="P29" s="20"/>
      <c r="Q29" s="20">
        <f t="shared" si="21"/>
        <v>0</v>
      </c>
      <c r="R29" s="20"/>
      <c r="S29" s="20"/>
      <c r="T29" s="20">
        <f t="shared" si="22"/>
        <v>0</v>
      </c>
      <c r="U29" s="20"/>
      <c r="V29" s="20"/>
      <c r="W29" s="20">
        <f t="shared" si="23"/>
        <v>0</v>
      </c>
      <c r="X29" s="20"/>
      <c r="Y29" s="20"/>
      <c r="Z29" s="20">
        <f t="shared" si="24"/>
        <v>0</v>
      </c>
      <c r="AA29" s="20"/>
      <c r="AB29" s="20"/>
      <c r="AC29" s="21">
        <f t="shared" si="25"/>
        <v>0</v>
      </c>
      <c r="AD29" s="263"/>
      <c r="AE29" s="263"/>
      <c r="AF29" s="268"/>
      <c r="AG29" s="263"/>
      <c r="AH29" s="261"/>
      <c r="AI29" s="263"/>
      <c r="AJ29" s="261"/>
      <c r="AK29" s="263"/>
      <c r="AL29" s="261"/>
      <c r="AM29" s="249"/>
      <c r="AN29" s="249"/>
      <c r="AO29" s="251"/>
    </row>
    <row r="30" spans="1:41" ht="18" thickBot="1" x14ac:dyDescent="0.3">
      <c r="A30" s="283"/>
      <c r="B30" s="279"/>
      <c r="C30" s="281"/>
      <c r="D30" s="20" t="s">
        <v>70</v>
      </c>
      <c r="E30" s="20">
        <v>210</v>
      </c>
      <c r="F30" s="20"/>
      <c r="G30" s="20">
        <f>210</f>
        <v>210</v>
      </c>
      <c r="H30" s="20">
        <f t="shared" si="18"/>
        <v>0</v>
      </c>
      <c r="I30" s="20"/>
      <c r="J30" s="20">
        <f>210</f>
        <v>210</v>
      </c>
      <c r="K30" s="20">
        <f t="shared" si="19"/>
        <v>0</v>
      </c>
      <c r="L30" s="20">
        <v>10</v>
      </c>
      <c r="M30" s="20">
        <f>10</f>
        <v>10</v>
      </c>
      <c r="N30" s="20">
        <f t="shared" si="20"/>
        <v>-200</v>
      </c>
      <c r="O30" s="20">
        <v>10</v>
      </c>
      <c r="P30" s="20">
        <f>10</f>
        <v>10</v>
      </c>
      <c r="Q30" s="20">
        <f t="shared" si="21"/>
        <v>0</v>
      </c>
      <c r="R30" s="22"/>
      <c r="S30" s="22"/>
      <c r="T30" s="22">
        <f t="shared" si="22"/>
        <v>-10</v>
      </c>
      <c r="U30" s="22"/>
      <c r="V30" s="22"/>
      <c r="W30" s="22">
        <f t="shared" si="23"/>
        <v>0</v>
      </c>
      <c r="X30" s="20"/>
      <c r="Y30" s="20"/>
      <c r="Z30" s="20">
        <f t="shared" si="24"/>
        <v>-10</v>
      </c>
      <c r="AA30" s="20"/>
      <c r="AB30" s="20"/>
      <c r="AC30" s="21">
        <f t="shared" si="25"/>
        <v>0</v>
      </c>
      <c r="AD30" s="263"/>
      <c r="AE30" s="263"/>
      <c r="AF30" s="268"/>
      <c r="AG30" s="263"/>
      <c r="AH30" s="261"/>
      <c r="AI30" s="263"/>
      <c r="AJ30" s="261"/>
      <c r="AK30" s="263"/>
      <c r="AL30" s="261"/>
      <c r="AM30" s="249"/>
      <c r="AN30" s="249"/>
      <c r="AO30" s="251"/>
    </row>
    <row r="31" spans="1:41" ht="18" thickBot="1" x14ac:dyDescent="0.3">
      <c r="A31" s="283"/>
      <c r="B31" s="272" t="s">
        <v>34</v>
      </c>
      <c r="C31" s="273"/>
      <c r="D31" s="274"/>
      <c r="E31" s="23">
        <f>+SUM(E28:E30)</f>
        <v>550</v>
      </c>
      <c r="F31" s="23">
        <f>+SUM(F28:F30)</f>
        <v>0</v>
      </c>
      <c r="G31" s="23">
        <f>SUM(G28:G30)</f>
        <v>550</v>
      </c>
      <c r="H31" s="23">
        <f t="shared" ref="H31:AC31" si="26">+SUM(H28:H30)</f>
        <v>0</v>
      </c>
      <c r="I31" s="23">
        <f t="shared" si="26"/>
        <v>0</v>
      </c>
      <c r="J31" s="23">
        <f t="shared" si="26"/>
        <v>550</v>
      </c>
      <c r="K31" s="23">
        <f t="shared" si="26"/>
        <v>0</v>
      </c>
      <c r="L31" s="23">
        <f t="shared" si="26"/>
        <v>30</v>
      </c>
      <c r="M31" s="23">
        <f t="shared" si="26"/>
        <v>30</v>
      </c>
      <c r="N31" s="23">
        <f t="shared" si="26"/>
        <v>-520</v>
      </c>
      <c r="O31" s="23">
        <f t="shared" si="26"/>
        <v>30</v>
      </c>
      <c r="P31" s="23">
        <f t="shared" si="26"/>
        <v>30</v>
      </c>
      <c r="Q31" s="23">
        <f t="shared" si="26"/>
        <v>0</v>
      </c>
      <c r="R31" s="24">
        <f t="shared" si="26"/>
        <v>0</v>
      </c>
      <c r="S31" s="24">
        <f t="shared" si="26"/>
        <v>0</v>
      </c>
      <c r="T31" s="24">
        <f t="shared" si="26"/>
        <v>-30</v>
      </c>
      <c r="U31" s="24">
        <f t="shared" si="26"/>
        <v>0</v>
      </c>
      <c r="V31" s="24">
        <f t="shared" si="26"/>
        <v>0</v>
      </c>
      <c r="W31" s="24">
        <f t="shared" si="26"/>
        <v>0</v>
      </c>
      <c r="X31" s="23">
        <f t="shared" si="26"/>
        <v>0</v>
      </c>
      <c r="Y31" s="23">
        <f t="shared" si="26"/>
        <v>0</v>
      </c>
      <c r="Z31" s="23">
        <f t="shared" si="26"/>
        <v>-30</v>
      </c>
      <c r="AA31" s="23">
        <f t="shared" si="26"/>
        <v>0</v>
      </c>
      <c r="AB31" s="23">
        <f t="shared" si="26"/>
        <v>0</v>
      </c>
      <c r="AC31" s="15">
        <f t="shared" si="26"/>
        <v>0</v>
      </c>
      <c r="AD31" s="264"/>
      <c r="AE31" s="264"/>
      <c r="AF31" s="269"/>
      <c r="AG31" s="264"/>
      <c r="AH31" s="262"/>
      <c r="AI31" s="264"/>
      <c r="AJ31" s="262"/>
      <c r="AK31" s="264"/>
      <c r="AL31" s="262"/>
      <c r="AM31" s="250"/>
      <c r="AN31" s="250"/>
      <c r="AO31" s="252"/>
    </row>
    <row r="32" spans="1:41" ht="18.75" customHeight="1" x14ac:dyDescent="0.25">
      <c r="A32" s="283"/>
      <c r="B32" s="297" t="s">
        <v>71</v>
      </c>
      <c r="C32" s="280" t="s">
        <v>72</v>
      </c>
      <c r="D32" s="16" t="s">
        <v>73</v>
      </c>
      <c r="E32" s="237">
        <v>667</v>
      </c>
      <c r="F32" s="237">
        <v>2</v>
      </c>
      <c r="G32" s="237">
        <f>665+2</f>
        <v>667</v>
      </c>
      <c r="H32" s="237">
        <f t="shared" ref="H32:H34" si="27">G32-E32</f>
        <v>0</v>
      </c>
      <c r="I32" s="237">
        <v>200</v>
      </c>
      <c r="J32" s="237">
        <f>76+200</f>
        <v>276</v>
      </c>
      <c r="K32" s="237">
        <f t="shared" ref="K32:K34" si="28">J32-G32</f>
        <v>-391</v>
      </c>
      <c r="L32" s="237"/>
      <c r="M32" s="237"/>
      <c r="N32" s="237">
        <f t="shared" ref="N32:N34" si="29">M32-J32</f>
        <v>-276</v>
      </c>
      <c r="O32" s="237"/>
      <c r="P32" s="119"/>
      <c r="Q32" s="237">
        <f t="shared" ref="Q32:Q34" si="30">P32-M32</f>
        <v>0</v>
      </c>
      <c r="R32" s="18"/>
      <c r="S32" s="18"/>
      <c r="T32" s="18">
        <f t="shared" ref="T32:T34" si="31">S32-P32</f>
        <v>0</v>
      </c>
      <c r="U32" s="18"/>
      <c r="V32" s="18"/>
      <c r="W32" s="18">
        <f t="shared" ref="W32:W34" si="32">V32-S32</f>
        <v>0</v>
      </c>
      <c r="X32" s="237"/>
      <c r="Y32" s="237"/>
      <c r="Z32" s="237">
        <f t="shared" ref="Z32:Z34" si="33">Y32-P32</f>
        <v>0</v>
      </c>
      <c r="AA32" s="237"/>
      <c r="AB32" s="237"/>
      <c r="AC32" s="19">
        <f t="shared" ref="AC32:AC34" si="34">AB32-Y32</f>
        <v>0</v>
      </c>
      <c r="AD32" s="267">
        <f>L35</f>
        <v>0</v>
      </c>
      <c r="AE32" s="267"/>
      <c r="AF32" s="282">
        <v>58.84</v>
      </c>
      <c r="AG32" s="267">
        <v>9</v>
      </c>
      <c r="AH32" s="277">
        <f>5+9</f>
        <v>14</v>
      </c>
      <c r="AI32" s="267">
        <v>2</v>
      </c>
      <c r="AJ32" s="277">
        <f>1+2</f>
        <v>3</v>
      </c>
      <c r="AK32" s="267">
        <v>1</v>
      </c>
      <c r="AL32" s="277">
        <f>1</f>
        <v>1</v>
      </c>
      <c r="AM32" s="270">
        <f>L35*AF32/480/AG32</f>
        <v>0</v>
      </c>
      <c r="AN32" s="270">
        <f>M35*AF32/480/AH32</f>
        <v>0</v>
      </c>
      <c r="AO32" s="271"/>
    </row>
    <row r="33" spans="1:41" x14ac:dyDescent="0.25">
      <c r="A33" s="283"/>
      <c r="B33" s="279"/>
      <c r="C33" s="281"/>
      <c r="D33" s="20" t="s">
        <v>74</v>
      </c>
      <c r="E33" s="20">
        <v>162</v>
      </c>
      <c r="F33" s="20">
        <v>2</v>
      </c>
      <c r="G33" s="20">
        <f>160+2</f>
        <v>162</v>
      </c>
      <c r="H33" s="20">
        <f t="shared" si="27"/>
        <v>0</v>
      </c>
      <c r="I33" s="20"/>
      <c r="J33" s="20"/>
      <c r="K33" s="20">
        <f t="shared" si="28"/>
        <v>-162</v>
      </c>
      <c r="L33" s="20"/>
      <c r="M33" s="20"/>
      <c r="N33" s="20">
        <f t="shared" si="29"/>
        <v>0</v>
      </c>
      <c r="O33" s="20"/>
      <c r="P33" s="20"/>
      <c r="Q33" s="20">
        <f t="shared" si="30"/>
        <v>0</v>
      </c>
      <c r="R33" s="20"/>
      <c r="S33" s="20"/>
      <c r="T33" s="20">
        <f t="shared" si="31"/>
        <v>0</v>
      </c>
      <c r="U33" s="20"/>
      <c r="V33" s="20"/>
      <c r="W33" s="20">
        <f t="shared" si="32"/>
        <v>0</v>
      </c>
      <c r="X33" s="20"/>
      <c r="Y33" s="20"/>
      <c r="Z33" s="20">
        <f t="shared" si="33"/>
        <v>0</v>
      </c>
      <c r="AA33" s="20"/>
      <c r="AB33" s="20"/>
      <c r="AC33" s="21">
        <f t="shared" si="34"/>
        <v>0</v>
      </c>
      <c r="AD33" s="263"/>
      <c r="AE33" s="263"/>
      <c r="AF33" s="268"/>
      <c r="AG33" s="263"/>
      <c r="AH33" s="261"/>
      <c r="AI33" s="263"/>
      <c r="AJ33" s="261"/>
      <c r="AK33" s="263"/>
      <c r="AL33" s="261"/>
      <c r="AM33" s="249"/>
      <c r="AN33" s="249"/>
      <c r="AO33" s="251"/>
    </row>
    <row r="34" spans="1:41" ht="18" thickBot="1" x14ac:dyDescent="0.3">
      <c r="A34" s="283"/>
      <c r="B34" s="279"/>
      <c r="C34" s="281"/>
      <c r="D34" s="20" t="s">
        <v>75</v>
      </c>
      <c r="E34" s="20">
        <v>160</v>
      </c>
      <c r="F34" s="20">
        <v>104</v>
      </c>
      <c r="G34" s="20">
        <f>104</f>
        <v>104</v>
      </c>
      <c r="H34" s="20">
        <f t="shared" si="27"/>
        <v>-56</v>
      </c>
      <c r="I34" s="20"/>
      <c r="J34" s="20"/>
      <c r="K34" s="20">
        <f t="shared" si="28"/>
        <v>-104</v>
      </c>
      <c r="L34" s="20"/>
      <c r="M34" s="20"/>
      <c r="N34" s="20">
        <f t="shared" si="29"/>
        <v>0</v>
      </c>
      <c r="O34" s="20"/>
      <c r="P34" s="20"/>
      <c r="Q34" s="20">
        <f t="shared" si="30"/>
        <v>0</v>
      </c>
      <c r="R34" s="22"/>
      <c r="S34" s="22"/>
      <c r="T34" s="22">
        <f t="shared" si="31"/>
        <v>0</v>
      </c>
      <c r="U34" s="22"/>
      <c r="V34" s="22"/>
      <c r="W34" s="22">
        <f t="shared" si="32"/>
        <v>0</v>
      </c>
      <c r="X34" s="20"/>
      <c r="Y34" s="20"/>
      <c r="Z34" s="20">
        <f t="shared" si="33"/>
        <v>0</v>
      </c>
      <c r="AA34" s="20"/>
      <c r="AB34" s="20"/>
      <c r="AC34" s="21">
        <f t="shared" si="34"/>
        <v>0</v>
      </c>
      <c r="AD34" s="263"/>
      <c r="AE34" s="263"/>
      <c r="AF34" s="268"/>
      <c r="AG34" s="263"/>
      <c r="AH34" s="261"/>
      <c r="AI34" s="263"/>
      <c r="AJ34" s="261"/>
      <c r="AK34" s="263"/>
      <c r="AL34" s="261"/>
      <c r="AM34" s="249"/>
      <c r="AN34" s="249"/>
      <c r="AO34" s="251"/>
    </row>
    <row r="35" spans="1:41" ht="18" thickBot="1" x14ac:dyDescent="0.3">
      <c r="A35" s="283"/>
      <c r="B35" s="272" t="s">
        <v>34</v>
      </c>
      <c r="C35" s="273"/>
      <c r="D35" s="274"/>
      <c r="E35" s="23">
        <f>+SUM(E32:E34)</f>
        <v>989</v>
      </c>
      <c r="F35" s="23">
        <f>+SUM(F32:F34)</f>
        <v>108</v>
      </c>
      <c r="G35" s="23">
        <f>SUM(G32:G34)</f>
        <v>933</v>
      </c>
      <c r="H35" s="23">
        <f t="shared" ref="H35:AC35" si="35">+SUM(H32:H34)</f>
        <v>-56</v>
      </c>
      <c r="I35" s="23">
        <f t="shared" si="35"/>
        <v>200</v>
      </c>
      <c r="J35" s="23">
        <f t="shared" si="35"/>
        <v>276</v>
      </c>
      <c r="K35" s="23">
        <f t="shared" si="35"/>
        <v>-657</v>
      </c>
      <c r="L35" s="23">
        <f t="shared" si="35"/>
        <v>0</v>
      </c>
      <c r="M35" s="23">
        <f t="shared" si="35"/>
        <v>0</v>
      </c>
      <c r="N35" s="23">
        <f t="shared" si="35"/>
        <v>-276</v>
      </c>
      <c r="O35" s="23">
        <f t="shared" si="35"/>
        <v>0</v>
      </c>
      <c r="P35" s="23">
        <f t="shared" si="35"/>
        <v>0</v>
      </c>
      <c r="Q35" s="23">
        <f t="shared" si="35"/>
        <v>0</v>
      </c>
      <c r="R35" s="24">
        <f t="shared" si="35"/>
        <v>0</v>
      </c>
      <c r="S35" s="24">
        <f t="shared" si="35"/>
        <v>0</v>
      </c>
      <c r="T35" s="24">
        <f t="shared" si="35"/>
        <v>0</v>
      </c>
      <c r="U35" s="24">
        <f t="shared" si="35"/>
        <v>0</v>
      </c>
      <c r="V35" s="24">
        <f t="shared" si="35"/>
        <v>0</v>
      </c>
      <c r="W35" s="24">
        <f t="shared" si="35"/>
        <v>0</v>
      </c>
      <c r="X35" s="23">
        <f t="shared" si="35"/>
        <v>0</v>
      </c>
      <c r="Y35" s="23">
        <f t="shared" si="35"/>
        <v>0</v>
      </c>
      <c r="Z35" s="23">
        <f t="shared" si="35"/>
        <v>0</v>
      </c>
      <c r="AA35" s="23">
        <f t="shared" si="35"/>
        <v>0</v>
      </c>
      <c r="AB35" s="23">
        <f t="shared" si="35"/>
        <v>0</v>
      </c>
      <c r="AC35" s="15">
        <f t="shared" si="35"/>
        <v>0</v>
      </c>
      <c r="AD35" s="264"/>
      <c r="AE35" s="264"/>
      <c r="AF35" s="269"/>
      <c r="AG35" s="264"/>
      <c r="AH35" s="262"/>
      <c r="AI35" s="264"/>
      <c r="AJ35" s="262"/>
      <c r="AK35" s="264"/>
      <c r="AL35" s="262"/>
      <c r="AM35" s="250"/>
      <c r="AN35" s="250"/>
      <c r="AO35" s="252"/>
    </row>
    <row r="36" spans="1:41" ht="18" thickBot="1" x14ac:dyDescent="0.3">
      <c r="A36" s="284"/>
      <c r="B36" s="275" t="s">
        <v>40</v>
      </c>
      <c r="C36" s="275"/>
      <c r="D36" s="276"/>
      <c r="E36" s="26">
        <f>E19+E35+E27+E31</f>
        <v>7538</v>
      </c>
      <c r="F36" s="26">
        <f t="shared" ref="F36:AC36" si="36">F19+F35+F27+F31</f>
        <v>108</v>
      </c>
      <c r="G36" s="26">
        <f t="shared" si="36"/>
        <v>6846</v>
      </c>
      <c r="H36" s="26">
        <f t="shared" si="36"/>
        <v>-692</v>
      </c>
      <c r="I36" s="26">
        <f t="shared" si="36"/>
        <v>200</v>
      </c>
      <c r="J36" s="26">
        <f t="shared" si="36"/>
        <v>6189</v>
      </c>
      <c r="K36" s="26">
        <f t="shared" si="36"/>
        <v>-657</v>
      </c>
      <c r="L36" s="26">
        <f t="shared" si="36"/>
        <v>30</v>
      </c>
      <c r="M36" s="26">
        <f t="shared" si="36"/>
        <v>5393</v>
      </c>
      <c r="N36" s="26">
        <f t="shared" si="36"/>
        <v>-796</v>
      </c>
      <c r="O36" s="26">
        <f t="shared" si="36"/>
        <v>346</v>
      </c>
      <c r="P36" s="26">
        <f t="shared" si="36"/>
        <v>5378</v>
      </c>
      <c r="Q36" s="26">
        <f t="shared" si="36"/>
        <v>-15</v>
      </c>
      <c r="R36" s="26">
        <f t="shared" si="36"/>
        <v>0</v>
      </c>
      <c r="S36" s="26">
        <f t="shared" si="36"/>
        <v>4815</v>
      </c>
      <c r="T36" s="26">
        <f t="shared" si="36"/>
        <v>-563</v>
      </c>
      <c r="U36" s="26">
        <f t="shared" si="36"/>
        <v>0</v>
      </c>
      <c r="V36" s="26">
        <f t="shared" si="36"/>
        <v>4088</v>
      </c>
      <c r="W36" s="26">
        <f t="shared" si="36"/>
        <v>-727</v>
      </c>
      <c r="X36" s="26">
        <f t="shared" si="36"/>
        <v>0</v>
      </c>
      <c r="Y36" s="26">
        <f t="shared" si="36"/>
        <v>3942</v>
      </c>
      <c r="Z36" s="26">
        <f t="shared" si="36"/>
        <v>-1436</v>
      </c>
      <c r="AA36" s="26">
        <f t="shared" si="36"/>
        <v>0</v>
      </c>
      <c r="AB36" s="26">
        <f t="shared" si="36"/>
        <v>3942</v>
      </c>
      <c r="AC36" s="26">
        <f t="shared" si="36"/>
        <v>0</v>
      </c>
      <c r="AD36" s="27">
        <f>SUM(AD6:AD35)</f>
        <v>30</v>
      </c>
      <c r="AE36" s="27">
        <f>SUM(AE6:AE35)</f>
        <v>5396</v>
      </c>
      <c r="AF36" s="28">
        <f>SUM(AF6:AF35)/4</f>
        <v>37.666250000000005</v>
      </c>
      <c r="AG36" s="27">
        <f t="shared" ref="AG36:AL36" si="37">SUM(AG6:AG35)</f>
        <v>24</v>
      </c>
      <c r="AH36" s="27">
        <f t="shared" si="37"/>
        <v>468</v>
      </c>
      <c r="AI36" s="27">
        <f t="shared" si="37"/>
        <v>8</v>
      </c>
      <c r="AJ36" s="27">
        <f t="shared" si="37"/>
        <v>215</v>
      </c>
      <c r="AK36" s="27">
        <f t="shared" si="37"/>
        <v>2</v>
      </c>
      <c r="AL36" s="27">
        <f t="shared" si="37"/>
        <v>35</v>
      </c>
      <c r="AM36" s="29">
        <f>L36*AF36/480/AG36</f>
        <v>9.8089192708333342E-2</v>
      </c>
      <c r="AN36" s="30">
        <f>M36*AF36/480/AH36</f>
        <v>0.90426498508725084</v>
      </c>
      <c r="AO36" s="31"/>
    </row>
    <row r="37" spans="1:41" ht="18.75" customHeight="1" x14ac:dyDescent="0.25">
      <c r="A37" s="265" t="s">
        <v>32</v>
      </c>
      <c r="B37" s="236" t="s">
        <v>41</v>
      </c>
      <c r="C37" s="300" t="s">
        <v>37</v>
      </c>
      <c r="D37" s="34" t="s">
        <v>42</v>
      </c>
      <c r="E37" s="237">
        <v>1645</v>
      </c>
      <c r="F37" s="237"/>
      <c r="G37" s="237">
        <f>1430</f>
        <v>1430</v>
      </c>
      <c r="H37" s="237">
        <f t="shared" ref="H37:H39" si="38">G37-E37</f>
        <v>-215</v>
      </c>
      <c r="I37" s="237"/>
      <c r="J37" s="237">
        <f>1430</f>
        <v>1430</v>
      </c>
      <c r="K37" s="237">
        <f t="shared" ref="K37:K39" si="39">J37-G37</f>
        <v>0</v>
      </c>
      <c r="L37" s="237"/>
      <c r="M37" s="237">
        <f>102+201+302+351-99-125-110+133+127+49+120+24+166+155+34</f>
        <v>1430</v>
      </c>
      <c r="N37" s="237">
        <f t="shared" ref="N37:N39" si="40">M37-J37</f>
        <v>0</v>
      </c>
      <c r="O37" s="237"/>
      <c r="P37" s="237">
        <f>1075+166+155+34</f>
        <v>1430</v>
      </c>
      <c r="Q37" s="237">
        <f t="shared" ref="Q37:Q39" si="41">P37-M37</f>
        <v>0</v>
      </c>
      <c r="R37" s="237"/>
      <c r="S37" s="237">
        <f>970+260+50+150</f>
        <v>1430</v>
      </c>
      <c r="T37" s="35">
        <f t="shared" ref="T37:T39" si="42">S37-P37</f>
        <v>0</v>
      </c>
      <c r="U37" s="237"/>
      <c r="V37" s="237">
        <f>970+310+150</f>
        <v>1430</v>
      </c>
      <c r="W37" s="35">
        <f t="shared" ref="W37:W39" si="43">V37-S37</f>
        <v>0</v>
      </c>
      <c r="X37" s="237"/>
      <c r="Y37" s="237">
        <f>860+80+15+140+90+100</f>
        <v>1285</v>
      </c>
      <c r="Z37" s="237">
        <f t="shared" ref="Z37:Z39" si="44">Y37-P37</f>
        <v>-145</v>
      </c>
      <c r="AA37" s="237"/>
      <c r="AB37" s="237">
        <f>860+80+15+140+90+100</f>
        <v>1285</v>
      </c>
      <c r="AC37" s="33">
        <f t="shared" ref="AC37:AC39" si="45">AB37-Y37</f>
        <v>0</v>
      </c>
      <c r="AD37" s="267">
        <f>L40</f>
        <v>0</v>
      </c>
      <c r="AE37" s="263">
        <f>300+98+344+213+289+412+355+358+438+80</f>
        <v>2887</v>
      </c>
      <c r="AF37" s="268">
        <v>33.130000000000003</v>
      </c>
      <c r="AG37" s="263">
        <v>1</v>
      </c>
      <c r="AH37" s="261">
        <f>2+10+8+8+8+6+6+6+9+5+6+8+7+7+6+6+6+6+6+6+7+7+7+7+6+7+17+16+16+22+21+21+10+20+20+13+10+10+10+11+13</f>
        <v>403</v>
      </c>
      <c r="AI37" s="263"/>
      <c r="AJ37" s="261">
        <f>1+1+1+1+1+1+1+2+2+2+2+2+2+2+2+2+2+1+1+1+1+1+1+1+1+4+3+4+5+8+8+6+7+6+6+6+7+7+7</f>
        <v>119</v>
      </c>
      <c r="AK37" s="263"/>
      <c r="AL37" s="261">
        <f>1+1+1+1+1+1+1+1+1+1+1+1+1+1+1+1+2+2+2+2+2+1+1+1+1+1</f>
        <v>31</v>
      </c>
      <c r="AM37" s="249">
        <f>L40*AF37/480/AG37</f>
        <v>0</v>
      </c>
      <c r="AN37" s="249">
        <f>M40*AF37/480/AH37</f>
        <v>0.65818129652605462</v>
      </c>
      <c r="AO37" s="251"/>
    </row>
    <row r="38" spans="1:41" ht="18.75" customHeight="1" x14ac:dyDescent="0.25">
      <c r="A38" s="265"/>
      <c r="B38" s="36" t="s">
        <v>43</v>
      </c>
      <c r="C38" s="301"/>
      <c r="D38" s="38" t="s">
        <v>44</v>
      </c>
      <c r="E38" s="20">
        <v>1245</v>
      </c>
      <c r="F38" s="20"/>
      <c r="G38" s="20">
        <f>1231</f>
        <v>1231</v>
      </c>
      <c r="H38" s="20">
        <f t="shared" si="38"/>
        <v>-14</v>
      </c>
      <c r="I38" s="20"/>
      <c r="J38" s="20">
        <f>1231</f>
        <v>1231</v>
      </c>
      <c r="K38" s="20">
        <f t="shared" si="39"/>
        <v>0</v>
      </c>
      <c r="L38" s="20"/>
      <c r="M38" s="20">
        <f>300+99+125+110+98+101+59+41+12+93+57+100+35</f>
        <v>1230</v>
      </c>
      <c r="N38" s="20">
        <f t="shared" si="40"/>
        <v>-1</v>
      </c>
      <c r="O38" s="20"/>
      <c r="P38" s="20">
        <f>1038+57+100+35</f>
        <v>1230</v>
      </c>
      <c r="Q38" s="20">
        <f t="shared" si="41"/>
        <v>0</v>
      </c>
      <c r="R38" s="20"/>
      <c r="S38" s="20">
        <f>930+160+50+90</f>
        <v>1230</v>
      </c>
      <c r="T38" s="39">
        <f t="shared" si="42"/>
        <v>0</v>
      </c>
      <c r="U38" s="20"/>
      <c r="V38" s="20">
        <f>910+230+90</f>
        <v>1230</v>
      </c>
      <c r="W38" s="39">
        <f t="shared" si="43"/>
        <v>0</v>
      </c>
      <c r="X38" s="20"/>
      <c r="Y38" s="20">
        <f>750+75+40+90+100+130</f>
        <v>1185</v>
      </c>
      <c r="Z38" s="20">
        <f t="shared" si="44"/>
        <v>-45</v>
      </c>
      <c r="AA38" s="20"/>
      <c r="AB38" s="20">
        <f>750+75+40+90+100+130</f>
        <v>1185</v>
      </c>
      <c r="AC38" s="37">
        <f t="shared" si="45"/>
        <v>0</v>
      </c>
      <c r="AD38" s="263"/>
      <c r="AE38" s="263"/>
      <c r="AF38" s="268"/>
      <c r="AG38" s="263"/>
      <c r="AH38" s="261"/>
      <c r="AI38" s="263"/>
      <c r="AJ38" s="261"/>
      <c r="AK38" s="263"/>
      <c r="AL38" s="261"/>
      <c r="AM38" s="249"/>
      <c r="AN38" s="249"/>
      <c r="AO38" s="251"/>
    </row>
    <row r="39" spans="1:41" ht="18.75" customHeight="1" thickBot="1" x14ac:dyDescent="0.3">
      <c r="A39" s="265"/>
      <c r="B39" s="240" t="s">
        <v>45</v>
      </c>
      <c r="C39" s="302"/>
      <c r="D39" s="42" t="s">
        <v>46</v>
      </c>
      <c r="E39" s="25">
        <v>1300</v>
      </c>
      <c r="F39" s="25"/>
      <c r="G39" s="25">
        <f>1183</f>
        <v>1183</v>
      </c>
      <c r="H39" s="25">
        <f t="shared" si="38"/>
        <v>-117</v>
      </c>
      <c r="I39" s="25"/>
      <c r="J39" s="25">
        <f>520+663</f>
        <v>1183</v>
      </c>
      <c r="K39" s="25">
        <f t="shared" si="39"/>
        <v>0</v>
      </c>
      <c r="L39" s="25"/>
      <c r="M39" s="25">
        <f>110+27+199+280+238+135+183+11</f>
        <v>1183</v>
      </c>
      <c r="N39" s="25">
        <f t="shared" si="40"/>
        <v>0</v>
      </c>
      <c r="O39" s="25"/>
      <c r="P39" s="25">
        <f>854+135+183+11</f>
        <v>1183</v>
      </c>
      <c r="Q39" s="25">
        <f t="shared" si="41"/>
        <v>0</v>
      </c>
      <c r="R39" s="25"/>
      <c r="S39" s="25">
        <f>530+420+150+83</f>
        <v>1183</v>
      </c>
      <c r="T39" s="43">
        <f t="shared" si="42"/>
        <v>0</v>
      </c>
      <c r="U39" s="25"/>
      <c r="V39" s="25">
        <f>130+400+420+150+83</f>
        <v>1183</v>
      </c>
      <c r="W39" s="43">
        <f t="shared" si="43"/>
        <v>0</v>
      </c>
      <c r="X39" s="25"/>
      <c r="Y39" s="25">
        <f>100+190+190+320+190+120</f>
        <v>1110</v>
      </c>
      <c r="Z39" s="25">
        <f t="shared" si="44"/>
        <v>-73</v>
      </c>
      <c r="AA39" s="25"/>
      <c r="AB39" s="25">
        <f>100+190+190+320+190+120</f>
        <v>1110</v>
      </c>
      <c r="AC39" s="44">
        <f t="shared" si="45"/>
        <v>0</v>
      </c>
      <c r="AD39" s="263"/>
      <c r="AE39" s="263"/>
      <c r="AF39" s="268"/>
      <c r="AG39" s="263"/>
      <c r="AH39" s="261"/>
      <c r="AI39" s="263"/>
      <c r="AJ39" s="261"/>
      <c r="AK39" s="263"/>
      <c r="AL39" s="261"/>
      <c r="AM39" s="249"/>
      <c r="AN39" s="249"/>
      <c r="AO39" s="251"/>
    </row>
    <row r="40" spans="1:41" ht="18" thickBot="1" x14ac:dyDescent="0.3">
      <c r="A40" s="265"/>
      <c r="B40" s="253" t="s">
        <v>34</v>
      </c>
      <c r="C40" s="254"/>
      <c r="D40" s="255"/>
      <c r="E40" s="24">
        <f>+SUM(E37:E39)</f>
        <v>4190</v>
      </c>
      <c r="F40" s="24">
        <f t="shared" ref="F40:AC40" si="46">+SUM(F37:F39)</f>
        <v>0</v>
      </c>
      <c r="G40" s="24">
        <f t="shared" si="46"/>
        <v>3844</v>
      </c>
      <c r="H40" s="24">
        <f t="shared" si="46"/>
        <v>-346</v>
      </c>
      <c r="I40" s="24">
        <f t="shared" si="46"/>
        <v>0</v>
      </c>
      <c r="J40" s="24">
        <f t="shared" si="46"/>
        <v>3844</v>
      </c>
      <c r="K40" s="24">
        <f t="shared" si="46"/>
        <v>0</v>
      </c>
      <c r="L40" s="24">
        <f t="shared" si="46"/>
        <v>0</v>
      </c>
      <c r="M40" s="24">
        <f t="shared" si="46"/>
        <v>3843</v>
      </c>
      <c r="N40" s="24">
        <f t="shared" si="46"/>
        <v>-1</v>
      </c>
      <c r="O40" s="24">
        <f t="shared" si="46"/>
        <v>0</v>
      </c>
      <c r="P40" s="24">
        <f t="shared" si="46"/>
        <v>3843</v>
      </c>
      <c r="Q40" s="24">
        <f t="shared" si="46"/>
        <v>0</v>
      </c>
      <c r="R40" s="24">
        <f t="shared" si="46"/>
        <v>0</v>
      </c>
      <c r="S40" s="24">
        <f t="shared" si="46"/>
        <v>3843</v>
      </c>
      <c r="T40" s="24">
        <f t="shared" si="46"/>
        <v>0</v>
      </c>
      <c r="U40" s="24">
        <f t="shared" si="46"/>
        <v>0</v>
      </c>
      <c r="V40" s="24">
        <f t="shared" si="46"/>
        <v>3843</v>
      </c>
      <c r="W40" s="24">
        <f t="shared" si="46"/>
        <v>0</v>
      </c>
      <c r="X40" s="24">
        <f t="shared" si="46"/>
        <v>0</v>
      </c>
      <c r="Y40" s="24">
        <f t="shared" si="46"/>
        <v>3580</v>
      </c>
      <c r="Z40" s="24">
        <f t="shared" si="46"/>
        <v>-263</v>
      </c>
      <c r="AA40" s="24">
        <f t="shared" si="46"/>
        <v>0</v>
      </c>
      <c r="AB40" s="24">
        <f t="shared" si="46"/>
        <v>3580</v>
      </c>
      <c r="AC40" s="24">
        <f t="shared" si="46"/>
        <v>0</v>
      </c>
      <c r="AD40" s="264"/>
      <c r="AE40" s="264"/>
      <c r="AF40" s="269"/>
      <c r="AG40" s="264"/>
      <c r="AH40" s="262"/>
      <c r="AI40" s="264"/>
      <c r="AJ40" s="262"/>
      <c r="AK40" s="264"/>
      <c r="AL40" s="262"/>
      <c r="AM40" s="250"/>
      <c r="AN40" s="250"/>
      <c r="AO40" s="252"/>
    </row>
    <row r="41" spans="1:41" ht="18" customHeight="1" thickBot="1" x14ac:dyDescent="0.3">
      <c r="A41" s="266"/>
      <c r="B41" s="256" t="s">
        <v>40</v>
      </c>
      <c r="C41" s="256"/>
      <c r="D41" s="257"/>
      <c r="E41" s="26">
        <f>E40</f>
        <v>4190</v>
      </c>
      <c r="F41" s="26">
        <f t="shared" ref="F41:AC41" si="47">F40</f>
        <v>0</v>
      </c>
      <c r="G41" s="26">
        <f t="shared" si="47"/>
        <v>3844</v>
      </c>
      <c r="H41" s="26">
        <f t="shared" si="47"/>
        <v>-346</v>
      </c>
      <c r="I41" s="26">
        <f t="shared" si="47"/>
        <v>0</v>
      </c>
      <c r="J41" s="26">
        <f t="shared" si="47"/>
        <v>3844</v>
      </c>
      <c r="K41" s="26">
        <f t="shared" si="47"/>
        <v>0</v>
      </c>
      <c r="L41" s="26">
        <f t="shared" si="47"/>
        <v>0</v>
      </c>
      <c r="M41" s="26">
        <f t="shared" si="47"/>
        <v>3843</v>
      </c>
      <c r="N41" s="26">
        <f t="shared" si="47"/>
        <v>-1</v>
      </c>
      <c r="O41" s="26">
        <f t="shared" si="47"/>
        <v>0</v>
      </c>
      <c r="P41" s="26">
        <f t="shared" si="47"/>
        <v>3843</v>
      </c>
      <c r="Q41" s="26">
        <f t="shared" si="47"/>
        <v>0</v>
      </c>
      <c r="R41" s="26">
        <f t="shared" si="47"/>
        <v>0</v>
      </c>
      <c r="S41" s="26">
        <f t="shared" si="47"/>
        <v>3843</v>
      </c>
      <c r="T41" s="26">
        <f t="shared" si="47"/>
        <v>0</v>
      </c>
      <c r="U41" s="26">
        <f t="shared" si="47"/>
        <v>0</v>
      </c>
      <c r="V41" s="26">
        <f t="shared" si="47"/>
        <v>3843</v>
      </c>
      <c r="W41" s="26">
        <f t="shared" si="47"/>
        <v>0</v>
      </c>
      <c r="X41" s="26">
        <f t="shared" si="47"/>
        <v>0</v>
      </c>
      <c r="Y41" s="26">
        <f t="shared" si="47"/>
        <v>3580</v>
      </c>
      <c r="Z41" s="26">
        <f t="shared" si="47"/>
        <v>-263</v>
      </c>
      <c r="AA41" s="26">
        <f t="shared" si="47"/>
        <v>0</v>
      </c>
      <c r="AB41" s="26">
        <f t="shared" si="47"/>
        <v>3580</v>
      </c>
      <c r="AC41" s="26">
        <f t="shared" si="47"/>
        <v>0</v>
      </c>
      <c r="AD41" s="45">
        <f t="shared" ref="AD41:AL41" si="48">SUM(AD37:AD40)</f>
        <v>0</v>
      </c>
      <c r="AE41" s="45">
        <f t="shared" si="48"/>
        <v>2887</v>
      </c>
      <c r="AF41" s="46">
        <f t="shared" si="48"/>
        <v>33.130000000000003</v>
      </c>
      <c r="AG41" s="45">
        <f t="shared" si="48"/>
        <v>1</v>
      </c>
      <c r="AH41" s="45">
        <f t="shared" si="48"/>
        <v>403</v>
      </c>
      <c r="AI41" s="45">
        <f t="shared" si="48"/>
        <v>0</v>
      </c>
      <c r="AJ41" s="45">
        <f t="shared" si="48"/>
        <v>119</v>
      </c>
      <c r="AK41" s="45">
        <f t="shared" si="48"/>
        <v>0</v>
      </c>
      <c r="AL41" s="45">
        <f t="shared" si="48"/>
        <v>31</v>
      </c>
      <c r="AM41" s="47">
        <f>L41*AF41/480/AG41</f>
        <v>0</v>
      </c>
      <c r="AN41" s="48">
        <f>M41*AF41/480/AH41</f>
        <v>0.65818129652605462</v>
      </c>
      <c r="AO41" s="49"/>
    </row>
    <row r="42" spans="1:41" s="60" customFormat="1" ht="15.75" thickBot="1" x14ac:dyDescent="0.3">
      <c r="A42" s="50"/>
      <c r="B42" s="51"/>
      <c r="C42" s="51"/>
      <c r="D42" s="51"/>
      <c r="E42" s="51"/>
      <c r="F42" s="52"/>
      <c r="G42" s="51"/>
      <c r="H42" s="51"/>
      <c r="I42" s="239"/>
      <c r="J42" s="54"/>
      <c r="K42" s="51"/>
      <c r="L42" s="55"/>
      <c r="M42" s="51"/>
      <c r="N42" s="51"/>
      <c r="O42" s="56"/>
      <c r="P42" s="51"/>
      <c r="Q42" s="51"/>
      <c r="R42" s="55"/>
      <c r="S42" s="51"/>
      <c r="T42" s="51"/>
      <c r="U42" s="55"/>
      <c r="V42" s="51"/>
      <c r="W42" s="51"/>
      <c r="X42" s="55"/>
      <c r="Y42" s="51"/>
      <c r="Z42" s="51"/>
      <c r="AA42" s="55"/>
      <c r="AB42" s="51"/>
      <c r="AC42" s="51"/>
      <c r="AD42" s="238"/>
      <c r="AE42" s="58"/>
      <c r="AF42" s="51"/>
      <c r="AG42" s="238"/>
      <c r="AH42" s="58"/>
      <c r="AI42" s="238"/>
      <c r="AJ42" s="58"/>
      <c r="AK42" s="238"/>
      <c r="AL42" s="58"/>
      <c r="AM42" s="238"/>
      <c r="AN42" s="55"/>
      <c r="AO42" s="59"/>
    </row>
    <row r="43" spans="1:41" s="60" customFormat="1" ht="15.75" thickBot="1" x14ac:dyDescent="0.3">
      <c r="A43" s="258" t="s">
        <v>47</v>
      </c>
      <c r="B43" s="259"/>
      <c r="C43" s="259"/>
      <c r="D43" s="259"/>
      <c r="E43" s="260"/>
      <c r="F43" s="63">
        <f>F41+F36</f>
        <v>108</v>
      </c>
      <c r="G43" s="64"/>
      <c r="H43" s="64"/>
      <c r="I43" s="63">
        <f>I41+I36</f>
        <v>200</v>
      </c>
      <c r="J43" s="64"/>
      <c r="K43" s="65">
        <f>K41+K36</f>
        <v>-657</v>
      </c>
      <c r="L43" s="66">
        <f>L41+L36</f>
        <v>30</v>
      </c>
      <c r="M43" s="64"/>
      <c r="N43" s="65">
        <f>N41+N36</f>
        <v>-797</v>
      </c>
      <c r="O43" s="66">
        <f>O41+O36</f>
        <v>346</v>
      </c>
      <c r="P43" s="64"/>
      <c r="Q43" s="65">
        <f>Q41+Q36</f>
        <v>-15</v>
      </c>
      <c r="R43" s="66">
        <f>R41+R36</f>
        <v>0</v>
      </c>
      <c r="S43" s="64"/>
      <c r="T43" s="65">
        <f>T41+T36</f>
        <v>-563</v>
      </c>
      <c r="U43" s="66">
        <f>U41+U36</f>
        <v>0</v>
      </c>
      <c r="V43" s="64"/>
      <c r="W43" s="65">
        <f>W41+W36</f>
        <v>-727</v>
      </c>
      <c r="X43" s="66">
        <f>X41+X36</f>
        <v>0</v>
      </c>
      <c r="Y43" s="64"/>
      <c r="Z43" s="65">
        <f>Z41+Z36</f>
        <v>-1699</v>
      </c>
      <c r="AA43" s="66">
        <f>AA41+AA36</f>
        <v>0</v>
      </c>
      <c r="AB43" s="64"/>
      <c r="AC43" s="65">
        <f>AC41+AC36</f>
        <v>0</v>
      </c>
      <c r="AD43" s="67">
        <f>AD41+AD36</f>
        <v>30</v>
      </c>
      <c r="AE43" s="65">
        <f>AE41+AE36</f>
        <v>8283</v>
      </c>
      <c r="AF43" s="64"/>
      <c r="AG43" s="63">
        <f>AG41+AG36</f>
        <v>25</v>
      </c>
      <c r="AH43" s="68"/>
      <c r="AI43" s="63">
        <f>AI41+AI36</f>
        <v>8</v>
      </c>
      <c r="AJ43" s="68"/>
      <c r="AK43" s="63">
        <f>AK41+AK36</f>
        <v>2</v>
      </c>
      <c r="AL43" s="68"/>
      <c r="AM43" s="69">
        <f>SUM(AM41+AM36)/2</f>
        <v>4.9044596354166671E-2</v>
      </c>
      <c r="AN43" s="69">
        <f>SUM(AN41+AN36)/2</f>
        <v>0.78122314080665278</v>
      </c>
      <c r="AO43" s="70"/>
    </row>
    <row r="44" spans="1:41" s="60" customFormat="1" ht="15" x14ac:dyDescent="0.25">
      <c r="O44" s="71"/>
    </row>
    <row r="45" spans="1:41" s="60" customFormat="1" ht="15" x14ac:dyDescent="0.25">
      <c r="O45" s="71"/>
      <c r="W45" s="60" t="s">
        <v>5</v>
      </c>
      <c r="Z45" s="60" t="s">
        <v>5</v>
      </c>
      <c r="AC45" s="60" t="s">
        <v>5</v>
      </c>
    </row>
  </sheetData>
  <mergeCells count="105">
    <mergeCell ref="AM37:AM40"/>
    <mergeCell ref="AN37:AN40"/>
    <mergeCell ref="AO37:AO40"/>
    <mergeCell ref="B40:D40"/>
    <mergeCell ref="B41:D41"/>
    <mergeCell ref="AF37:AF40"/>
    <mergeCell ref="AG37:AG40"/>
    <mergeCell ref="AH37:AH40"/>
    <mergeCell ref="AI37:AI40"/>
    <mergeCell ref="AJ37:AJ40"/>
    <mergeCell ref="AK37:AK40"/>
    <mergeCell ref="B36:D36"/>
    <mergeCell ref="A37:A41"/>
    <mergeCell ref="C37:C39"/>
    <mergeCell ref="AD37:AD40"/>
    <mergeCell ref="AE37:AE40"/>
    <mergeCell ref="AJ32:AJ35"/>
    <mergeCell ref="AK32:AK35"/>
    <mergeCell ref="AL32:AL35"/>
    <mergeCell ref="A43:E43"/>
    <mergeCell ref="AL37:AL40"/>
    <mergeCell ref="AO32:AO35"/>
    <mergeCell ref="AO28:AO31"/>
    <mergeCell ref="B31:D31"/>
    <mergeCell ref="B32:B34"/>
    <mergeCell ref="C32:C34"/>
    <mergeCell ref="AD32:AD35"/>
    <mergeCell ref="AE32:AE35"/>
    <mergeCell ref="AF32:AF35"/>
    <mergeCell ref="AG32:AG35"/>
    <mergeCell ref="AH32:AH35"/>
    <mergeCell ref="AI32:AI35"/>
    <mergeCell ref="AI28:AI31"/>
    <mergeCell ref="AJ28:AJ31"/>
    <mergeCell ref="AK28:AK31"/>
    <mergeCell ref="AL28:AL31"/>
    <mergeCell ref="AM28:AM31"/>
    <mergeCell ref="AN28:AN31"/>
    <mergeCell ref="B35:D35"/>
    <mergeCell ref="AH28:AH31"/>
    <mergeCell ref="AH20:AH27"/>
    <mergeCell ref="AI20:AI27"/>
    <mergeCell ref="AJ20:AJ27"/>
    <mergeCell ref="AK20:AK27"/>
    <mergeCell ref="AL20:AL27"/>
    <mergeCell ref="AM20:AM27"/>
    <mergeCell ref="AM32:AM35"/>
    <mergeCell ref="AN32:AN35"/>
    <mergeCell ref="AO6:AO19"/>
    <mergeCell ref="B10:B13"/>
    <mergeCell ref="B14:B18"/>
    <mergeCell ref="B19:D19"/>
    <mergeCell ref="B20:B26"/>
    <mergeCell ref="C20:C26"/>
    <mergeCell ref="AD20:AD27"/>
    <mergeCell ref="AE20:AE27"/>
    <mergeCell ref="AF20:AF27"/>
    <mergeCell ref="AG20:AG27"/>
    <mergeCell ref="AI6:AI19"/>
    <mergeCell ref="AJ6:AJ19"/>
    <mergeCell ref="AK6:AK19"/>
    <mergeCell ref="AL6:AL19"/>
    <mergeCell ref="AM6:AM19"/>
    <mergeCell ref="AN6:AN19"/>
    <mergeCell ref="AN20:AN27"/>
    <mergeCell ref="AO20:AO27"/>
    <mergeCell ref="B27:D27"/>
    <mergeCell ref="A6:A36"/>
    <mergeCell ref="B6:B9"/>
    <mergeCell ref="C6:C18"/>
    <mergeCell ref="AD6:AD19"/>
    <mergeCell ref="AE6:AE19"/>
    <mergeCell ref="AF6:AF19"/>
    <mergeCell ref="AG6:AG19"/>
    <mergeCell ref="AH6:AH19"/>
    <mergeCell ref="X4:Z4"/>
    <mergeCell ref="AA4:AC4"/>
    <mergeCell ref="AD4:AE4"/>
    <mergeCell ref="AG4:AH4"/>
    <mergeCell ref="F4:H4"/>
    <mergeCell ref="I4:K4"/>
    <mergeCell ref="L4:N4"/>
    <mergeCell ref="O4:Q4"/>
    <mergeCell ref="R4:T4"/>
    <mergeCell ref="U4:W4"/>
    <mergeCell ref="B28:B30"/>
    <mergeCell ref="C28:C30"/>
    <mergeCell ref="AD28:AD31"/>
    <mergeCell ref="AE28:AE31"/>
    <mergeCell ref="AF28:AF31"/>
    <mergeCell ref="AG28:AG31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AM4:AN4"/>
    <mergeCell ref="AO4:AO5"/>
    <mergeCell ref="AI4:AJ4"/>
    <mergeCell ref="AK4:AL4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43" max="55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tabSelected="1" zoomScale="70" zoomScaleNormal="70"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D34" sqref="D34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5.7109375" style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6.14062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6.140625" style="1" bestFit="1" customWidth="1"/>
    <col min="18" max="18" width="7.85546875" style="1" customWidth="1"/>
    <col min="19" max="19" width="8.85546875" style="1" customWidth="1"/>
    <col min="20" max="20" width="7.42578125" style="1" bestFit="1" customWidth="1"/>
    <col min="21" max="21" width="8.42578125" style="1" customWidth="1"/>
    <col min="22" max="22" width="7.85546875" style="1" customWidth="1"/>
    <col min="23" max="23" width="7.425781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10.8554687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45381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50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243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246" t="s">
        <v>26</v>
      </c>
      <c r="G5" s="9" t="s">
        <v>27</v>
      </c>
      <c r="H5" s="10" t="s">
        <v>28</v>
      </c>
      <c r="I5" s="243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247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243" t="s">
        <v>26</v>
      </c>
      <c r="AE5" s="9" t="s">
        <v>27</v>
      </c>
      <c r="AF5" s="246" t="s">
        <v>26</v>
      </c>
      <c r="AG5" s="246" t="s">
        <v>26</v>
      </c>
      <c r="AH5" s="9" t="s">
        <v>27</v>
      </c>
      <c r="AI5" s="246" t="s">
        <v>26</v>
      </c>
      <c r="AJ5" s="15" t="s">
        <v>27</v>
      </c>
      <c r="AK5" s="246" t="s">
        <v>26</v>
      </c>
      <c r="AL5" s="9" t="s">
        <v>27</v>
      </c>
      <c r="AM5" s="243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245">
        <v>680</v>
      </c>
      <c r="F6" s="245"/>
      <c r="G6" s="245">
        <f>680</f>
        <v>680</v>
      </c>
      <c r="H6" s="245">
        <f t="shared" ref="H6:H18" si="0">G6-E6</f>
        <v>0</v>
      </c>
      <c r="I6" s="245"/>
      <c r="J6" s="245">
        <f>428+252</f>
        <v>680</v>
      </c>
      <c r="K6" s="245">
        <f t="shared" ref="K6:K18" si="1">J6-G6</f>
        <v>0</v>
      </c>
      <c r="L6" s="245"/>
      <c r="M6" s="245">
        <f>62+144+4+9+26+75+226+36+4+6+7+45+26+10</f>
        <v>680</v>
      </c>
      <c r="N6" s="245">
        <f t="shared" ref="N6:N18" si="2">M6-J6</f>
        <v>0</v>
      </c>
      <c r="O6" s="245"/>
      <c r="P6" s="119">
        <f>546+36+4+6+7+45+26+9</f>
        <v>679</v>
      </c>
      <c r="Q6" s="245">
        <f t="shared" ref="Q6:Q18" si="3">P6-M6</f>
        <v>-1</v>
      </c>
      <c r="R6" s="18"/>
      <c r="S6" s="18">
        <f>210+330+40+12+83+4</f>
        <v>679</v>
      </c>
      <c r="T6" s="18">
        <f t="shared" ref="T6:T18" si="4">S6-P6</f>
        <v>0</v>
      </c>
      <c r="U6" s="18"/>
      <c r="V6" s="18">
        <f>200+340+40+62+32+5</f>
        <v>679</v>
      </c>
      <c r="W6" s="18">
        <f t="shared" ref="W6:W18" si="5">V6-S6</f>
        <v>0</v>
      </c>
      <c r="X6" s="245"/>
      <c r="Y6" s="245">
        <f>175+10+40+350+50+30+7</f>
        <v>662</v>
      </c>
      <c r="Z6" s="245">
        <f t="shared" ref="Z6:Z18" si="6">Y6-P6</f>
        <v>-17</v>
      </c>
      <c r="AA6" s="245"/>
      <c r="AB6" s="245">
        <f>175+10+40+350+50+30+7</f>
        <v>662</v>
      </c>
      <c r="AC6" s="19">
        <f t="shared" ref="AC6:AC18" si="7">AB6-Y6</f>
        <v>0</v>
      </c>
      <c r="AD6" s="267">
        <f>L19</f>
        <v>0</v>
      </c>
      <c r="AE6" s="267">
        <f>62+144+4+20+190+196+47+175+261+297+182+288+308+374+343+307+397+362+442+2</f>
        <v>4401</v>
      </c>
      <c r="AF6" s="282">
        <v>24.192</v>
      </c>
      <c r="AG6" s="267"/>
      <c r="AH6" s="277">
        <f>6+8+6+10+10+10+20+6+22+13+22+8+10+9+11+13+26+20+20+20+15+13+13</f>
        <v>311</v>
      </c>
      <c r="AI6" s="267"/>
      <c r="AJ6" s="277">
        <f>1+2+2+2+3+3+5+4+5+5+11+11+7+7+7+7+14+12+12+12+10+9+8</f>
        <v>159</v>
      </c>
      <c r="AK6" s="267"/>
      <c r="AL6" s="277">
        <f>1+1+1+1+1+1+1+1+1+1+1+1+2+1+1+1+1+1+1</f>
        <v>20</v>
      </c>
      <c r="AM6" s="270" t="e">
        <f>L19*AF6/480/AG6</f>
        <v>#DIV/0!</v>
      </c>
      <c r="AN6" s="270">
        <f>M19*AF6/480/AH6</f>
        <v>0.71289260450160774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/>
      <c r="M7" s="20">
        <f>20+117+9+13+48+110+29+97+43+5+27+50+14+17</f>
        <v>599</v>
      </c>
      <c r="N7" s="20">
        <f t="shared" si="2"/>
        <v>0</v>
      </c>
      <c r="O7" s="20"/>
      <c r="P7" s="20">
        <f>292+29+122+43+5+27+64+11</f>
        <v>593</v>
      </c>
      <c r="Q7" s="20">
        <f t="shared" si="3"/>
        <v>-6</v>
      </c>
      <c r="R7" s="20"/>
      <c r="S7" s="20">
        <f>160+140+90+90+11+96+6</f>
        <v>593</v>
      </c>
      <c r="T7" s="20">
        <f t="shared" si="4"/>
        <v>0</v>
      </c>
      <c r="U7" s="20"/>
      <c r="V7" s="20">
        <f>150+240+90+61+40+12</f>
        <v>593</v>
      </c>
      <c r="W7" s="20">
        <f t="shared" si="5"/>
        <v>0</v>
      </c>
      <c r="X7" s="20"/>
      <c r="Y7" s="20">
        <f>480+70+12</f>
        <v>562</v>
      </c>
      <c r="Z7" s="20">
        <f t="shared" si="6"/>
        <v>-31</v>
      </c>
      <c r="AA7" s="20"/>
      <c r="AB7" s="20">
        <f>480+70+12</f>
        <v>562</v>
      </c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/>
      <c r="M8" s="20">
        <f>73+187+25+59+76+42+58+4+3+5+31+100-14+28</f>
        <v>677</v>
      </c>
      <c r="N8" s="20">
        <f t="shared" si="2"/>
        <v>0</v>
      </c>
      <c r="O8" s="20"/>
      <c r="P8" s="20">
        <f>420+42+58+4+3+5+31+86+24</f>
        <v>673</v>
      </c>
      <c r="Q8" s="20">
        <f t="shared" si="3"/>
        <v>-4</v>
      </c>
      <c r="R8" s="20"/>
      <c r="S8" s="20">
        <f>250+150+50+50+25+141+7</f>
        <v>673</v>
      </c>
      <c r="T8" s="20">
        <f t="shared" si="4"/>
        <v>0</v>
      </c>
      <c r="U8" s="20"/>
      <c r="V8" s="20">
        <f>250+200+50+135+14+24</f>
        <v>673</v>
      </c>
      <c r="W8" s="20">
        <f t="shared" si="5"/>
        <v>0</v>
      </c>
      <c r="X8" s="20"/>
      <c r="Y8" s="20">
        <f>180+45+80+130+75+100+40+13</f>
        <v>663</v>
      </c>
      <c r="Z8" s="20">
        <f t="shared" si="6"/>
        <v>-10</v>
      </c>
      <c r="AA8" s="20"/>
      <c r="AB8" s="20">
        <f>180+45+80+130+75+100+40+13</f>
        <v>663</v>
      </c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>
        <f>42+27+5+5+19+8</f>
        <v>106</v>
      </c>
      <c r="N9" s="20">
        <f t="shared" si="2"/>
        <v>0</v>
      </c>
      <c r="O9" s="20"/>
      <c r="P9" s="20">
        <f>42+27+5+5+19+5+3</f>
        <v>106</v>
      </c>
      <c r="Q9" s="20">
        <f t="shared" si="3"/>
        <v>0</v>
      </c>
      <c r="R9" s="20"/>
      <c r="S9" s="20">
        <f>10+14+79+3</f>
        <v>106</v>
      </c>
      <c r="T9" s="20">
        <f t="shared" si="4"/>
        <v>0</v>
      </c>
      <c r="U9" s="20"/>
      <c r="V9" s="20">
        <f>74+29+3</f>
        <v>106</v>
      </c>
      <c r="W9" s="20">
        <f t="shared" si="5"/>
        <v>0</v>
      </c>
      <c r="X9" s="20"/>
      <c r="Y9" s="20">
        <f>95+8</f>
        <v>103</v>
      </c>
      <c r="Z9" s="20">
        <f t="shared" si="6"/>
        <v>-3</v>
      </c>
      <c r="AA9" s="20"/>
      <c r="AB9" s="20">
        <f>95+8</f>
        <v>103</v>
      </c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303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/>
      <c r="M10" s="20">
        <f>37+134+20+12+19+1</f>
        <v>223</v>
      </c>
      <c r="N10" s="20">
        <f t="shared" si="2"/>
        <v>0</v>
      </c>
      <c r="O10" s="20"/>
      <c r="P10" s="20">
        <f>37+134+20+12+19+1</f>
        <v>223</v>
      </c>
      <c r="Q10" s="20">
        <f t="shared" si="3"/>
        <v>0</v>
      </c>
      <c r="R10" s="20"/>
      <c r="S10" s="20">
        <f>170+20+32+1</f>
        <v>223</v>
      </c>
      <c r="T10" s="20">
        <f t="shared" si="4"/>
        <v>0</v>
      </c>
      <c r="U10" s="20"/>
      <c r="V10" s="20">
        <f>160+62</f>
        <v>222</v>
      </c>
      <c r="W10" s="20">
        <f t="shared" si="5"/>
        <v>-1</v>
      </c>
      <c r="X10" s="20"/>
      <c r="Y10" s="20">
        <f>180+20+15+5</f>
        <v>220</v>
      </c>
      <c r="Z10" s="20">
        <f t="shared" si="6"/>
        <v>-3</v>
      </c>
      <c r="AA10" s="20"/>
      <c r="AB10" s="20">
        <f>180+20+15+5</f>
        <v>220</v>
      </c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>
        <f>172+55</f>
        <v>227</v>
      </c>
      <c r="N11" s="20">
        <f t="shared" si="2"/>
        <v>0</v>
      </c>
      <c r="O11" s="20"/>
      <c r="P11" s="20">
        <f>172+55</f>
        <v>227</v>
      </c>
      <c r="Q11" s="20">
        <f t="shared" si="3"/>
        <v>0</v>
      </c>
      <c r="R11" s="20"/>
      <c r="S11" s="20">
        <f>160+60+7</f>
        <v>227</v>
      </c>
      <c r="T11" s="20">
        <f t="shared" si="4"/>
        <v>0</v>
      </c>
      <c r="U11" s="20"/>
      <c r="V11" s="20">
        <f>10+210+7</f>
        <v>227</v>
      </c>
      <c r="W11" s="20">
        <f t="shared" si="5"/>
        <v>0</v>
      </c>
      <c r="X11" s="20"/>
      <c r="Y11" s="20">
        <f>200+20+3</f>
        <v>223</v>
      </c>
      <c r="Z11" s="20">
        <f t="shared" si="6"/>
        <v>-4</v>
      </c>
      <c r="AA11" s="20"/>
      <c r="AB11" s="20">
        <f>200+20+3</f>
        <v>223</v>
      </c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/>
      <c r="M12" s="20">
        <f>156+20+12+52+2</f>
        <v>242</v>
      </c>
      <c r="N12" s="20">
        <f t="shared" si="2"/>
        <v>0</v>
      </c>
      <c r="O12" s="20"/>
      <c r="P12" s="20">
        <f>156+20+12+52</f>
        <v>240</v>
      </c>
      <c r="Q12" s="20">
        <f t="shared" si="3"/>
        <v>-2</v>
      </c>
      <c r="R12" s="20"/>
      <c r="S12" s="20">
        <f>10+171+59</f>
        <v>240</v>
      </c>
      <c r="T12" s="20">
        <f t="shared" si="4"/>
        <v>0</v>
      </c>
      <c r="U12" s="20"/>
      <c r="V12" s="20">
        <f>170+70</f>
        <v>240</v>
      </c>
      <c r="W12" s="20">
        <f t="shared" si="5"/>
        <v>0</v>
      </c>
      <c r="X12" s="20"/>
      <c r="Y12" s="20">
        <f>180+20+30+8</f>
        <v>238</v>
      </c>
      <c r="Z12" s="20">
        <f t="shared" si="6"/>
        <v>-2</v>
      </c>
      <c r="AA12" s="20"/>
      <c r="AB12" s="20">
        <f>180+20+30+8</f>
        <v>238</v>
      </c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x14ac:dyDescent="0.25">
      <c r="A13" s="283"/>
      <c r="B13" s="298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/>
      <c r="M13" s="20">
        <f>10+108+4+4+24+21</f>
        <v>171</v>
      </c>
      <c r="N13" s="20">
        <f t="shared" si="2"/>
        <v>0</v>
      </c>
      <c r="O13" s="20"/>
      <c r="P13" s="20">
        <f>10+108+4+4+24+20</f>
        <v>170</v>
      </c>
      <c r="Q13" s="20">
        <f t="shared" si="3"/>
        <v>-1</v>
      </c>
      <c r="R13" s="20"/>
      <c r="S13" s="20">
        <f>10+154+6</f>
        <v>170</v>
      </c>
      <c r="T13" s="20">
        <f t="shared" si="4"/>
        <v>0</v>
      </c>
      <c r="U13" s="20"/>
      <c r="V13" s="20">
        <f>10+140+20</f>
        <v>170</v>
      </c>
      <c r="W13" s="20">
        <f t="shared" si="5"/>
        <v>0</v>
      </c>
      <c r="X13" s="20"/>
      <c r="Y13" s="20">
        <f>20+150</f>
        <v>170</v>
      </c>
      <c r="Z13" s="20">
        <f t="shared" si="6"/>
        <v>0</v>
      </c>
      <c r="AA13" s="20"/>
      <c r="AB13" s="20">
        <f>20+150</f>
        <v>170</v>
      </c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x14ac:dyDescent="0.25">
      <c r="A14" s="283"/>
      <c r="B14" s="279" t="s">
        <v>57</v>
      </c>
      <c r="C14" s="281"/>
      <c r="D14" s="20" t="s">
        <v>58</v>
      </c>
      <c r="E14" s="20">
        <v>350</v>
      </c>
      <c r="F14" s="20"/>
      <c r="G14" s="20">
        <f>328</f>
        <v>328</v>
      </c>
      <c r="H14" s="20">
        <f t="shared" si="0"/>
        <v>-22</v>
      </c>
      <c r="I14" s="20"/>
      <c r="J14" s="20">
        <f>328</f>
        <v>328</v>
      </c>
      <c r="K14" s="20">
        <f t="shared" si="1"/>
        <v>0</v>
      </c>
      <c r="L14" s="20"/>
      <c r="M14" s="20">
        <f>151+134+2+41</f>
        <v>328</v>
      </c>
      <c r="N14" s="20">
        <f t="shared" si="2"/>
        <v>0</v>
      </c>
      <c r="O14" s="20"/>
      <c r="P14" s="20">
        <f>151+134+2+41</f>
        <v>328</v>
      </c>
      <c r="Q14" s="20">
        <f t="shared" si="3"/>
        <v>0</v>
      </c>
      <c r="R14" s="18"/>
      <c r="S14" s="18">
        <f>280+48</f>
        <v>328</v>
      </c>
      <c r="T14" s="18">
        <f t="shared" si="4"/>
        <v>0</v>
      </c>
      <c r="U14" s="18"/>
      <c r="V14" s="18">
        <f>280+48</f>
        <v>328</v>
      </c>
      <c r="W14" s="18">
        <f t="shared" si="5"/>
        <v>0</v>
      </c>
      <c r="X14" s="20"/>
      <c r="Y14" s="20">
        <f>180+140</f>
        <v>320</v>
      </c>
      <c r="Z14" s="20">
        <f t="shared" si="6"/>
        <v>-8</v>
      </c>
      <c r="AA14" s="20"/>
      <c r="AB14" s="20">
        <f>180+140</f>
        <v>320</v>
      </c>
      <c r="AC14" s="21">
        <f t="shared" si="7"/>
        <v>0</v>
      </c>
      <c r="AD14" s="263"/>
      <c r="AE14" s="263"/>
      <c r="AF14" s="268"/>
      <c r="AG14" s="263"/>
      <c r="AH14" s="261"/>
      <c r="AI14" s="263"/>
      <c r="AJ14" s="261"/>
      <c r="AK14" s="263"/>
      <c r="AL14" s="261"/>
      <c r="AM14" s="249"/>
      <c r="AN14" s="249"/>
      <c r="AO14" s="251"/>
    </row>
    <row r="15" spans="1:41" x14ac:dyDescent="0.25">
      <c r="A15" s="283"/>
      <c r="B15" s="279"/>
      <c r="C15" s="281"/>
      <c r="D15" s="20" t="s">
        <v>33</v>
      </c>
      <c r="E15" s="20">
        <v>375</v>
      </c>
      <c r="F15" s="20"/>
      <c r="G15" s="20">
        <f>350</f>
        <v>350</v>
      </c>
      <c r="H15" s="20">
        <f t="shared" si="0"/>
        <v>-25</v>
      </c>
      <c r="I15" s="20"/>
      <c r="J15" s="20">
        <f>350</f>
        <v>350</v>
      </c>
      <c r="K15" s="20">
        <f t="shared" si="1"/>
        <v>0</v>
      </c>
      <c r="L15" s="20"/>
      <c r="M15" s="20">
        <f>152+120+21+28+29</f>
        <v>350</v>
      </c>
      <c r="N15" s="20">
        <f t="shared" si="2"/>
        <v>0</v>
      </c>
      <c r="O15" s="20"/>
      <c r="P15" s="20">
        <f>152+120+21+28+29</f>
        <v>350</v>
      </c>
      <c r="Q15" s="20">
        <f t="shared" si="3"/>
        <v>0</v>
      </c>
      <c r="R15" s="20"/>
      <c r="S15" s="20">
        <f>338+12</f>
        <v>350</v>
      </c>
      <c r="T15" s="20">
        <f t="shared" si="4"/>
        <v>0</v>
      </c>
      <c r="U15" s="20"/>
      <c r="V15" s="20">
        <f>338+12</f>
        <v>350</v>
      </c>
      <c r="W15" s="20">
        <f t="shared" si="5"/>
        <v>0</v>
      </c>
      <c r="X15" s="20"/>
      <c r="Y15" s="20">
        <f>300+40</f>
        <v>340</v>
      </c>
      <c r="Z15" s="20">
        <f t="shared" si="6"/>
        <v>-10</v>
      </c>
      <c r="AA15" s="20"/>
      <c r="AB15" s="20">
        <f>300+40</f>
        <v>340</v>
      </c>
      <c r="AC15" s="21">
        <f t="shared" si="7"/>
        <v>0</v>
      </c>
      <c r="AD15" s="263"/>
      <c r="AE15" s="263"/>
      <c r="AF15" s="268"/>
      <c r="AG15" s="263"/>
      <c r="AH15" s="261"/>
      <c r="AI15" s="263"/>
      <c r="AJ15" s="261"/>
      <c r="AK15" s="263"/>
      <c r="AL15" s="261"/>
      <c r="AM15" s="249"/>
      <c r="AN15" s="249"/>
      <c r="AO15" s="251"/>
    </row>
    <row r="16" spans="1:41" x14ac:dyDescent="0.25">
      <c r="A16" s="283"/>
      <c r="B16" s="279"/>
      <c r="C16" s="281"/>
      <c r="D16" s="20" t="s">
        <v>59</v>
      </c>
      <c r="E16" s="20">
        <v>375</v>
      </c>
      <c r="F16" s="20"/>
      <c r="G16" s="20">
        <f>213</f>
        <v>213</v>
      </c>
      <c r="H16" s="20">
        <f t="shared" si="0"/>
        <v>-162</v>
      </c>
      <c r="I16" s="20"/>
      <c r="J16" s="20">
        <f>213</f>
        <v>213</v>
      </c>
      <c r="K16" s="20">
        <f t="shared" si="1"/>
        <v>0</v>
      </c>
      <c r="L16" s="20"/>
      <c r="M16" s="20">
        <f>200+13</f>
        <v>213</v>
      </c>
      <c r="N16" s="20">
        <f t="shared" si="2"/>
        <v>0</v>
      </c>
      <c r="O16" s="20"/>
      <c r="P16" s="20">
        <f>200+13</f>
        <v>213</v>
      </c>
      <c r="Q16" s="20">
        <f t="shared" si="3"/>
        <v>0</v>
      </c>
      <c r="R16" s="20"/>
      <c r="S16" s="20">
        <f>10+203</f>
        <v>213</v>
      </c>
      <c r="T16" s="20">
        <f t="shared" si="4"/>
        <v>0</v>
      </c>
      <c r="U16" s="20"/>
      <c r="V16" s="20">
        <f>213</f>
        <v>213</v>
      </c>
      <c r="W16" s="20">
        <f t="shared" si="5"/>
        <v>0</v>
      </c>
      <c r="X16" s="20"/>
      <c r="Y16" s="20">
        <f>200+7</f>
        <v>207</v>
      </c>
      <c r="Z16" s="20">
        <f t="shared" si="6"/>
        <v>-6</v>
      </c>
      <c r="AA16" s="20"/>
      <c r="AB16" s="20">
        <f>200+7</f>
        <v>207</v>
      </c>
      <c r="AC16" s="21">
        <f t="shared" si="7"/>
        <v>0</v>
      </c>
      <c r="AD16" s="263"/>
      <c r="AE16" s="263"/>
      <c r="AF16" s="268"/>
      <c r="AG16" s="263"/>
      <c r="AH16" s="261"/>
      <c r="AI16" s="263"/>
      <c r="AJ16" s="261"/>
      <c r="AK16" s="263"/>
      <c r="AL16" s="261"/>
      <c r="AM16" s="249"/>
      <c r="AN16" s="249"/>
      <c r="AO16" s="251"/>
    </row>
    <row r="17" spans="1:41" x14ac:dyDescent="0.25">
      <c r="A17" s="283"/>
      <c r="B17" s="279"/>
      <c r="C17" s="281"/>
      <c r="D17" s="20" t="s">
        <v>60</v>
      </c>
      <c r="E17" s="20">
        <v>350</v>
      </c>
      <c r="F17" s="20"/>
      <c r="G17" s="20">
        <f>237</f>
        <v>237</v>
      </c>
      <c r="H17" s="20">
        <f t="shared" si="0"/>
        <v>-113</v>
      </c>
      <c r="I17" s="20"/>
      <c r="J17" s="20">
        <f>237</f>
        <v>237</v>
      </c>
      <c r="K17" s="20">
        <f t="shared" si="1"/>
        <v>0</v>
      </c>
      <c r="L17" s="20"/>
      <c r="M17" s="20">
        <f>47+190</f>
        <v>237</v>
      </c>
      <c r="N17" s="20">
        <f t="shared" si="2"/>
        <v>0</v>
      </c>
      <c r="O17" s="20"/>
      <c r="P17" s="20">
        <f>237</f>
        <v>237</v>
      </c>
      <c r="Q17" s="20">
        <f t="shared" si="3"/>
        <v>0</v>
      </c>
      <c r="R17" s="20"/>
      <c r="S17" s="20">
        <f>220+17</f>
        <v>237</v>
      </c>
      <c r="T17" s="20">
        <f t="shared" si="4"/>
        <v>0</v>
      </c>
      <c r="U17" s="20"/>
      <c r="V17" s="20">
        <f>10+227</f>
        <v>237</v>
      </c>
      <c r="W17" s="20">
        <f t="shared" si="5"/>
        <v>0</v>
      </c>
      <c r="X17" s="20"/>
      <c r="Y17" s="20">
        <f>55+135+44</f>
        <v>234</v>
      </c>
      <c r="Z17" s="20">
        <f t="shared" si="6"/>
        <v>-3</v>
      </c>
      <c r="AA17" s="20"/>
      <c r="AB17" s="20">
        <f>55+135+44</f>
        <v>234</v>
      </c>
      <c r="AC17" s="21">
        <f t="shared" si="7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" thickBot="1" x14ac:dyDescent="0.3">
      <c r="A18" s="283"/>
      <c r="B18" s="299"/>
      <c r="C18" s="281"/>
      <c r="D18" s="20" t="s">
        <v>61</v>
      </c>
      <c r="E18" s="20">
        <v>350</v>
      </c>
      <c r="F18" s="20"/>
      <c r="G18" s="20">
        <f>345+1</f>
        <v>346</v>
      </c>
      <c r="H18" s="20">
        <f t="shared" si="0"/>
        <v>-4</v>
      </c>
      <c r="I18" s="20"/>
      <c r="J18" s="20">
        <f>345+1</f>
        <v>346</v>
      </c>
      <c r="K18" s="20">
        <f t="shared" si="1"/>
        <v>0</v>
      </c>
      <c r="L18" s="20"/>
      <c r="M18" s="20">
        <f>72+273+1</f>
        <v>346</v>
      </c>
      <c r="N18" s="20">
        <f t="shared" si="2"/>
        <v>0</v>
      </c>
      <c r="O18" s="20"/>
      <c r="P18" s="20">
        <f>72+274</f>
        <v>346</v>
      </c>
      <c r="Q18" s="20">
        <f t="shared" si="3"/>
        <v>0</v>
      </c>
      <c r="R18" s="25"/>
      <c r="S18" s="25">
        <f>340+6</f>
        <v>346</v>
      </c>
      <c r="T18" s="25">
        <f t="shared" si="4"/>
        <v>0</v>
      </c>
      <c r="U18" s="25"/>
      <c r="V18" s="25">
        <f>10</f>
        <v>10</v>
      </c>
      <c r="W18" s="25">
        <f t="shared" si="5"/>
        <v>-336</v>
      </c>
      <c r="X18" s="20"/>
      <c r="Y18" s="20"/>
      <c r="Z18" s="20">
        <f t="shared" si="6"/>
        <v>-346</v>
      </c>
      <c r="AA18" s="20"/>
      <c r="AB18" s="20"/>
      <c r="AC18" s="21">
        <f t="shared" si="7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83"/>
      <c r="B19" s="272" t="s">
        <v>34</v>
      </c>
      <c r="C19" s="273"/>
      <c r="D19" s="274"/>
      <c r="E19" s="23">
        <f>+SUM(E6:E18)</f>
        <v>4962</v>
      </c>
      <c r="F19" s="23">
        <f>+SUM(F6:F18)</f>
        <v>0</v>
      </c>
      <c r="G19" s="23">
        <f>SUM(G6:G18)</f>
        <v>4399</v>
      </c>
      <c r="H19" s="23">
        <f t="shared" ref="H19:AC19" si="8">+SUM(H6:H18)</f>
        <v>-563</v>
      </c>
      <c r="I19" s="23">
        <f t="shared" si="8"/>
        <v>0</v>
      </c>
      <c r="J19" s="23">
        <f t="shared" si="8"/>
        <v>4399</v>
      </c>
      <c r="K19" s="23">
        <f t="shared" si="8"/>
        <v>0</v>
      </c>
      <c r="L19" s="23">
        <f t="shared" si="8"/>
        <v>0</v>
      </c>
      <c r="M19" s="23">
        <f t="shared" si="8"/>
        <v>4399</v>
      </c>
      <c r="N19" s="23">
        <f t="shared" si="8"/>
        <v>0</v>
      </c>
      <c r="O19" s="23">
        <f t="shared" si="8"/>
        <v>0</v>
      </c>
      <c r="P19" s="23">
        <f t="shared" si="8"/>
        <v>4385</v>
      </c>
      <c r="Q19" s="23">
        <f t="shared" si="8"/>
        <v>-14</v>
      </c>
      <c r="R19" s="24">
        <f t="shared" si="8"/>
        <v>0</v>
      </c>
      <c r="S19" s="24">
        <f t="shared" si="8"/>
        <v>4385</v>
      </c>
      <c r="T19" s="24">
        <f t="shared" si="8"/>
        <v>0</v>
      </c>
      <c r="U19" s="24">
        <f t="shared" si="8"/>
        <v>0</v>
      </c>
      <c r="V19" s="24">
        <f t="shared" si="8"/>
        <v>4048</v>
      </c>
      <c r="W19" s="24">
        <f t="shared" si="8"/>
        <v>-337</v>
      </c>
      <c r="X19" s="23">
        <f t="shared" si="8"/>
        <v>0</v>
      </c>
      <c r="Y19" s="23">
        <f t="shared" si="8"/>
        <v>3942</v>
      </c>
      <c r="Z19" s="23">
        <f t="shared" si="8"/>
        <v>-443</v>
      </c>
      <c r="AA19" s="23">
        <f t="shared" si="8"/>
        <v>0</v>
      </c>
      <c r="AB19" s="23">
        <f t="shared" si="8"/>
        <v>3942</v>
      </c>
      <c r="AC19" s="15">
        <f t="shared" si="8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.75" customHeight="1" x14ac:dyDescent="0.25">
      <c r="A20" s="283"/>
      <c r="B20" s="297" t="s">
        <v>62</v>
      </c>
      <c r="C20" s="280" t="s">
        <v>63</v>
      </c>
      <c r="D20" s="16" t="s">
        <v>33</v>
      </c>
      <c r="E20" s="245">
        <v>155</v>
      </c>
      <c r="F20" s="245"/>
      <c r="G20" s="245">
        <f>130+8</f>
        <v>138</v>
      </c>
      <c r="H20" s="245">
        <f t="shared" ref="H20:H26" si="9">G20-E20</f>
        <v>-17</v>
      </c>
      <c r="I20" s="245"/>
      <c r="J20" s="245">
        <f>100+30+8</f>
        <v>138</v>
      </c>
      <c r="K20" s="245">
        <f t="shared" ref="K20:K26" si="10">J20-G20</f>
        <v>0</v>
      </c>
      <c r="L20" s="245"/>
      <c r="M20" s="245">
        <f>25+55+18+40</f>
        <v>138</v>
      </c>
      <c r="N20" s="245">
        <f t="shared" ref="N20:N26" si="11">M20-J20</f>
        <v>0</v>
      </c>
      <c r="O20" s="245"/>
      <c r="P20" s="119">
        <f>10+70+18+2+37</f>
        <v>137</v>
      </c>
      <c r="Q20" s="245">
        <f t="shared" ref="Q20:Q26" si="12">P20-M20</f>
        <v>-1</v>
      </c>
      <c r="R20" s="18"/>
      <c r="S20" s="18">
        <f>10+90</f>
        <v>100</v>
      </c>
      <c r="T20" s="18">
        <f t="shared" ref="T20:T26" si="13">S20-P20</f>
        <v>-37</v>
      </c>
      <c r="U20" s="18"/>
      <c r="V20" s="18">
        <f>10</f>
        <v>10</v>
      </c>
      <c r="W20" s="18">
        <f t="shared" ref="W20:W26" si="14">V20-S20</f>
        <v>-90</v>
      </c>
      <c r="X20" s="245"/>
      <c r="Y20" s="245"/>
      <c r="Z20" s="245">
        <f t="shared" ref="Z20:Z26" si="15">Y20-P20</f>
        <v>-137</v>
      </c>
      <c r="AA20" s="245"/>
      <c r="AB20" s="245"/>
      <c r="AC20" s="19">
        <f t="shared" ref="AC20:AC26" si="16">AB20-Y20</f>
        <v>0</v>
      </c>
      <c r="AD20" s="267">
        <f>L27</f>
        <v>0</v>
      </c>
      <c r="AE20" s="267">
        <f>25+205+197+538</f>
        <v>965</v>
      </c>
      <c r="AF20" s="282">
        <v>38.121000000000002</v>
      </c>
      <c r="AG20" s="267"/>
      <c r="AH20" s="277">
        <f>5+5+5+10+10+10+22+17+12+10</f>
        <v>106</v>
      </c>
      <c r="AI20" s="267"/>
      <c r="AJ20" s="277">
        <f>2+2+2+4+6+7+8+8+6</f>
        <v>45</v>
      </c>
      <c r="AK20" s="267"/>
      <c r="AL20" s="277">
        <f>1+1+1+1+1+1+2+2+2+1</f>
        <v>13</v>
      </c>
      <c r="AM20" s="270" t="e">
        <f>L27*AF20/480/AG20</f>
        <v>#DIV/0!</v>
      </c>
      <c r="AN20" s="270">
        <f>M27*AF20/480/AH20</f>
        <v>0.72226108490566032</v>
      </c>
      <c r="AO20" s="271"/>
    </row>
    <row r="21" spans="1:41" x14ac:dyDescent="0.25">
      <c r="A21" s="283"/>
      <c r="B21" s="279"/>
      <c r="C21" s="281"/>
      <c r="D21" s="20" t="s">
        <v>64</v>
      </c>
      <c r="E21" s="20">
        <v>155</v>
      </c>
      <c r="F21" s="20"/>
      <c r="G21" s="20">
        <f>140</f>
        <v>140</v>
      </c>
      <c r="H21" s="20">
        <f t="shared" si="9"/>
        <v>-15</v>
      </c>
      <c r="I21" s="20"/>
      <c r="J21" s="20">
        <f>140</f>
        <v>140</v>
      </c>
      <c r="K21" s="20">
        <f t="shared" si="10"/>
        <v>0</v>
      </c>
      <c r="L21" s="20"/>
      <c r="M21" s="20">
        <f>140</f>
        <v>140</v>
      </c>
      <c r="N21" s="20">
        <f t="shared" si="11"/>
        <v>0</v>
      </c>
      <c r="O21" s="20"/>
      <c r="P21" s="20">
        <f>20+120</f>
        <v>140</v>
      </c>
      <c r="Q21" s="20">
        <f t="shared" si="12"/>
        <v>0</v>
      </c>
      <c r="R21" s="20"/>
      <c r="S21" s="20">
        <f>10</f>
        <v>10</v>
      </c>
      <c r="T21" s="20">
        <f t="shared" si="13"/>
        <v>-130</v>
      </c>
      <c r="U21" s="20"/>
      <c r="V21" s="20"/>
      <c r="W21" s="20">
        <f t="shared" si="14"/>
        <v>-10</v>
      </c>
      <c r="X21" s="20"/>
      <c r="Y21" s="20"/>
      <c r="Z21" s="20">
        <f t="shared" si="15"/>
        <v>-140</v>
      </c>
      <c r="AA21" s="20"/>
      <c r="AB21" s="20"/>
      <c r="AC21" s="21">
        <f t="shared" si="16"/>
        <v>0</v>
      </c>
      <c r="AD21" s="263"/>
      <c r="AE21" s="263"/>
      <c r="AF21" s="268"/>
      <c r="AG21" s="263"/>
      <c r="AH21" s="261"/>
      <c r="AI21" s="263"/>
      <c r="AJ21" s="261"/>
      <c r="AK21" s="263"/>
      <c r="AL21" s="261"/>
      <c r="AM21" s="249"/>
      <c r="AN21" s="249"/>
      <c r="AO21" s="251"/>
    </row>
    <row r="22" spans="1:41" x14ac:dyDescent="0.25">
      <c r="A22" s="283"/>
      <c r="B22" s="279"/>
      <c r="C22" s="281"/>
      <c r="D22" s="20" t="s">
        <v>65</v>
      </c>
      <c r="E22" s="20">
        <v>155</v>
      </c>
      <c r="F22" s="20"/>
      <c r="G22" s="20">
        <f>116+9</f>
        <v>125</v>
      </c>
      <c r="H22" s="20">
        <f t="shared" si="9"/>
        <v>-30</v>
      </c>
      <c r="I22" s="20"/>
      <c r="J22" s="20">
        <f>116+9</f>
        <v>125</v>
      </c>
      <c r="K22" s="20">
        <f t="shared" si="10"/>
        <v>0</v>
      </c>
      <c r="L22" s="20"/>
      <c r="M22" s="20">
        <f>51+52+22</f>
        <v>125</v>
      </c>
      <c r="N22" s="20">
        <f t="shared" si="11"/>
        <v>0</v>
      </c>
      <c r="O22" s="20"/>
      <c r="P22" s="20">
        <f>51+52+3+19</f>
        <v>125</v>
      </c>
      <c r="Q22" s="20">
        <f t="shared" si="12"/>
        <v>0</v>
      </c>
      <c r="R22" s="20"/>
      <c r="S22" s="20">
        <f>10+90</f>
        <v>100</v>
      </c>
      <c r="T22" s="20">
        <f t="shared" si="13"/>
        <v>-25</v>
      </c>
      <c r="U22" s="20"/>
      <c r="V22" s="20">
        <f>10</f>
        <v>10</v>
      </c>
      <c r="W22" s="20">
        <f t="shared" si="14"/>
        <v>-90</v>
      </c>
      <c r="X22" s="20"/>
      <c r="Y22" s="20"/>
      <c r="Z22" s="20">
        <f t="shared" si="15"/>
        <v>-125</v>
      </c>
      <c r="AA22" s="20"/>
      <c r="AB22" s="20"/>
      <c r="AC22" s="21">
        <f t="shared" si="16"/>
        <v>0</v>
      </c>
      <c r="AD22" s="263"/>
      <c r="AE22" s="263"/>
      <c r="AF22" s="268"/>
      <c r="AG22" s="263"/>
      <c r="AH22" s="261"/>
      <c r="AI22" s="263"/>
      <c r="AJ22" s="261"/>
      <c r="AK22" s="263"/>
      <c r="AL22" s="261"/>
      <c r="AM22" s="249"/>
      <c r="AN22" s="249"/>
      <c r="AO22" s="251"/>
    </row>
    <row r="23" spans="1:41" x14ac:dyDescent="0.25">
      <c r="A23" s="283"/>
      <c r="B23" s="279"/>
      <c r="C23" s="281"/>
      <c r="D23" s="20" t="s">
        <v>66</v>
      </c>
      <c r="E23" s="20">
        <v>137</v>
      </c>
      <c r="F23" s="20"/>
      <c r="G23" s="20">
        <f>124+15</f>
        <v>139</v>
      </c>
      <c r="H23" s="20">
        <f t="shared" si="9"/>
        <v>2</v>
      </c>
      <c r="I23" s="20"/>
      <c r="J23" s="20">
        <f>124+15</f>
        <v>139</v>
      </c>
      <c r="K23" s="20">
        <f t="shared" si="10"/>
        <v>0</v>
      </c>
      <c r="L23" s="20"/>
      <c r="M23" s="20">
        <f>99+40</f>
        <v>139</v>
      </c>
      <c r="N23" s="20">
        <f t="shared" si="11"/>
        <v>0</v>
      </c>
      <c r="O23" s="20"/>
      <c r="P23" s="20">
        <f>99+4+36</f>
        <v>139</v>
      </c>
      <c r="Q23" s="20">
        <f t="shared" si="12"/>
        <v>0</v>
      </c>
      <c r="R23" s="20"/>
      <c r="S23" s="20">
        <f>10+80</f>
        <v>90</v>
      </c>
      <c r="T23" s="20">
        <f t="shared" si="13"/>
        <v>-49</v>
      </c>
      <c r="U23" s="20"/>
      <c r="V23" s="20">
        <f>10</f>
        <v>10</v>
      </c>
      <c r="W23" s="20">
        <f t="shared" si="14"/>
        <v>-80</v>
      </c>
      <c r="X23" s="20"/>
      <c r="Y23" s="20"/>
      <c r="Z23" s="20">
        <f t="shared" si="15"/>
        <v>-139</v>
      </c>
      <c r="AA23" s="20"/>
      <c r="AB23" s="20"/>
      <c r="AC23" s="21">
        <f t="shared" si="16"/>
        <v>0</v>
      </c>
      <c r="AD23" s="263"/>
      <c r="AE23" s="263"/>
      <c r="AF23" s="268"/>
      <c r="AG23" s="263"/>
      <c r="AH23" s="261"/>
      <c r="AI23" s="263"/>
      <c r="AJ23" s="261"/>
      <c r="AK23" s="263"/>
      <c r="AL23" s="261"/>
      <c r="AM23" s="249"/>
      <c r="AN23" s="249"/>
      <c r="AO23" s="251"/>
    </row>
    <row r="24" spans="1:41" x14ac:dyDescent="0.25">
      <c r="A24" s="283"/>
      <c r="B24" s="279"/>
      <c r="C24" s="281"/>
      <c r="D24" s="20" t="s">
        <v>67</v>
      </c>
      <c r="E24" s="20">
        <v>155</v>
      </c>
      <c r="F24" s="20"/>
      <c r="G24" s="20">
        <f>146+9</f>
        <v>155</v>
      </c>
      <c r="H24" s="20">
        <f t="shared" si="9"/>
        <v>0</v>
      </c>
      <c r="I24" s="20"/>
      <c r="J24" s="20">
        <f>155</f>
        <v>155</v>
      </c>
      <c r="K24" s="20">
        <f t="shared" si="10"/>
        <v>0</v>
      </c>
      <c r="L24" s="20"/>
      <c r="M24" s="20">
        <f>120+35</f>
        <v>155</v>
      </c>
      <c r="N24" s="20">
        <f t="shared" si="11"/>
        <v>0</v>
      </c>
      <c r="O24" s="20"/>
      <c r="P24" s="20">
        <f>120+5+30</f>
        <v>155</v>
      </c>
      <c r="Q24" s="20">
        <f t="shared" si="12"/>
        <v>0</v>
      </c>
      <c r="R24" s="20"/>
      <c r="S24" s="20">
        <f>10+100</f>
        <v>110</v>
      </c>
      <c r="T24" s="20">
        <f t="shared" si="13"/>
        <v>-45</v>
      </c>
      <c r="U24" s="20"/>
      <c r="V24" s="20">
        <f>10</f>
        <v>10</v>
      </c>
      <c r="W24" s="20">
        <f t="shared" si="14"/>
        <v>-100</v>
      </c>
      <c r="X24" s="20"/>
      <c r="Y24" s="20"/>
      <c r="Z24" s="20">
        <f t="shared" si="15"/>
        <v>-155</v>
      </c>
      <c r="AA24" s="20"/>
      <c r="AB24" s="20"/>
      <c r="AC24" s="21">
        <f t="shared" si="16"/>
        <v>0</v>
      </c>
      <c r="AD24" s="263"/>
      <c r="AE24" s="263"/>
      <c r="AF24" s="268"/>
      <c r="AG24" s="263"/>
      <c r="AH24" s="261"/>
      <c r="AI24" s="263"/>
      <c r="AJ24" s="261"/>
      <c r="AK24" s="263"/>
      <c r="AL24" s="261"/>
      <c r="AM24" s="249"/>
      <c r="AN24" s="249"/>
      <c r="AO24" s="251"/>
    </row>
    <row r="25" spans="1:41" x14ac:dyDescent="0.25">
      <c r="A25" s="283"/>
      <c r="B25" s="279"/>
      <c r="C25" s="281"/>
      <c r="D25" s="20" t="s">
        <v>68</v>
      </c>
      <c r="E25" s="20">
        <v>155</v>
      </c>
      <c r="F25" s="20"/>
      <c r="G25" s="20">
        <f>142</f>
        <v>142</v>
      </c>
      <c r="H25" s="20">
        <f t="shared" si="9"/>
        <v>-13</v>
      </c>
      <c r="I25" s="20"/>
      <c r="J25" s="20">
        <f>142</f>
        <v>142</v>
      </c>
      <c r="K25" s="20">
        <f t="shared" si="10"/>
        <v>0</v>
      </c>
      <c r="L25" s="20"/>
      <c r="M25" s="20">
        <f>142</f>
        <v>142</v>
      </c>
      <c r="N25" s="20">
        <f t="shared" si="11"/>
        <v>0</v>
      </c>
      <c r="O25" s="20"/>
      <c r="P25" s="20">
        <f>103+39</f>
        <v>142</v>
      </c>
      <c r="Q25" s="20">
        <f t="shared" si="12"/>
        <v>0</v>
      </c>
      <c r="R25" s="20"/>
      <c r="S25" s="20">
        <f>10</f>
        <v>10</v>
      </c>
      <c r="T25" s="20">
        <f t="shared" si="13"/>
        <v>-132</v>
      </c>
      <c r="U25" s="20"/>
      <c r="V25" s="20"/>
      <c r="W25" s="20">
        <f t="shared" si="14"/>
        <v>-10</v>
      </c>
      <c r="X25" s="20"/>
      <c r="Y25" s="20"/>
      <c r="Z25" s="20">
        <f t="shared" si="15"/>
        <v>-142</v>
      </c>
      <c r="AA25" s="20"/>
      <c r="AB25" s="20"/>
      <c r="AC25" s="21">
        <f t="shared" si="16"/>
        <v>0</v>
      </c>
      <c r="AD25" s="263"/>
      <c r="AE25" s="263"/>
      <c r="AF25" s="268"/>
      <c r="AG25" s="263"/>
      <c r="AH25" s="261"/>
      <c r="AI25" s="263"/>
      <c r="AJ25" s="261"/>
      <c r="AK25" s="263"/>
      <c r="AL25" s="261"/>
      <c r="AM25" s="249"/>
      <c r="AN25" s="249"/>
      <c r="AO25" s="251"/>
    </row>
    <row r="26" spans="1:41" ht="18" thickBot="1" x14ac:dyDescent="0.3">
      <c r="A26" s="283"/>
      <c r="B26" s="298"/>
      <c r="C26" s="281"/>
      <c r="D26" s="20" t="s">
        <v>60</v>
      </c>
      <c r="E26" s="20">
        <v>125</v>
      </c>
      <c r="F26" s="20"/>
      <c r="G26" s="20">
        <f>116+9</f>
        <v>125</v>
      </c>
      <c r="H26" s="20">
        <f t="shared" si="9"/>
        <v>0</v>
      </c>
      <c r="I26" s="20"/>
      <c r="J26" s="20">
        <f>125</f>
        <v>125</v>
      </c>
      <c r="K26" s="20">
        <f t="shared" si="10"/>
        <v>0</v>
      </c>
      <c r="L26" s="20"/>
      <c r="M26" s="20">
        <f>7+118</f>
        <v>125</v>
      </c>
      <c r="N26" s="20">
        <f t="shared" si="11"/>
        <v>0</v>
      </c>
      <c r="O26" s="20"/>
      <c r="P26" s="20">
        <f>7+83+35</f>
        <v>125</v>
      </c>
      <c r="Q26" s="20">
        <f t="shared" si="12"/>
        <v>0</v>
      </c>
      <c r="R26" s="22"/>
      <c r="S26" s="22">
        <f>10</f>
        <v>10</v>
      </c>
      <c r="T26" s="22">
        <f t="shared" si="13"/>
        <v>-115</v>
      </c>
      <c r="U26" s="22"/>
      <c r="V26" s="22"/>
      <c r="W26" s="22">
        <f t="shared" si="14"/>
        <v>-10</v>
      </c>
      <c r="X26" s="20"/>
      <c r="Y26" s="20"/>
      <c r="Z26" s="20">
        <f t="shared" si="15"/>
        <v>-125</v>
      </c>
      <c r="AA26" s="20"/>
      <c r="AB26" s="20"/>
      <c r="AC26" s="21">
        <f t="shared" si="16"/>
        <v>0</v>
      </c>
      <c r="AD26" s="263"/>
      <c r="AE26" s="263"/>
      <c r="AF26" s="268"/>
      <c r="AG26" s="263"/>
      <c r="AH26" s="261"/>
      <c r="AI26" s="263"/>
      <c r="AJ26" s="261"/>
      <c r="AK26" s="263"/>
      <c r="AL26" s="261"/>
      <c r="AM26" s="249"/>
      <c r="AN26" s="249"/>
      <c r="AO26" s="251"/>
    </row>
    <row r="27" spans="1:41" ht="18" thickBot="1" x14ac:dyDescent="0.3">
      <c r="A27" s="283"/>
      <c r="B27" s="272" t="s">
        <v>34</v>
      </c>
      <c r="C27" s="273"/>
      <c r="D27" s="274"/>
      <c r="E27" s="23">
        <f>+SUM(E20:E26)</f>
        <v>1037</v>
      </c>
      <c r="F27" s="23">
        <f>+SUM(F20:F26)</f>
        <v>0</v>
      </c>
      <c r="G27" s="23">
        <f>SUM(G20:G26)</f>
        <v>964</v>
      </c>
      <c r="H27" s="23">
        <f t="shared" ref="H27:AC27" si="17">+SUM(H20:H26)</f>
        <v>-73</v>
      </c>
      <c r="I27" s="23">
        <f t="shared" si="17"/>
        <v>0</v>
      </c>
      <c r="J27" s="23">
        <f t="shared" si="17"/>
        <v>964</v>
      </c>
      <c r="K27" s="23">
        <f t="shared" si="17"/>
        <v>0</v>
      </c>
      <c r="L27" s="23">
        <f t="shared" si="17"/>
        <v>0</v>
      </c>
      <c r="M27" s="23">
        <f t="shared" si="17"/>
        <v>964</v>
      </c>
      <c r="N27" s="23">
        <f t="shared" si="17"/>
        <v>0</v>
      </c>
      <c r="O27" s="23">
        <f t="shared" si="17"/>
        <v>0</v>
      </c>
      <c r="P27" s="23">
        <f t="shared" si="17"/>
        <v>963</v>
      </c>
      <c r="Q27" s="23">
        <f t="shared" si="17"/>
        <v>-1</v>
      </c>
      <c r="R27" s="24">
        <f t="shared" si="17"/>
        <v>0</v>
      </c>
      <c r="S27" s="24">
        <f t="shared" si="17"/>
        <v>430</v>
      </c>
      <c r="T27" s="24">
        <f t="shared" si="17"/>
        <v>-533</v>
      </c>
      <c r="U27" s="24">
        <f t="shared" si="17"/>
        <v>0</v>
      </c>
      <c r="V27" s="24">
        <f t="shared" si="17"/>
        <v>40</v>
      </c>
      <c r="W27" s="24">
        <f t="shared" si="17"/>
        <v>-390</v>
      </c>
      <c r="X27" s="23">
        <f t="shared" si="17"/>
        <v>0</v>
      </c>
      <c r="Y27" s="23">
        <f t="shared" si="17"/>
        <v>0</v>
      </c>
      <c r="Z27" s="23">
        <f t="shared" si="17"/>
        <v>-963</v>
      </c>
      <c r="AA27" s="23">
        <f t="shared" si="17"/>
        <v>0</v>
      </c>
      <c r="AB27" s="23">
        <f t="shared" si="17"/>
        <v>0</v>
      </c>
      <c r="AC27" s="15">
        <f t="shared" si="17"/>
        <v>0</v>
      </c>
      <c r="AD27" s="264"/>
      <c r="AE27" s="264"/>
      <c r="AF27" s="269"/>
      <c r="AG27" s="264"/>
      <c r="AH27" s="262"/>
      <c r="AI27" s="264"/>
      <c r="AJ27" s="262"/>
      <c r="AK27" s="264"/>
      <c r="AL27" s="262"/>
      <c r="AM27" s="250"/>
      <c r="AN27" s="250"/>
      <c r="AO27" s="252"/>
    </row>
    <row r="28" spans="1:41" ht="18.75" customHeight="1" x14ac:dyDescent="0.25">
      <c r="A28" s="283"/>
      <c r="B28" s="297" t="s">
        <v>69</v>
      </c>
      <c r="C28" s="280" t="s">
        <v>37</v>
      </c>
      <c r="D28" s="16" t="s">
        <v>33</v>
      </c>
      <c r="E28" s="245">
        <v>160</v>
      </c>
      <c r="F28" s="245"/>
      <c r="G28" s="245">
        <f>160</f>
        <v>160</v>
      </c>
      <c r="H28" s="245">
        <f t="shared" ref="H28:H30" si="18">G28-E28</f>
        <v>0</v>
      </c>
      <c r="I28" s="245"/>
      <c r="J28" s="245">
        <f>160</f>
        <v>160</v>
      </c>
      <c r="K28" s="245">
        <f t="shared" ref="K28:K30" si="19">J28-G28</f>
        <v>0</v>
      </c>
      <c r="L28" s="245">
        <v>26</v>
      </c>
      <c r="M28" s="245">
        <f>20+26</f>
        <v>46</v>
      </c>
      <c r="N28" s="245">
        <f t="shared" ref="N28:N30" si="20">M28-J28</f>
        <v>-114</v>
      </c>
      <c r="O28" s="245">
        <v>26</v>
      </c>
      <c r="P28" s="119">
        <f>20+26</f>
        <v>46</v>
      </c>
      <c r="Q28" s="245">
        <f t="shared" ref="Q28:Q30" si="21">P28-M28</f>
        <v>0</v>
      </c>
      <c r="R28" s="18"/>
      <c r="S28" s="18"/>
      <c r="T28" s="18">
        <f t="shared" ref="T28:T30" si="22">S28-P28</f>
        <v>-46</v>
      </c>
      <c r="U28" s="18"/>
      <c r="V28" s="18"/>
      <c r="W28" s="18">
        <f t="shared" ref="W28:W30" si="23">V28-S28</f>
        <v>0</v>
      </c>
      <c r="X28" s="245"/>
      <c r="Y28" s="245"/>
      <c r="Z28" s="245">
        <f t="shared" ref="Z28:Z30" si="24">Y28-P28</f>
        <v>-46</v>
      </c>
      <c r="AA28" s="245"/>
      <c r="AB28" s="245"/>
      <c r="AC28" s="19">
        <f t="shared" ref="AC28:AC30" si="25">AB28-Y28</f>
        <v>0</v>
      </c>
      <c r="AD28" s="267">
        <f>L31</f>
        <v>199</v>
      </c>
      <c r="AE28" s="267">
        <f>30+199</f>
        <v>229</v>
      </c>
      <c r="AF28" s="282">
        <v>29.512</v>
      </c>
      <c r="AG28" s="267">
        <v>10</v>
      </c>
      <c r="AH28" s="277">
        <f>5+10+7+15+10</f>
        <v>47</v>
      </c>
      <c r="AI28" s="267">
        <v>5</v>
      </c>
      <c r="AJ28" s="277">
        <f>2+6+5</f>
        <v>13</v>
      </c>
      <c r="AK28" s="267">
        <v>1</v>
      </c>
      <c r="AL28" s="277">
        <f>1+1</f>
        <v>2</v>
      </c>
      <c r="AM28" s="270">
        <f>L31*AF28/480/AG28</f>
        <v>1.2235183333333333</v>
      </c>
      <c r="AN28" s="270">
        <f>M31*AF28/480/AH28</f>
        <v>0.29956773049645391</v>
      </c>
      <c r="AO28" s="271"/>
    </row>
    <row r="29" spans="1:41" x14ac:dyDescent="0.25">
      <c r="A29" s="283"/>
      <c r="B29" s="279"/>
      <c r="C29" s="281"/>
      <c r="D29" s="20" t="s">
        <v>59</v>
      </c>
      <c r="E29" s="20">
        <v>180</v>
      </c>
      <c r="F29" s="20"/>
      <c r="G29" s="20">
        <f>180</f>
        <v>180</v>
      </c>
      <c r="H29" s="20">
        <f t="shared" si="18"/>
        <v>0</v>
      </c>
      <c r="I29" s="20"/>
      <c r="J29" s="20">
        <f>140+40</f>
        <v>180</v>
      </c>
      <c r="K29" s="20">
        <f t="shared" si="19"/>
        <v>0</v>
      </c>
      <c r="L29" s="20">
        <v>78</v>
      </c>
      <c r="M29" s="20">
        <f>78</f>
        <v>78</v>
      </c>
      <c r="N29" s="20">
        <f t="shared" si="20"/>
        <v>-102</v>
      </c>
      <c r="O29" s="20">
        <v>78</v>
      </c>
      <c r="P29" s="20">
        <f>78</f>
        <v>78</v>
      </c>
      <c r="Q29" s="20">
        <f t="shared" si="21"/>
        <v>0</v>
      </c>
      <c r="R29" s="20"/>
      <c r="S29" s="20"/>
      <c r="T29" s="20">
        <f t="shared" si="22"/>
        <v>-78</v>
      </c>
      <c r="U29" s="20"/>
      <c r="V29" s="20"/>
      <c r="W29" s="20">
        <f t="shared" si="23"/>
        <v>0</v>
      </c>
      <c r="X29" s="20"/>
      <c r="Y29" s="20"/>
      <c r="Z29" s="20">
        <f t="shared" si="24"/>
        <v>-78</v>
      </c>
      <c r="AA29" s="20"/>
      <c r="AB29" s="20"/>
      <c r="AC29" s="21">
        <f t="shared" si="25"/>
        <v>0</v>
      </c>
      <c r="AD29" s="263"/>
      <c r="AE29" s="263"/>
      <c r="AF29" s="268"/>
      <c r="AG29" s="263"/>
      <c r="AH29" s="261"/>
      <c r="AI29" s="263"/>
      <c r="AJ29" s="261"/>
      <c r="AK29" s="263"/>
      <c r="AL29" s="261"/>
      <c r="AM29" s="249"/>
      <c r="AN29" s="249"/>
      <c r="AO29" s="251"/>
    </row>
    <row r="30" spans="1:41" ht="18" thickBot="1" x14ac:dyDescent="0.3">
      <c r="A30" s="283"/>
      <c r="B30" s="279"/>
      <c r="C30" s="281"/>
      <c r="D30" s="20" t="s">
        <v>70</v>
      </c>
      <c r="E30" s="20">
        <v>210</v>
      </c>
      <c r="F30" s="20"/>
      <c r="G30" s="20">
        <f>210</f>
        <v>210</v>
      </c>
      <c r="H30" s="20">
        <f t="shared" si="18"/>
        <v>0</v>
      </c>
      <c r="I30" s="20"/>
      <c r="J30" s="20">
        <f>210</f>
        <v>210</v>
      </c>
      <c r="K30" s="20">
        <f t="shared" si="19"/>
        <v>0</v>
      </c>
      <c r="L30" s="20">
        <v>95</v>
      </c>
      <c r="M30" s="20">
        <f>10+95</f>
        <v>105</v>
      </c>
      <c r="N30" s="20">
        <f t="shared" si="20"/>
        <v>-105</v>
      </c>
      <c r="O30" s="20">
        <v>95</v>
      </c>
      <c r="P30" s="20">
        <f>10+95</f>
        <v>105</v>
      </c>
      <c r="Q30" s="20">
        <f t="shared" si="21"/>
        <v>0</v>
      </c>
      <c r="R30" s="22"/>
      <c r="S30" s="22"/>
      <c r="T30" s="22">
        <f t="shared" si="22"/>
        <v>-105</v>
      </c>
      <c r="U30" s="22"/>
      <c r="V30" s="22"/>
      <c r="W30" s="22">
        <f t="shared" si="23"/>
        <v>0</v>
      </c>
      <c r="X30" s="20"/>
      <c r="Y30" s="20"/>
      <c r="Z30" s="20">
        <f t="shared" si="24"/>
        <v>-105</v>
      </c>
      <c r="AA30" s="20"/>
      <c r="AB30" s="20"/>
      <c r="AC30" s="21">
        <f t="shared" si="25"/>
        <v>0</v>
      </c>
      <c r="AD30" s="263"/>
      <c r="AE30" s="263"/>
      <c r="AF30" s="268"/>
      <c r="AG30" s="263"/>
      <c r="AH30" s="261"/>
      <c r="AI30" s="263"/>
      <c r="AJ30" s="261"/>
      <c r="AK30" s="263"/>
      <c r="AL30" s="261"/>
      <c r="AM30" s="249"/>
      <c r="AN30" s="249"/>
      <c r="AO30" s="251"/>
    </row>
    <row r="31" spans="1:41" ht="18" thickBot="1" x14ac:dyDescent="0.3">
      <c r="A31" s="283"/>
      <c r="B31" s="272" t="s">
        <v>34</v>
      </c>
      <c r="C31" s="273"/>
      <c r="D31" s="274"/>
      <c r="E31" s="23">
        <f>+SUM(E28:E30)</f>
        <v>550</v>
      </c>
      <c r="F31" s="23">
        <f>+SUM(F28:F30)</f>
        <v>0</v>
      </c>
      <c r="G31" s="23">
        <f>SUM(G28:G30)</f>
        <v>550</v>
      </c>
      <c r="H31" s="23">
        <f t="shared" ref="H31:AC31" si="26">+SUM(H28:H30)</f>
        <v>0</v>
      </c>
      <c r="I31" s="23">
        <f t="shared" si="26"/>
        <v>0</v>
      </c>
      <c r="J31" s="23">
        <f t="shared" si="26"/>
        <v>550</v>
      </c>
      <c r="K31" s="23">
        <f t="shared" si="26"/>
        <v>0</v>
      </c>
      <c r="L31" s="23">
        <f t="shared" si="26"/>
        <v>199</v>
      </c>
      <c r="M31" s="23">
        <f t="shared" si="26"/>
        <v>229</v>
      </c>
      <c r="N31" s="23">
        <f t="shared" si="26"/>
        <v>-321</v>
      </c>
      <c r="O31" s="23">
        <f t="shared" si="26"/>
        <v>199</v>
      </c>
      <c r="P31" s="23">
        <f t="shared" si="26"/>
        <v>229</v>
      </c>
      <c r="Q31" s="23">
        <f t="shared" si="26"/>
        <v>0</v>
      </c>
      <c r="R31" s="24">
        <f t="shared" si="26"/>
        <v>0</v>
      </c>
      <c r="S31" s="24">
        <f t="shared" si="26"/>
        <v>0</v>
      </c>
      <c r="T31" s="24">
        <f t="shared" si="26"/>
        <v>-229</v>
      </c>
      <c r="U31" s="24">
        <f t="shared" si="26"/>
        <v>0</v>
      </c>
      <c r="V31" s="24">
        <f t="shared" si="26"/>
        <v>0</v>
      </c>
      <c r="W31" s="24">
        <f t="shared" si="26"/>
        <v>0</v>
      </c>
      <c r="X31" s="23">
        <f t="shared" si="26"/>
        <v>0</v>
      </c>
      <c r="Y31" s="23">
        <f t="shared" si="26"/>
        <v>0</v>
      </c>
      <c r="Z31" s="23">
        <f t="shared" si="26"/>
        <v>-229</v>
      </c>
      <c r="AA31" s="23">
        <f t="shared" si="26"/>
        <v>0</v>
      </c>
      <c r="AB31" s="23">
        <f t="shared" si="26"/>
        <v>0</v>
      </c>
      <c r="AC31" s="15">
        <f t="shared" si="26"/>
        <v>0</v>
      </c>
      <c r="AD31" s="264"/>
      <c r="AE31" s="264"/>
      <c r="AF31" s="269"/>
      <c r="AG31" s="264"/>
      <c r="AH31" s="262"/>
      <c r="AI31" s="264"/>
      <c r="AJ31" s="262"/>
      <c r="AK31" s="264"/>
      <c r="AL31" s="262"/>
      <c r="AM31" s="250"/>
      <c r="AN31" s="250"/>
      <c r="AO31" s="252"/>
    </row>
    <row r="32" spans="1:41" ht="18.75" customHeight="1" x14ac:dyDescent="0.25">
      <c r="A32" s="283"/>
      <c r="B32" s="297" t="s">
        <v>71</v>
      </c>
      <c r="C32" s="280" t="s">
        <v>72</v>
      </c>
      <c r="D32" s="16" t="s">
        <v>73</v>
      </c>
      <c r="E32" s="245">
        <v>667</v>
      </c>
      <c r="F32" s="245"/>
      <c r="G32" s="245">
        <f>665+2</f>
        <v>667</v>
      </c>
      <c r="H32" s="245">
        <f t="shared" ref="H32:H34" si="27">G32-E32</f>
        <v>0</v>
      </c>
      <c r="I32" s="245">
        <v>300</v>
      </c>
      <c r="J32" s="245">
        <f>76+200+300</f>
        <v>576</v>
      </c>
      <c r="K32" s="245">
        <f t="shared" ref="K32:K34" si="28">J32-G32</f>
        <v>-91</v>
      </c>
      <c r="L32" s="245"/>
      <c r="M32" s="245"/>
      <c r="N32" s="245">
        <f t="shared" ref="N32:N34" si="29">M32-J32</f>
        <v>-576</v>
      </c>
      <c r="O32" s="245"/>
      <c r="P32" s="119"/>
      <c r="Q32" s="245">
        <f t="shared" ref="Q32:Q34" si="30">P32-M32</f>
        <v>0</v>
      </c>
      <c r="R32" s="18"/>
      <c r="S32" s="18"/>
      <c r="T32" s="18">
        <f t="shared" ref="T32:T34" si="31">S32-P32</f>
        <v>0</v>
      </c>
      <c r="U32" s="18"/>
      <c r="V32" s="18"/>
      <c r="W32" s="18">
        <f t="shared" ref="W32:W34" si="32">V32-S32</f>
        <v>0</v>
      </c>
      <c r="X32" s="245"/>
      <c r="Y32" s="245"/>
      <c r="Z32" s="245">
        <f t="shared" ref="Z32:Z34" si="33">Y32-P32</f>
        <v>0</v>
      </c>
      <c r="AA32" s="245"/>
      <c r="AB32" s="245"/>
      <c r="AC32" s="19">
        <f t="shared" ref="AC32:AC34" si="34">AB32-Y32</f>
        <v>0</v>
      </c>
      <c r="AD32" s="267">
        <f>L35</f>
        <v>0</v>
      </c>
      <c r="AE32" s="267"/>
      <c r="AF32" s="282">
        <v>58.84</v>
      </c>
      <c r="AG32" s="267">
        <v>13</v>
      </c>
      <c r="AH32" s="277">
        <f>5+9+13</f>
        <v>27</v>
      </c>
      <c r="AI32" s="267">
        <v>3</v>
      </c>
      <c r="AJ32" s="277">
        <f>1+2+3</f>
        <v>6</v>
      </c>
      <c r="AK32" s="267">
        <v>1</v>
      </c>
      <c r="AL32" s="277">
        <f>1+1</f>
        <v>2</v>
      </c>
      <c r="AM32" s="270">
        <f>L35*AF32/480/AG32</f>
        <v>0</v>
      </c>
      <c r="AN32" s="270">
        <f>M35*AF32/480/AH32</f>
        <v>0</v>
      </c>
      <c r="AO32" s="271"/>
    </row>
    <row r="33" spans="1:41" x14ac:dyDescent="0.25">
      <c r="A33" s="283"/>
      <c r="B33" s="279"/>
      <c r="C33" s="281"/>
      <c r="D33" s="20" t="s">
        <v>74</v>
      </c>
      <c r="E33" s="20">
        <v>162</v>
      </c>
      <c r="F33" s="20"/>
      <c r="G33" s="20">
        <f>160+2</f>
        <v>162</v>
      </c>
      <c r="H33" s="20">
        <f t="shared" si="27"/>
        <v>0</v>
      </c>
      <c r="I33" s="20"/>
      <c r="J33" s="20"/>
      <c r="K33" s="20">
        <f t="shared" si="28"/>
        <v>-162</v>
      </c>
      <c r="L33" s="20"/>
      <c r="M33" s="20"/>
      <c r="N33" s="20">
        <f t="shared" si="29"/>
        <v>0</v>
      </c>
      <c r="O33" s="20"/>
      <c r="P33" s="20"/>
      <c r="Q33" s="20">
        <f t="shared" si="30"/>
        <v>0</v>
      </c>
      <c r="R33" s="20"/>
      <c r="S33" s="20"/>
      <c r="T33" s="20">
        <f t="shared" si="31"/>
        <v>0</v>
      </c>
      <c r="U33" s="20"/>
      <c r="V33" s="20"/>
      <c r="W33" s="20">
        <f t="shared" si="32"/>
        <v>0</v>
      </c>
      <c r="X33" s="20"/>
      <c r="Y33" s="20"/>
      <c r="Z33" s="20">
        <f t="shared" si="33"/>
        <v>0</v>
      </c>
      <c r="AA33" s="20"/>
      <c r="AB33" s="20"/>
      <c r="AC33" s="21">
        <f t="shared" si="34"/>
        <v>0</v>
      </c>
      <c r="AD33" s="263"/>
      <c r="AE33" s="263"/>
      <c r="AF33" s="268"/>
      <c r="AG33" s="263"/>
      <c r="AH33" s="261"/>
      <c r="AI33" s="263"/>
      <c r="AJ33" s="261"/>
      <c r="AK33" s="263"/>
      <c r="AL33" s="261"/>
      <c r="AM33" s="249"/>
      <c r="AN33" s="249"/>
      <c r="AO33" s="251"/>
    </row>
    <row r="34" spans="1:41" ht="18" thickBot="1" x14ac:dyDescent="0.3">
      <c r="A34" s="283"/>
      <c r="B34" s="279"/>
      <c r="C34" s="281"/>
      <c r="D34" s="20" t="s">
        <v>75</v>
      </c>
      <c r="E34" s="20">
        <v>160</v>
      </c>
      <c r="F34" s="20">
        <v>56</v>
      </c>
      <c r="G34" s="20">
        <f>104+56</f>
        <v>160</v>
      </c>
      <c r="H34" s="20">
        <f t="shared" si="27"/>
        <v>0</v>
      </c>
      <c r="I34" s="20"/>
      <c r="J34" s="20"/>
      <c r="K34" s="20">
        <f t="shared" si="28"/>
        <v>-160</v>
      </c>
      <c r="L34" s="20"/>
      <c r="M34" s="20"/>
      <c r="N34" s="20">
        <f t="shared" si="29"/>
        <v>0</v>
      </c>
      <c r="O34" s="20"/>
      <c r="P34" s="20"/>
      <c r="Q34" s="20">
        <f t="shared" si="30"/>
        <v>0</v>
      </c>
      <c r="R34" s="22"/>
      <c r="S34" s="22"/>
      <c r="T34" s="22">
        <f t="shared" si="31"/>
        <v>0</v>
      </c>
      <c r="U34" s="22"/>
      <c r="V34" s="22"/>
      <c r="W34" s="22">
        <f t="shared" si="32"/>
        <v>0</v>
      </c>
      <c r="X34" s="20"/>
      <c r="Y34" s="20"/>
      <c r="Z34" s="20">
        <f t="shared" si="33"/>
        <v>0</v>
      </c>
      <c r="AA34" s="20"/>
      <c r="AB34" s="20"/>
      <c r="AC34" s="21">
        <f t="shared" si="34"/>
        <v>0</v>
      </c>
      <c r="AD34" s="263"/>
      <c r="AE34" s="263"/>
      <c r="AF34" s="268"/>
      <c r="AG34" s="263"/>
      <c r="AH34" s="261"/>
      <c r="AI34" s="263"/>
      <c r="AJ34" s="261"/>
      <c r="AK34" s="263"/>
      <c r="AL34" s="261"/>
      <c r="AM34" s="249"/>
      <c r="AN34" s="249"/>
      <c r="AO34" s="251"/>
    </row>
    <row r="35" spans="1:41" ht="18" thickBot="1" x14ac:dyDescent="0.3">
      <c r="A35" s="283"/>
      <c r="B35" s="272" t="s">
        <v>34</v>
      </c>
      <c r="C35" s="273"/>
      <c r="D35" s="274"/>
      <c r="E35" s="23">
        <f>+SUM(E32:E34)</f>
        <v>989</v>
      </c>
      <c r="F35" s="23">
        <f>+SUM(F32:F34)</f>
        <v>56</v>
      </c>
      <c r="G35" s="23">
        <f>SUM(G32:G34)</f>
        <v>989</v>
      </c>
      <c r="H35" s="23">
        <f t="shared" ref="H35:AC35" si="35">+SUM(H32:H34)</f>
        <v>0</v>
      </c>
      <c r="I35" s="23">
        <f t="shared" si="35"/>
        <v>300</v>
      </c>
      <c r="J35" s="23">
        <f t="shared" si="35"/>
        <v>576</v>
      </c>
      <c r="K35" s="23">
        <f t="shared" si="35"/>
        <v>-413</v>
      </c>
      <c r="L35" s="23">
        <f t="shared" si="35"/>
        <v>0</v>
      </c>
      <c r="M35" s="23">
        <f t="shared" si="35"/>
        <v>0</v>
      </c>
      <c r="N35" s="23">
        <f t="shared" si="35"/>
        <v>-576</v>
      </c>
      <c r="O35" s="23">
        <f t="shared" si="35"/>
        <v>0</v>
      </c>
      <c r="P35" s="23">
        <f t="shared" si="35"/>
        <v>0</v>
      </c>
      <c r="Q35" s="23">
        <f t="shared" si="35"/>
        <v>0</v>
      </c>
      <c r="R35" s="24">
        <f t="shared" si="35"/>
        <v>0</v>
      </c>
      <c r="S35" s="24">
        <f t="shared" si="35"/>
        <v>0</v>
      </c>
      <c r="T35" s="24">
        <f t="shared" si="35"/>
        <v>0</v>
      </c>
      <c r="U35" s="24">
        <f t="shared" si="35"/>
        <v>0</v>
      </c>
      <c r="V35" s="24">
        <f t="shared" si="35"/>
        <v>0</v>
      </c>
      <c r="W35" s="24">
        <f t="shared" si="35"/>
        <v>0</v>
      </c>
      <c r="X35" s="23">
        <f t="shared" si="35"/>
        <v>0</v>
      </c>
      <c r="Y35" s="23">
        <f t="shared" si="35"/>
        <v>0</v>
      </c>
      <c r="Z35" s="23">
        <f t="shared" si="35"/>
        <v>0</v>
      </c>
      <c r="AA35" s="23">
        <f t="shared" si="35"/>
        <v>0</v>
      </c>
      <c r="AB35" s="23">
        <f t="shared" si="35"/>
        <v>0</v>
      </c>
      <c r="AC35" s="15">
        <f t="shared" si="35"/>
        <v>0</v>
      </c>
      <c r="AD35" s="264"/>
      <c r="AE35" s="264"/>
      <c r="AF35" s="269"/>
      <c r="AG35" s="264"/>
      <c r="AH35" s="262"/>
      <c r="AI35" s="264"/>
      <c r="AJ35" s="262"/>
      <c r="AK35" s="264"/>
      <c r="AL35" s="262"/>
      <c r="AM35" s="250"/>
      <c r="AN35" s="250"/>
      <c r="AO35" s="252"/>
    </row>
    <row r="36" spans="1:41" ht="18" thickBot="1" x14ac:dyDescent="0.3">
      <c r="A36" s="284"/>
      <c r="B36" s="275" t="s">
        <v>40</v>
      </c>
      <c r="C36" s="275"/>
      <c r="D36" s="276"/>
      <c r="E36" s="26">
        <f>E19+E35+E27+E31</f>
        <v>7538</v>
      </c>
      <c r="F36" s="26">
        <f t="shared" ref="F36:AC36" si="36">F19+F35+F27+F31</f>
        <v>56</v>
      </c>
      <c r="G36" s="26">
        <f t="shared" si="36"/>
        <v>6902</v>
      </c>
      <c r="H36" s="26">
        <f t="shared" si="36"/>
        <v>-636</v>
      </c>
      <c r="I36" s="26">
        <f t="shared" si="36"/>
        <v>300</v>
      </c>
      <c r="J36" s="26">
        <f t="shared" si="36"/>
        <v>6489</v>
      </c>
      <c r="K36" s="26">
        <f t="shared" si="36"/>
        <v>-413</v>
      </c>
      <c r="L36" s="26">
        <f t="shared" si="36"/>
        <v>199</v>
      </c>
      <c r="M36" s="26">
        <f t="shared" si="36"/>
        <v>5592</v>
      </c>
      <c r="N36" s="26">
        <f t="shared" si="36"/>
        <v>-897</v>
      </c>
      <c r="O36" s="26">
        <f t="shared" si="36"/>
        <v>199</v>
      </c>
      <c r="P36" s="26">
        <f t="shared" si="36"/>
        <v>5577</v>
      </c>
      <c r="Q36" s="26">
        <f t="shared" si="36"/>
        <v>-15</v>
      </c>
      <c r="R36" s="26">
        <f t="shared" si="36"/>
        <v>0</v>
      </c>
      <c r="S36" s="26">
        <f t="shared" si="36"/>
        <v>4815</v>
      </c>
      <c r="T36" s="26">
        <f t="shared" si="36"/>
        <v>-762</v>
      </c>
      <c r="U36" s="26">
        <f t="shared" si="36"/>
        <v>0</v>
      </c>
      <c r="V36" s="26">
        <f t="shared" si="36"/>
        <v>4088</v>
      </c>
      <c r="W36" s="26">
        <f t="shared" si="36"/>
        <v>-727</v>
      </c>
      <c r="X36" s="26">
        <f t="shared" si="36"/>
        <v>0</v>
      </c>
      <c r="Y36" s="26">
        <f t="shared" si="36"/>
        <v>3942</v>
      </c>
      <c r="Z36" s="26">
        <f t="shared" si="36"/>
        <v>-1635</v>
      </c>
      <c r="AA36" s="26">
        <f t="shared" si="36"/>
        <v>0</v>
      </c>
      <c r="AB36" s="26">
        <f t="shared" si="36"/>
        <v>3942</v>
      </c>
      <c r="AC36" s="26">
        <f t="shared" si="36"/>
        <v>0</v>
      </c>
      <c r="AD36" s="27">
        <f>SUM(AD6:AD35)</f>
        <v>199</v>
      </c>
      <c r="AE36" s="27">
        <f>SUM(AE6:AE35)</f>
        <v>5595</v>
      </c>
      <c r="AF36" s="28">
        <f>SUM(AF6:AF35)/4</f>
        <v>37.666250000000005</v>
      </c>
      <c r="AG36" s="27">
        <f t="shared" ref="AG36:AL36" si="37">SUM(AG6:AG35)</f>
        <v>23</v>
      </c>
      <c r="AH36" s="27">
        <f t="shared" si="37"/>
        <v>491</v>
      </c>
      <c r="AI36" s="27">
        <f t="shared" si="37"/>
        <v>8</v>
      </c>
      <c r="AJ36" s="27">
        <f t="shared" si="37"/>
        <v>223</v>
      </c>
      <c r="AK36" s="27">
        <f t="shared" si="37"/>
        <v>2</v>
      </c>
      <c r="AL36" s="27">
        <f t="shared" si="37"/>
        <v>37</v>
      </c>
      <c r="AM36" s="29">
        <f>L36*AF36/480/AG36</f>
        <v>0.6789478034420291</v>
      </c>
      <c r="AN36" s="30">
        <f>M36*AF36/480/AH36</f>
        <v>0.89371041242362548</v>
      </c>
      <c r="AO36" s="31"/>
    </row>
    <row r="37" spans="1:41" ht="18.75" customHeight="1" x14ac:dyDescent="0.25">
      <c r="A37" s="265" t="s">
        <v>32</v>
      </c>
      <c r="B37" s="244" t="s">
        <v>41</v>
      </c>
      <c r="C37" s="300" t="s">
        <v>37</v>
      </c>
      <c r="D37" s="34" t="s">
        <v>42</v>
      </c>
      <c r="E37" s="245">
        <v>1645</v>
      </c>
      <c r="F37" s="245"/>
      <c r="G37" s="245">
        <f>1430</f>
        <v>1430</v>
      </c>
      <c r="H37" s="245">
        <f t="shared" ref="H37:H39" si="38">G37-E37</f>
        <v>-215</v>
      </c>
      <c r="I37" s="245"/>
      <c r="J37" s="245">
        <f>1430</f>
        <v>1430</v>
      </c>
      <c r="K37" s="245">
        <f t="shared" ref="K37:K39" si="39">J37-G37</f>
        <v>0</v>
      </c>
      <c r="L37" s="245"/>
      <c r="M37" s="245">
        <f>102+201+302+351-99-125-110+133+127+49+120+24+166+155+34</f>
        <v>1430</v>
      </c>
      <c r="N37" s="245">
        <f t="shared" ref="N37:N39" si="40">M37-J37</f>
        <v>0</v>
      </c>
      <c r="O37" s="245"/>
      <c r="P37" s="245">
        <f>1075+166+155+34</f>
        <v>1430</v>
      </c>
      <c r="Q37" s="245">
        <f t="shared" ref="Q37:Q39" si="41">P37-M37</f>
        <v>0</v>
      </c>
      <c r="R37" s="245"/>
      <c r="S37" s="245">
        <f>970+260+50+150</f>
        <v>1430</v>
      </c>
      <c r="T37" s="35">
        <f t="shared" ref="T37:T39" si="42">S37-P37</f>
        <v>0</v>
      </c>
      <c r="U37" s="245"/>
      <c r="V37" s="245">
        <f>970+310+150</f>
        <v>1430</v>
      </c>
      <c r="W37" s="35">
        <f t="shared" ref="W37:W39" si="43">V37-S37</f>
        <v>0</v>
      </c>
      <c r="X37" s="245"/>
      <c r="Y37" s="245">
        <f>860+80+15+140+90+100</f>
        <v>1285</v>
      </c>
      <c r="Z37" s="245">
        <f t="shared" ref="Z37:Z39" si="44">Y37-P37</f>
        <v>-145</v>
      </c>
      <c r="AA37" s="245"/>
      <c r="AB37" s="245">
        <f>860+80+15+140+90+100</f>
        <v>1285</v>
      </c>
      <c r="AC37" s="33">
        <f t="shared" ref="AC37:AC39" si="45">AB37-Y37</f>
        <v>0</v>
      </c>
      <c r="AD37" s="267">
        <f>L40</f>
        <v>0</v>
      </c>
      <c r="AE37" s="263">
        <f>300+98+344+213+289+412+355+358+438+80</f>
        <v>2887</v>
      </c>
      <c r="AF37" s="268">
        <v>33.130000000000003</v>
      </c>
      <c r="AG37" s="263">
        <v>1</v>
      </c>
      <c r="AH37" s="261">
        <f>2+10+8+8+8+6+6+6+9+5+6+8+7+7+6+6+6+6+6+6+7+7+7+7+6+7+17+16+16+22+21+21+10+20+20+13+10+10+10+11+13</f>
        <v>403</v>
      </c>
      <c r="AI37" s="263"/>
      <c r="AJ37" s="261">
        <f>1+1+1+1+1+1+1+2+2+2+2+2+2+2+2+2+2+1+1+1+1+1+1+1+1+4+3+4+5+8+8+6+7+6+6+6+7+7+7</f>
        <v>119</v>
      </c>
      <c r="AK37" s="263"/>
      <c r="AL37" s="261">
        <f>1+1+1+1+1+1+1+1+1+1+1+1+1+1+1+1+2+2+2+2+2+1+1+1+1+1</f>
        <v>31</v>
      </c>
      <c r="AM37" s="249">
        <f>L40*AF37/480/AG37</f>
        <v>0</v>
      </c>
      <c r="AN37" s="249">
        <f>M40*AF37/480/AH37</f>
        <v>0.65818129652605462</v>
      </c>
      <c r="AO37" s="251"/>
    </row>
    <row r="38" spans="1:41" ht="18.75" customHeight="1" x14ac:dyDescent="0.25">
      <c r="A38" s="265"/>
      <c r="B38" s="36" t="s">
        <v>43</v>
      </c>
      <c r="C38" s="301"/>
      <c r="D38" s="38" t="s">
        <v>44</v>
      </c>
      <c r="E38" s="20">
        <v>1245</v>
      </c>
      <c r="F38" s="20"/>
      <c r="G38" s="20">
        <f>1231</f>
        <v>1231</v>
      </c>
      <c r="H38" s="20">
        <f t="shared" si="38"/>
        <v>-14</v>
      </c>
      <c r="I38" s="20"/>
      <c r="J38" s="20">
        <f>1231</f>
        <v>1231</v>
      </c>
      <c r="K38" s="20">
        <f t="shared" si="39"/>
        <v>0</v>
      </c>
      <c r="L38" s="20"/>
      <c r="M38" s="20">
        <f>300+99+125+110+98+101+59+41+12+93+57+100+35</f>
        <v>1230</v>
      </c>
      <c r="N38" s="20">
        <f t="shared" si="40"/>
        <v>-1</v>
      </c>
      <c r="O38" s="20"/>
      <c r="P38" s="20">
        <f>1038+57+100+35</f>
        <v>1230</v>
      </c>
      <c r="Q38" s="20">
        <f t="shared" si="41"/>
        <v>0</v>
      </c>
      <c r="R38" s="20"/>
      <c r="S38" s="20">
        <f>930+160+50+90</f>
        <v>1230</v>
      </c>
      <c r="T38" s="39">
        <f t="shared" si="42"/>
        <v>0</v>
      </c>
      <c r="U38" s="20"/>
      <c r="V38" s="20">
        <f>910+230+90</f>
        <v>1230</v>
      </c>
      <c r="W38" s="39">
        <f t="shared" si="43"/>
        <v>0</v>
      </c>
      <c r="X38" s="20"/>
      <c r="Y38" s="20">
        <f>750+75+40+90+100+130</f>
        <v>1185</v>
      </c>
      <c r="Z38" s="20">
        <f t="shared" si="44"/>
        <v>-45</v>
      </c>
      <c r="AA38" s="20"/>
      <c r="AB38" s="20">
        <f>750+75+40+90+100+130</f>
        <v>1185</v>
      </c>
      <c r="AC38" s="37">
        <f t="shared" si="45"/>
        <v>0</v>
      </c>
      <c r="AD38" s="263"/>
      <c r="AE38" s="263"/>
      <c r="AF38" s="268"/>
      <c r="AG38" s="263"/>
      <c r="AH38" s="261"/>
      <c r="AI38" s="263"/>
      <c r="AJ38" s="261"/>
      <c r="AK38" s="263"/>
      <c r="AL38" s="261"/>
      <c r="AM38" s="249"/>
      <c r="AN38" s="249"/>
      <c r="AO38" s="251"/>
    </row>
    <row r="39" spans="1:41" ht="18.75" customHeight="1" thickBot="1" x14ac:dyDescent="0.3">
      <c r="A39" s="265"/>
      <c r="B39" s="248" t="s">
        <v>45</v>
      </c>
      <c r="C39" s="302"/>
      <c r="D39" s="42" t="s">
        <v>46</v>
      </c>
      <c r="E39" s="25">
        <v>1300</v>
      </c>
      <c r="F39" s="25"/>
      <c r="G39" s="25">
        <f>1183</f>
        <v>1183</v>
      </c>
      <c r="H39" s="25">
        <f t="shared" si="38"/>
        <v>-117</v>
      </c>
      <c r="I39" s="25"/>
      <c r="J39" s="25">
        <f>520+663</f>
        <v>1183</v>
      </c>
      <c r="K39" s="25">
        <f t="shared" si="39"/>
        <v>0</v>
      </c>
      <c r="L39" s="25"/>
      <c r="M39" s="25">
        <f>110+27+199+280+238+135+183+11</f>
        <v>1183</v>
      </c>
      <c r="N39" s="25">
        <f t="shared" si="40"/>
        <v>0</v>
      </c>
      <c r="O39" s="25"/>
      <c r="P39" s="25">
        <f>854+135+183+11</f>
        <v>1183</v>
      </c>
      <c r="Q39" s="25">
        <f t="shared" si="41"/>
        <v>0</v>
      </c>
      <c r="R39" s="25"/>
      <c r="S39" s="25">
        <f>530+420+150+83</f>
        <v>1183</v>
      </c>
      <c r="T39" s="43">
        <f t="shared" si="42"/>
        <v>0</v>
      </c>
      <c r="U39" s="25"/>
      <c r="V39" s="25">
        <f>130+400+420+150+83</f>
        <v>1183</v>
      </c>
      <c r="W39" s="43">
        <f t="shared" si="43"/>
        <v>0</v>
      </c>
      <c r="X39" s="25"/>
      <c r="Y39" s="25">
        <f>100+190+190+320+190+120</f>
        <v>1110</v>
      </c>
      <c r="Z39" s="25">
        <f t="shared" si="44"/>
        <v>-73</v>
      </c>
      <c r="AA39" s="25"/>
      <c r="AB39" s="25">
        <f>100+190+190+320+190+120</f>
        <v>1110</v>
      </c>
      <c r="AC39" s="44">
        <f t="shared" si="45"/>
        <v>0</v>
      </c>
      <c r="AD39" s="263"/>
      <c r="AE39" s="263"/>
      <c r="AF39" s="268"/>
      <c r="AG39" s="263"/>
      <c r="AH39" s="261"/>
      <c r="AI39" s="263"/>
      <c r="AJ39" s="261"/>
      <c r="AK39" s="263"/>
      <c r="AL39" s="261"/>
      <c r="AM39" s="249"/>
      <c r="AN39" s="249"/>
      <c r="AO39" s="251"/>
    </row>
    <row r="40" spans="1:41" ht="18" thickBot="1" x14ac:dyDescent="0.3">
      <c r="A40" s="265"/>
      <c r="B40" s="253" t="s">
        <v>34</v>
      </c>
      <c r="C40" s="254"/>
      <c r="D40" s="255"/>
      <c r="E40" s="24">
        <f>+SUM(E37:E39)</f>
        <v>4190</v>
      </c>
      <c r="F40" s="24">
        <f t="shared" ref="F40:AC40" si="46">+SUM(F37:F39)</f>
        <v>0</v>
      </c>
      <c r="G40" s="24">
        <f t="shared" si="46"/>
        <v>3844</v>
      </c>
      <c r="H40" s="24">
        <f t="shared" si="46"/>
        <v>-346</v>
      </c>
      <c r="I40" s="24">
        <f t="shared" si="46"/>
        <v>0</v>
      </c>
      <c r="J40" s="24">
        <f t="shared" si="46"/>
        <v>3844</v>
      </c>
      <c r="K40" s="24">
        <f t="shared" si="46"/>
        <v>0</v>
      </c>
      <c r="L40" s="24">
        <f t="shared" si="46"/>
        <v>0</v>
      </c>
      <c r="M40" s="24">
        <f t="shared" si="46"/>
        <v>3843</v>
      </c>
      <c r="N40" s="24">
        <f t="shared" si="46"/>
        <v>-1</v>
      </c>
      <c r="O40" s="24">
        <f t="shared" si="46"/>
        <v>0</v>
      </c>
      <c r="P40" s="24">
        <f t="shared" si="46"/>
        <v>3843</v>
      </c>
      <c r="Q40" s="24">
        <f t="shared" si="46"/>
        <v>0</v>
      </c>
      <c r="R40" s="24">
        <f t="shared" si="46"/>
        <v>0</v>
      </c>
      <c r="S40" s="24">
        <f t="shared" si="46"/>
        <v>3843</v>
      </c>
      <c r="T40" s="24">
        <f t="shared" si="46"/>
        <v>0</v>
      </c>
      <c r="U40" s="24">
        <f t="shared" si="46"/>
        <v>0</v>
      </c>
      <c r="V40" s="24">
        <f t="shared" si="46"/>
        <v>3843</v>
      </c>
      <c r="W40" s="24">
        <f t="shared" si="46"/>
        <v>0</v>
      </c>
      <c r="X40" s="24">
        <f t="shared" si="46"/>
        <v>0</v>
      </c>
      <c r="Y40" s="24">
        <f t="shared" si="46"/>
        <v>3580</v>
      </c>
      <c r="Z40" s="24">
        <f t="shared" si="46"/>
        <v>-263</v>
      </c>
      <c r="AA40" s="24">
        <f t="shared" si="46"/>
        <v>0</v>
      </c>
      <c r="AB40" s="24">
        <f t="shared" si="46"/>
        <v>3580</v>
      </c>
      <c r="AC40" s="24">
        <f t="shared" si="46"/>
        <v>0</v>
      </c>
      <c r="AD40" s="264"/>
      <c r="AE40" s="264"/>
      <c r="AF40" s="269"/>
      <c r="AG40" s="264"/>
      <c r="AH40" s="262"/>
      <c r="AI40" s="264"/>
      <c r="AJ40" s="262"/>
      <c r="AK40" s="264"/>
      <c r="AL40" s="262"/>
      <c r="AM40" s="250"/>
      <c r="AN40" s="250"/>
      <c r="AO40" s="252"/>
    </row>
    <row r="41" spans="1:41" ht="18" customHeight="1" thickBot="1" x14ac:dyDescent="0.3">
      <c r="A41" s="266"/>
      <c r="B41" s="256" t="s">
        <v>40</v>
      </c>
      <c r="C41" s="256"/>
      <c r="D41" s="257"/>
      <c r="E41" s="26">
        <f>E40</f>
        <v>4190</v>
      </c>
      <c r="F41" s="26">
        <f t="shared" ref="F41:AC41" si="47">F40</f>
        <v>0</v>
      </c>
      <c r="G41" s="26">
        <f t="shared" si="47"/>
        <v>3844</v>
      </c>
      <c r="H41" s="26">
        <f t="shared" si="47"/>
        <v>-346</v>
      </c>
      <c r="I41" s="26">
        <f t="shared" si="47"/>
        <v>0</v>
      </c>
      <c r="J41" s="26">
        <f t="shared" si="47"/>
        <v>3844</v>
      </c>
      <c r="K41" s="26">
        <f t="shared" si="47"/>
        <v>0</v>
      </c>
      <c r="L41" s="26">
        <f t="shared" si="47"/>
        <v>0</v>
      </c>
      <c r="M41" s="26">
        <f t="shared" si="47"/>
        <v>3843</v>
      </c>
      <c r="N41" s="26">
        <f t="shared" si="47"/>
        <v>-1</v>
      </c>
      <c r="O41" s="26">
        <f t="shared" si="47"/>
        <v>0</v>
      </c>
      <c r="P41" s="26">
        <f t="shared" si="47"/>
        <v>3843</v>
      </c>
      <c r="Q41" s="26">
        <f t="shared" si="47"/>
        <v>0</v>
      </c>
      <c r="R41" s="26">
        <f t="shared" si="47"/>
        <v>0</v>
      </c>
      <c r="S41" s="26">
        <f t="shared" si="47"/>
        <v>3843</v>
      </c>
      <c r="T41" s="26">
        <f t="shared" si="47"/>
        <v>0</v>
      </c>
      <c r="U41" s="26">
        <f t="shared" si="47"/>
        <v>0</v>
      </c>
      <c r="V41" s="26">
        <f t="shared" si="47"/>
        <v>3843</v>
      </c>
      <c r="W41" s="26">
        <f t="shared" si="47"/>
        <v>0</v>
      </c>
      <c r="X41" s="26">
        <f t="shared" si="47"/>
        <v>0</v>
      </c>
      <c r="Y41" s="26">
        <f t="shared" si="47"/>
        <v>3580</v>
      </c>
      <c r="Z41" s="26">
        <f t="shared" si="47"/>
        <v>-263</v>
      </c>
      <c r="AA41" s="26">
        <f t="shared" si="47"/>
        <v>0</v>
      </c>
      <c r="AB41" s="26">
        <f t="shared" si="47"/>
        <v>3580</v>
      </c>
      <c r="AC41" s="26">
        <f t="shared" si="47"/>
        <v>0</v>
      </c>
      <c r="AD41" s="45">
        <f t="shared" ref="AD41:AL41" si="48">SUM(AD37:AD40)</f>
        <v>0</v>
      </c>
      <c r="AE41" s="45">
        <f t="shared" si="48"/>
        <v>2887</v>
      </c>
      <c r="AF41" s="46">
        <f t="shared" si="48"/>
        <v>33.130000000000003</v>
      </c>
      <c r="AG41" s="45">
        <f t="shared" si="48"/>
        <v>1</v>
      </c>
      <c r="AH41" s="45">
        <f t="shared" si="48"/>
        <v>403</v>
      </c>
      <c r="AI41" s="45">
        <f t="shared" si="48"/>
        <v>0</v>
      </c>
      <c r="AJ41" s="45">
        <f t="shared" si="48"/>
        <v>119</v>
      </c>
      <c r="AK41" s="45">
        <f t="shared" si="48"/>
        <v>0</v>
      </c>
      <c r="AL41" s="45">
        <f t="shared" si="48"/>
        <v>31</v>
      </c>
      <c r="AM41" s="47">
        <f>L41*AF41/480/AG41</f>
        <v>0</v>
      </c>
      <c r="AN41" s="48">
        <f>M41*AF41/480/AH41</f>
        <v>0.65818129652605462</v>
      </c>
      <c r="AO41" s="49"/>
    </row>
    <row r="42" spans="1:41" s="60" customFormat="1" ht="15.75" thickBot="1" x14ac:dyDescent="0.3">
      <c r="A42" s="50"/>
      <c r="B42" s="51"/>
      <c r="C42" s="51"/>
      <c r="D42" s="51"/>
      <c r="E42" s="51"/>
      <c r="F42" s="52"/>
      <c r="G42" s="51"/>
      <c r="H42" s="51"/>
      <c r="I42" s="242"/>
      <c r="J42" s="54"/>
      <c r="K42" s="51"/>
      <c r="L42" s="55"/>
      <c r="M42" s="51"/>
      <c r="N42" s="51"/>
      <c r="O42" s="56"/>
      <c r="P42" s="51"/>
      <c r="Q42" s="51"/>
      <c r="R42" s="55"/>
      <c r="S42" s="51"/>
      <c r="T42" s="51"/>
      <c r="U42" s="55"/>
      <c r="V42" s="51"/>
      <c r="W42" s="51"/>
      <c r="X42" s="55"/>
      <c r="Y42" s="51"/>
      <c r="Z42" s="51"/>
      <c r="AA42" s="55"/>
      <c r="AB42" s="51"/>
      <c r="AC42" s="51"/>
      <c r="AD42" s="241"/>
      <c r="AE42" s="58"/>
      <c r="AF42" s="51"/>
      <c r="AG42" s="241"/>
      <c r="AH42" s="58"/>
      <c r="AI42" s="241"/>
      <c r="AJ42" s="58"/>
      <c r="AK42" s="241"/>
      <c r="AL42" s="58"/>
      <c r="AM42" s="241"/>
      <c r="AN42" s="55"/>
      <c r="AO42" s="59"/>
    </row>
    <row r="43" spans="1:41" s="60" customFormat="1" ht="15.75" thickBot="1" x14ac:dyDescent="0.3">
      <c r="A43" s="258" t="s">
        <v>47</v>
      </c>
      <c r="B43" s="259"/>
      <c r="C43" s="259"/>
      <c r="D43" s="259"/>
      <c r="E43" s="260"/>
      <c r="F43" s="63">
        <f>F41+F36</f>
        <v>56</v>
      </c>
      <c r="G43" s="64"/>
      <c r="H43" s="64"/>
      <c r="I43" s="63">
        <f>I41+I36</f>
        <v>300</v>
      </c>
      <c r="J43" s="64"/>
      <c r="K43" s="65">
        <f>K41+K36</f>
        <v>-413</v>
      </c>
      <c r="L43" s="66">
        <f>L41+L36</f>
        <v>199</v>
      </c>
      <c r="M43" s="64"/>
      <c r="N43" s="65">
        <f>N41+N36</f>
        <v>-898</v>
      </c>
      <c r="O43" s="66">
        <f>O41+O36</f>
        <v>199</v>
      </c>
      <c r="P43" s="64"/>
      <c r="Q43" s="65">
        <f>Q41+Q36</f>
        <v>-15</v>
      </c>
      <c r="R43" s="66">
        <f>R41+R36</f>
        <v>0</v>
      </c>
      <c r="S43" s="64"/>
      <c r="T43" s="65">
        <f>T41+T36</f>
        <v>-762</v>
      </c>
      <c r="U43" s="66">
        <f>U41+U36</f>
        <v>0</v>
      </c>
      <c r="V43" s="64"/>
      <c r="W43" s="65">
        <f>W41+W36</f>
        <v>-727</v>
      </c>
      <c r="X43" s="66">
        <f>X41+X36</f>
        <v>0</v>
      </c>
      <c r="Y43" s="64"/>
      <c r="Z43" s="65">
        <f>Z41+Z36</f>
        <v>-1898</v>
      </c>
      <c r="AA43" s="66">
        <f>AA41+AA36</f>
        <v>0</v>
      </c>
      <c r="AB43" s="64"/>
      <c r="AC43" s="65">
        <f>AC41+AC36</f>
        <v>0</v>
      </c>
      <c r="AD43" s="67">
        <f>AD41+AD36</f>
        <v>199</v>
      </c>
      <c r="AE43" s="65">
        <f>AE41+AE36</f>
        <v>8482</v>
      </c>
      <c r="AF43" s="64"/>
      <c r="AG43" s="63">
        <f>AG41+AG36</f>
        <v>24</v>
      </c>
      <c r="AH43" s="68"/>
      <c r="AI43" s="63">
        <f>AI41+AI36</f>
        <v>8</v>
      </c>
      <c r="AJ43" s="68"/>
      <c r="AK43" s="63">
        <f>AK41+AK36</f>
        <v>2</v>
      </c>
      <c r="AL43" s="68"/>
      <c r="AM43" s="69">
        <f>SUM(AM41+AM36)/2</f>
        <v>0.33947390172101455</v>
      </c>
      <c r="AN43" s="69">
        <f>SUM(AN41+AN36)/2</f>
        <v>0.7759458544748401</v>
      </c>
      <c r="AO43" s="70"/>
    </row>
    <row r="44" spans="1:41" s="60" customFormat="1" ht="15" x14ac:dyDescent="0.25">
      <c r="O44" s="71"/>
    </row>
    <row r="45" spans="1:41" s="60" customFormat="1" ht="15" x14ac:dyDescent="0.25">
      <c r="O45" s="71"/>
      <c r="W45" s="60" t="s">
        <v>5</v>
      </c>
      <c r="Z45" s="60" t="s">
        <v>5</v>
      </c>
      <c r="AC45" s="60" t="s">
        <v>5</v>
      </c>
    </row>
  </sheetData>
  <mergeCells count="105"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AM4:AN4"/>
    <mergeCell ref="AO4:AO5"/>
    <mergeCell ref="A6:A36"/>
    <mergeCell ref="B6:B9"/>
    <mergeCell ref="C6:C18"/>
    <mergeCell ref="AD6:AD19"/>
    <mergeCell ref="AE6:AE19"/>
    <mergeCell ref="AF6:AF19"/>
    <mergeCell ref="AG6:AG19"/>
    <mergeCell ref="AH6:AH19"/>
    <mergeCell ref="X4:Z4"/>
    <mergeCell ref="AA4:AC4"/>
    <mergeCell ref="AD4:AE4"/>
    <mergeCell ref="AG4:AH4"/>
    <mergeCell ref="AI4:AJ4"/>
    <mergeCell ref="AK4:AL4"/>
    <mergeCell ref="F4:H4"/>
    <mergeCell ref="I4:K4"/>
    <mergeCell ref="L4:N4"/>
    <mergeCell ref="O4:Q4"/>
    <mergeCell ref="R4:T4"/>
    <mergeCell ref="U4:W4"/>
    <mergeCell ref="AO6:AO19"/>
    <mergeCell ref="B10:B13"/>
    <mergeCell ref="B14:B18"/>
    <mergeCell ref="B19:D19"/>
    <mergeCell ref="B20:B26"/>
    <mergeCell ref="C20:C26"/>
    <mergeCell ref="AD20:AD27"/>
    <mergeCell ref="AE20:AE27"/>
    <mergeCell ref="AF20:AF27"/>
    <mergeCell ref="AG20:AG27"/>
    <mergeCell ref="AI6:AI19"/>
    <mergeCell ref="AJ6:AJ19"/>
    <mergeCell ref="AK6:AK19"/>
    <mergeCell ref="AL6:AL19"/>
    <mergeCell ref="AM6:AM19"/>
    <mergeCell ref="AN6:AN19"/>
    <mergeCell ref="AN20:AN27"/>
    <mergeCell ref="AO20:AO27"/>
    <mergeCell ref="B27:D27"/>
    <mergeCell ref="B28:B30"/>
    <mergeCell ref="C28:C30"/>
    <mergeCell ref="AD28:AD31"/>
    <mergeCell ref="AE28:AE31"/>
    <mergeCell ref="AF28:AF31"/>
    <mergeCell ref="AG28:AG31"/>
    <mergeCell ref="AH28:AH31"/>
    <mergeCell ref="AH20:AH27"/>
    <mergeCell ref="AI20:AI27"/>
    <mergeCell ref="AJ20:AJ27"/>
    <mergeCell ref="AK20:AK27"/>
    <mergeCell ref="AL20:AL27"/>
    <mergeCell ref="AM20:AM27"/>
    <mergeCell ref="AM32:AM35"/>
    <mergeCell ref="AN32:AN35"/>
    <mergeCell ref="AO32:AO35"/>
    <mergeCell ref="AO28:AO31"/>
    <mergeCell ref="B31:D31"/>
    <mergeCell ref="B32:B34"/>
    <mergeCell ref="C32:C34"/>
    <mergeCell ref="AD32:AD35"/>
    <mergeCell ref="AE32:AE35"/>
    <mergeCell ref="AF32:AF35"/>
    <mergeCell ref="AG32:AG35"/>
    <mergeCell ref="AH32:AH35"/>
    <mergeCell ref="AI32:AI35"/>
    <mergeCell ref="AI28:AI31"/>
    <mergeCell ref="AJ28:AJ31"/>
    <mergeCell ref="AK28:AK31"/>
    <mergeCell ref="AL28:AL31"/>
    <mergeCell ref="AM28:AM31"/>
    <mergeCell ref="AN28:AN31"/>
    <mergeCell ref="B35:D35"/>
    <mergeCell ref="B36:D36"/>
    <mergeCell ref="A37:A41"/>
    <mergeCell ref="C37:C39"/>
    <mergeCell ref="AD37:AD40"/>
    <mergeCell ref="AE37:AE40"/>
    <mergeCell ref="AJ32:AJ35"/>
    <mergeCell ref="AK32:AK35"/>
    <mergeCell ref="AL32:AL35"/>
    <mergeCell ref="A43:E43"/>
    <mergeCell ref="AL37:AL40"/>
    <mergeCell ref="AM37:AM40"/>
    <mergeCell ref="AN37:AN40"/>
    <mergeCell ref="AO37:AO40"/>
    <mergeCell ref="B40:D40"/>
    <mergeCell ref="B41:D41"/>
    <mergeCell ref="AF37:AF40"/>
    <mergeCell ref="AG37:AG40"/>
    <mergeCell ref="AH37:AH40"/>
    <mergeCell ref="AI37:AI40"/>
    <mergeCell ref="AJ37:AJ40"/>
    <mergeCell ref="AK37:AK40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43" max="55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12" sqref="A12:A16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27" style="1" bestFit="1" customWidth="1"/>
    <col min="4" max="4" width="26.85546875" style="1" customWidth="1"/>
    <col min="5" max="5" width="11.5703125" style="1" bestFit="1" customWidth="1"/>
    <col min="6" max="6" width="8.140625" style="1" bestFit="1" customWidth="1"/>
    <col min="7" max="7" width="7.7109375" style="1" bestFit="1" customWidth="1"/>
    <col min="8" max="8" width="7.42578125" style="1" bestFit="1" customWidth="1"/>
    <col min="9" max="9" width="8.140625" style="1" bestFit="1" customWidth="1"/>
    <col min="10" max="10" width="7.7109375" style="1" bestFit="1" customWidth="1"/>
    <col min="11" max="11" width="7.42578125" style="1" bestFit="1" customWidth="1"/>
    <col min="12" max="12" width="8.140625" style="1" customWidth="1"/>
    <col min="13" max="13" width="7.7109375" style="1" bestFit="1" customWidth="1"/>
    <col min="14" max="14" width="7.42578125" style="1" customWidth="1"/>
    <col min="15" max="15" width="7.85546875" style="72" customWidth="1"/>
    <col min="16" max="16" width="7.7109375" style="1" bestFit="1" customWidth="1"/>
    <col min="17" max="17" width="6.140625" style="1" bestFit="1" customWidth="1"/>
    <col min="18" max="18" width="7.85546875" style="1" customWidth="1"/>
    <col min="19" max="19" width="7.7109375" style="1" bestFit="1" customWidth="1"/>
    <col min="20" max="20" width="7.42578125" style="1" bestFit="1" customWidth="1"/>
    <col min="21" max="21" width="10.140625" style="1" customWidth="1"/>
    <col min="22" max="22" width="7.7109375" style="1" bestFit="1" customWidth="1"/>
    <col min="23" max="23" width="6.140625" style="1" bestFit="1" customWidth="1"/>
    <col min="24" max="24" width="7.85546875" style="1" bestFit="1" customWidth="1"/>
    <col min="25" max="25" width="7.7109375" style="1" bestFit="1" customWidth="1"/>
    <col min="26" max="26" width="7.42578125" style="1" bestFit="1" customWidth="1"/>
    <col min="27" max="27" width="8.140625" style="1" customWidth="1"/>
    <col min="28" max="28" width="7.7109375" style="1" bestFit="1" customWidth="1"/>
    <col min="29" max="29" width="5.42578125" style="1" bestFit="1" customWidth="1"/>
    <col min="30" max="30" width="8.140625" style="1" bestFit="1" customWidth="1"/>
    <col min="31" max="31" width="7.710937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45355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51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7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8" t="s">
        <v>26</v>
      </c>
      <c r="G5" s="9" t="s">
        <v>27</v>
      </c>
      <c r="H5" s="10" t="s">
        <v>28</v>
      </c>
      <c r="I5" s="7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12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7" t="s">
        <v>26</v>
      </c>
      <c r="AE5" s="9" t="s">
        <v>27</v>
      </c>
      <c r="AF5" s="8" t="s">
        <v>26</v>
      </c>
      <c r="AG5" s="8" t="s">
        <v>26</v>
      </c>
      <c r="AH5" s="9" t="s">
        <v>27</v>
      </c>
      <c r="AI5" s="8" t="s">
        <v>26</v>
      </c>
      <c r="AJ5" s="15" t="s">
        <v>27</v>
      </c>
      <c r="AK5" s="8" t="s">
        <v>26</v>
      </c>
      <c r="AL5" s="9" t="s">
        <v>27</v>
      </c>
      <c r="AM5" s="7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78" t="s">
        <v>36</v>
      </c>
      <c r="C6" s="280" t="s">
        <v>37</v>
      </c>
      <c r="D6" s="16" t="s">
        <v>38</v>
      </c>
      <c r="E6" s="17">
        <v>680</v>
      </c>
      <c r="F6" s="17"/>
      <c r="G6" s="17">
        <f>680</f>
        <v>680</v>
      </c>
      <c r="H6" s="17">
        <f t="shared" ref="H6:H9" si="0">G6-E6</f>
        <v>0</v>
      </c>
      <c r="I6" s="17"/>
      <c r="J6" s="17">
        <f>428+252</f>
        <v>680</v>
      </c>
      <c r="K6" s="17">
        <f t="shared" ref="K6:K9" si="1">J6-G6</f>
        <v>0</v>
      </c>
      <c r="L6" s="17">
        <f>206-62</f>
        <v>144</v>
      </c>
      <c r="M6" s="17">
        <f>62+144</f>
        <v>206</v>
      </c>
      <c r="N6" s="17">
        <f t="shared" ref="N6:N9" si="2">M6-J6</f>
        <v>-474</v>
      </c>
      <c r="O6" s="17">
        <v>144</v>
      </c>
      <c r="P6" s="17">
        <f>62+144</f>
        <v>206</v>
      </c>
      <c r="Q6" s="17">
        <f t="shared" ref="Q6:Q9" si="3">P6-M6</f>
        <v>0</v>
      </c>
      <c r="R6" s="18"/>
      <c r="S6" s="18"/>
      <c r="T6" s="18">
        <f t="shared" ref="T6:T9" si="4">S6-P6</f>
        <v>-206</v>
      </c>
      <c r="U6" s="18"/>
      <c r="V6" s="18"/>
      <c r="W6" s="18">
        <f t="shared" ref="W6:W9" si="5">V6-S6</f>
        <v>0</v>
      </c>
      <c r="X6" s="17"/>
      <c r="Y6" s="17"/>
      <c r="Z6" s="17">
        <f t="shared" ref="Z6:Z9" si="6">Y6-P6</f>
        <v>-206</v>
      </c>
      <c r="AA6" s="17"/>
      <c r="AB6" s="17"/>
      <c r="AC6" s="19">
        <f t="shared" ref="AC6:AC9" si="7">AB6-Y6</f>
        <v>0</v>
      </c>
      <c r="AD6" s="267">
        <f>L10</f>
        <v>144</v>
      </c>
      <c r="AE6" s="267">
        <f>62+144</f>
        <v>206</v>
      </c>
      <c r="AF6" s="282">
        <v>24.192</v>
      </c>
      <c r="AG6" s="267">
        <v>20</v>
      </c>
      <c r="AH6" s="277">
        <f>6+8+6+10+10+10+20</f>
        <v>70</v>
      </c>
      <c r="AI6" s="267">
        <v>5</v>
      </c>
      <c r="AJ6" s="277">
        <f>1+2+2+2+3+3+5</f>
        <v>18</v>
      </c>
      <c r="AK6" s="267">
        <v>0</v>
      </c>
      <c r="AL6" s="277">
        <f>1+1+1+1</f>
        <v>4</v>
      </c>
      <c r="AM6" s="270">
        <f>L10*AF6/480/AG6</f>
        <v>0.36287999999999998</v>
      </c>
      <c r="AN6" s="270">
        <f>M10*AF6/480/AH6</f>
        <v>0.14831999999999998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/>
      <c r="M7" s="20"/>
      <c r="N7" s="20">
        <f t="shared" si="2"/>
        <v>-599</v>
      </c>
      <c r="O7" s="20"/>
      <c r="P7" s="20"/>
      <c r="Q7" s="20">
        <f t="shared" si="3"/>
        <v>0</v>
      </c>
      <c r="R7" s="20"/>
      <c r="S7" s="20"/>
      <c r="T7" s="20">
        <f t="shared" si="4"/>
        <v>0</v>
      </c>
      <c r="U7" s="20"/>
      <c r="V7" s="20"/>
      <c r="W7" s="20">
        <f t="shared" si="5"/>
        <v>0</v>
      </c>
      <c r="X7" s="20"/>
      <c r="Y7" s="20"/>
      <c r="Z7" s="20">
        <f t="shared" si="6"/>
        <v>0</v>
      </c>
      <c r="AA7" s="20"/>
      <c r="AB7" s="20"/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/>
      <c r="M8" s="20"/>
      <c r="N8" s="20">
        <f t="shared" si="2"/>
        <v>-677</v>
      </c>
      <c r="O8" s="20"/>
      <c r="P8" s="20"/>
      <c r="Q8" s="20">
        <f t="shared" si="3"/>
        <v>0</v>
      </c>
      <c r="R8" s="20"/>
      <c r="S8" s="20"/>
      <c r="T8" s="20">
        <f t="shared" si="4"/>
        <v>0</v>
      </c>
      <c r="U8" s="20"/>
      <c r="V8" s="20"/>
      <c r="W8" s="20">
        <f t="shared" si="5"/>
        <v>0</v>
      </c>
      <c r="X8" s="20"/>
      <c r="Y8" s="20"/>
      <c r="Z8" s="20">
        <f t="shared" si="6"/>
        <v>0</v>
      </c>
      <c r="AA8" s="20"/>
      <c r="AB8" s="20"/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ht="18" thickBot="1" x14ac:dyDescent="0.3">
      <c r="A9" s="283"/>
      <c r="B9" s="279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/>
      <c r="N9" s="20">
        <f t="shared" si="2"/>
        <v>-106</v>
      </c>
      <c r="O9" s="20"/>
      <c r="P9" s="20"/>
      <c r="Q9" s="20">
        <f t="shared" si="3"/>
        <v>0</v>
      </c>
      <c r="R9" s="22"/>
      <c r="S9" s="22"/>
      <c r="T9" s="22">
        <f t="shared" si="4"/>
        <v>0</v>
      </c>
      <c r="U9" s="22"/>
      <c r="V9" s="22"/>
      <c r="W9" s="22">
        <f t="shared" si="5"/>
        <v>0</v>
      </c>
      <c r="X9" s="20"/>
      <c r="Y9" s="20"/>
      <c r="Z9" s="20">
        <f t="shared" si="6"/>
        <v>0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ht="18" thickBot="1" x14ac:dyDescent="0.3">
      <c r="A10" s="283"/>
      <c r="B10" s="272" t="s">
        <v>34</v>
      </c>
      <c r="C10" s="273"/>
      <c r="D10" s="274"/>
      <c r="E10" s="23">
        <f>+SUM(E6:E9)</f>
        <v>2062</v>
      </c>
      <c r="F10" s="23">
        <f>+SUM(F6:F9)</f>
        <v>0</v>
      </c>
      <c r="G10" s="23">
        <f>SUM(G6:G9)</f>
        <v>2062</v>
      </c>
      <c r="H10" s="23">
        <f t="shared" ref="H10:AC10" si="8">+SUM(H6:H9)</f>
        <v>0</v>
      </c>
      <c r="I10" s="23">
        <f t="shared" si="8"/>
        <v>0</v>
      </c>
      <c r="J10" s="23">
        <f t="shared" si="8"/>
        <v>2062</v>
      </c>
      <c r="K10" s="23">
        <f t="shared" si="8"/>
        <v>0</v>
      </c>
      <c r="L10" s="23">
        <f t="shared" si="8"/>
        <v>144</v>
      </c>
      <c r="M10" s="23">
        <f t="shared" si="8"/>
        <v>206</v>
      </c>
      <c r="N10" s="23">
        <f t="shared" si="8"/>
        <v>-1856</v>
      </c>
      <c r="O10" s="23">
        <f t="shared" si="8"/>
        <v>144</v>
      </c>
      <c r="P10" s="23">
        <f t="shared" si="8"/>
        <v>206</v>
      </c>
      <c r="Q10" s="23">
        <f t="shared" si="8"/>
        <v>0</v>
      </c>
      <c r="R10" s="24">
        <f t="shared" si="8"/>
        <v>0</v>
      </c>
      <c r="S10" s="24">
        <f t="shared" si="8"/>
        <v>0</v>
      </c>
      <c r="T10" s="24">
        <f t="shared" si="8"/>
        <v>-206</v>
      </c>
      <c r="U10" s="24">
        <f t="shared" si="8"/>
        <v>0</v>
      </c>
      <c r="V10" s="24">
        <f t="shared" si="8"/>
        <v>0</v>
      </c>
      <c r="W10" s="24">
        <f t="shared" si="8"/>
        <v>0</v>
      </c>
      <c r="X10" s="23">
        <f t="shared" si="8"/>
        <v>0</v>
      </c>
      <c r="Y10" s="23">
        <f t="shared" si="8"/>
        <v>0</v>
      </c>
      <c r="Z10" s="23">
        <f t="shared" si="8"/>
        <v>-206</v>
      </c>
      <c r="AA10" s="23">
        <f t="shared" si="8"/>
        <v>0</v>
      </c>
      <c r="AB10" s="23">
        <f t="shared" si="8"/>
        <v>0</v>
      </c>
      <c r="AC10" s="15">
        <f t="shared" si="8"/>
        <v>0</v>
      </c>
      <c r="AD10" s="264"/>
      <c r="AE10" s="264"/>
      <c r="AF10" s="269"/>
      <c r="AG10" s="264"/>
      <c r="AH10" s="262"/>
      <c r="AI10" s="264"/>
      <c r="AJ10" s="262"/>
      <c r="AK10" s="264"/>
      <c r="AL10" s="262"/>
      <c r="AM10" s="250"/>
      <c r="AN10" s="250"/>
      <c r="AO10" s="252"/>
    </row>
    <row r="11" spans="1:41" ht="18" thickBot="1" x14ac:dyDescent="0.3">
      <c r="A11" s="284"/>
      <c r="B11" s="275" t="s">
        <v>40</v>
      </c>
      <c r="C11" s="275"/>
      <c r="D11" s="276"/>
      <c r="E11" s="26">
        <f>E10</f>
        <v>2062</v>
      </c>
      <c r="F11" s="26">
        <f t="shared" ref="F11:AC11" si="9">F10</f>
        <v>0</v>
      </c>
      <c r="G11" s="26">
        <f t="shared" si="9"/>
        <v>2062</v>
      </c>
      <c r="H11" s="26">
        <f t="shared" si="9"/>
        <v>0</v>
      </c>
      <c r="I11" s="26">
        <f t="shared" si="9"/>
        <v>0</v>
      </c>
      <c r="J11" s="26">
        <f t="shared" si="9"/>
        <v>2062</v>
      </c>
      <c r="K11" s="26">
        <f t="shared" si="9"/>
        <v>0</v>
      </c>
      <c r="L11" s="26">
        <f t="shared" si="9"/>
        <v>144</v>
      </c>
      <c r="M11" s="26">
        <f t="shared" si="9"/>
        <v>206</v>
      </c>
      <c r="N11" s="26">
        <f t="shared" si="9"/>
        <v>-1856</v>
      </c>
      <c r="O11" s="26">
        <f t="shared" si="9"/>
        <v>144</v>
      </c>
      <c r="P11" s="26">
        <f t="shared" si="9"/>
        <v>206</v>
      </c>
      <c r="Q11" s="26">
        <f t="shared" si="9"/>
        <v>0</v>
      </c>
      <c r="R11" s="26">
        <f t="shared" si="9"/>
        <v>0</v>
      </c>
      <c r="S11" s="26">
        <f t="shared" si="9"/>
        <v>0</v>
      </c>
      <c r="T11" s="26">
        <f t="shared" si="9"/>
        <v>-206</v>
      </c>
      <c r="U11" s="26">
        <f t="shared" si="9"/>
        <v>0</v>
      </c>
      <c r="V11" s="26">
        <f t="shared" si="9"/>
        <v>0</v>
      </c>
      <c r="W11" s="26">
        <f t="shared" si="9"/>
        <v>0</v>
      </c>
      <c r="X11" s="26">
        <f t="shared" si="9"/>
        <v>0</v>
      </c>
      <c r="Y11" s="26">
        <f t="shared" si="9"/>
        <v>0</v>
      </c>
      <c r="Z11" s="26">
        <f t="shared" si="9"/>
        <v>-206</v>
      </c>
      <c r="AA11" s="26">
        <f t="shared" si="9"/>
        <v>0</v>
      </c>
      <c r="AB11" s="26">
        <f t="shared" si="9"/>
        <v>0</v>
      </c>
      <c r="AC11" s="26">
        <f t="shared" si="9"/>
        <v>0</v>
      </c>
      <c r="AD11" s="27">
        <f t="shared" ref="AD11:AL11" si="10">SUM(AD6:AD10)</f>
        <v>144</v>
      </c>
      <c r="AE11" s="27">
        <f t="shared" si="10"/>
        <v>206</v>
      </c>
      <c r="AF11" s="28">
        <f t="shared" si="10"/>
        <v>24.192</v>
      </c>
      <c r="AG11" s="27">
        <f t="shared" si="10"/>
        <v>20</v>
      </c>
      <c r="AH11" s="27">
        <f t="shared" si="10"/>
        <v>70</v>
      </c>
      <c r="AI11" s="27">
        <f t="shared" si="10"/>
        <v>5</v>
      </c>
      <c r="AJ11" s="27">
        <f t="shared" si="10"/>
        <v>18</v>
      </c>
      <c r="AK11" s="27">
        <f t="shared" si="10"/>
        <v>0</v>
      </c>
      <c r="AL11" s="27">
        <f t="shared" si="10"/>
        <v>4</v>
      </c>
      <c r="AM11" s="29">
        <f>L11*AF11/480/AG11</f>
        <v>0.36287999999999998</v>
      </c>
      <c r="AN11" s="30">
        <f>M11*AF11/480/AH11</f>
        <v>0.14831999999999998</v>
      </c>
      <c r="AO11" s="31"/>
    </row>
    <row r="12" spans="1:41" ht="18.75" customHeight="1" x14ac:dyDescent="0.25">
      <c r="A12" s="265" t="s">
        <v>32</v>
      </c>
      <c r="B12" s="32" t="s">
        <v>41</v>
      </c>
      <c r="C12" s="33" t="s">
        <v>37</v>
      </c>
      <c r="D12" s="34" t="s">
        <v>42</v>
      </c>
      <c r="E12" s="17">
        <v>1645</v>
      </c>
      <c r="F12" s="17"/>
      <c r="G12" s="17">
        <f>1433</f>
        <v>1433</v>
      </c>
      <c r="H12" s="17">
        <f t="shared" ref="H12:H14" si="11">G12-E12</f>
        <v>-212</v>
      </c>
      <c r="I12" s="17"/>
      <c r="J12" s="17">
        <f>100+200+300+350+400+83</f>
        <v>1433</v>
      </c>
      <c r="K12" s="17">
        <f t="shared" ref="K12:K14" si="12">J12-G12</f>
        <v>0</v>
      </c>
      <c r="L12" s="17"/>
      <c r="M12" s="17">
        <f>102+201+302+351-99-125</f>
        <v>732</v>
      </c>
      <c r="N12" s="17">
        <f t="shared" ref="N12:N14" si="13">M12-J12</f>
        <v>-701</v>
      </c>
      <c r="O12" s="17">
        <f>526-410</f>
        <v>116</v>
      </c>
      <c r="P12" s="17">
        <f>108+163+112+27+116</f>
        <v>526</v>
      </c>
      <c r="Q12" s="17">
        <f t="shared" ref="Q12:Q14" si="14">P12-M12</f>
        <v>-206</v>
      </c>
      <c r="R12" s="17"/>
      <c r="S12" s="17">
        <f>20+130+200</f>
        <v>350</v>
      </c>
      <c r="T12" s="35">
        <f t="shared" ref="T12:T14" si="15">S12-P12</f>
        <v>-176</v>
      </c>
      <c r="U12" s="17"/>
      <c r="V12" s="17">
        <f>20+330</f>
        <v>350</v>
      </c>
      <c r="W12" s="35">
        <f t="shared" ref="W12:W14" si="16">V12-S12</f>
        <v>0</v>
      </c>
      <c r="X12" s="17"/>
      <c r="Y12" s="17"/>
      <c r="Z12" s="17">
        <f t="shared" ref="Z12:Z14" si="17">Y12-P12</f>
        <v>-526</v>
      </c>
      <c r="AA12" s="17"/>
      <c r="AB12" s="17"/>
      <c r="AC12" s="33">
        <f t="shared" ref="AC12:AC14" si="18">AB12-Y12</f>
        <v>0</v>
      </c>
      <c r="AD12" s="267">
        <f>L15</f>
        <v>0</v>
      </c>
      <c r="AE12" s="263">
        <f>300</f>
        <v>300</v>
      </c>
      <c r="AF12" s="268">
        <v>33.130000000000003</v>
      </c>
      <c r="AG12" s="263">
        <v>10</v>
      </c>
      <c r="AH12" s="261">
        <f>2+10+8+8+8+6+6+6+9+5+6+8+7+7+6+6+6+6+6+6+7+7+7+7+6+7+17+16+16+22+21+21+10</f>
        <v>296</v>
      </c>
      <c r="AI12" s="263">
        <v>6</v>
      </c>
      <c r="AJ12" s="261">
        <f>1+1+1+1+1+1+1+2+2+2+2+2+2+2+2+2+2+1+1+1+1+1+1+1+1+4+3+4+5+8+8+6</f>
        <v>73</v>
      </c>
      <c r="AK12" s="263">
        <v>2</v>
      </c>
      <c r="AL12" s="261">
        <f>1+1+1+1+1+1+1+1+1+1+1+1+1+1+1+1+2+2+2+2</f>
        <v>24</v>
      </c>
      <c r="AM12" s="249">
        <f>L15*AF12/480/AG12</f>
        <v>0</v>
      </c>
      <c r="AN12" s="249">
        <f>M15*AF12/480/AH12</f>
        <v>0.29287218468468473</v>
      </c>
      <c r="AO12" s="251"/>
    </row>
    <row r="13" spans="1:41" ht="18.75" customHeight="1" x14ac:dyDescent="0.25">
      <c r="A13" s="265"/>
      <c r="B13" s="36" t="s">
        <v>43</v>
      </c>
      <c r="C13" s="37" t="s">
        <v>37</v>
      </c>
      <c r="D13" s="38" t="s">
        <v>44</v>
      </c>
      <c r="E13" s="20">
        <v>1245</v>
      </c>
      <c r="F13" s="20"/>
      <c r="G13" s="20">
        <f>1238</f>
        <v>1238</v>
      </c>
      <c r="H13" s="20">
        <f t="shared" si="11"/>
        <v>-7</v>
      </c>
      <c r="I13" s="20"/>
      <c r="J13" s="20">
        <f>650+588</f>
        <v>1238</v>
      </c>
      <c r="K13" s="20">
        <f t="shared" si="12"/>
        <v>0</v>
      </c>
      <c r="L13" s="20"/>
      <c r="M13" s="20">
        <f>300+99+125</f>
        <v>524</v>
      </c>
      <c r="N13" s="20">
        <f t="shared" si="13"/>
        <v>-714</v>
      </c>
      <c r="O13" s="20">
        <f>524-399</f>
        <v>125</v>
      </c>
      <c r="P13" s="20">
        <f>36+128+235+125</f>
        <v>524</v>
      </c>
      <c r="Q13" s="20">
        <f t="shared" si="14"/>
        <v>0</v>
      </c>
      <c r="R13" s="20"/>
      <c r="S13" s="20">
        <f>20+300</f>
        <v>320</v>
      </c>
      <c r="T13" s="39">
        <f t="shared" si="15"/>
        <v>-204</v>
      </c>
      <c r="U13" s="20"/>
      <c r="V13" s="20">
        <f>20</f>
        <v>20</v>
      </c>
      <c r="W13" s="39">
        <f t="shared" si="16"/>
        <v>-300</v>
      </c>
      <c r="X13" s="20"/>
      <c r="Y13" s="20"/>
      <c r="Z13" s="20">
        <f t="shared" si="17"/>
        <v>-524</v>
      </c>
      <c r="AA13" s="20"/>
      <c r="AB13" s="20"/>
      <c r="AC13" s="37">
        <f t="shared" si="18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ht="18.75" customHeight="1" thickBot="1" x14ac:dyDescent="0.3">
      <c r="A14" s="265"/>
      <c r="B14" s="40" t="s">
        <v>45</v>
      </c>
      <c r="C14" s="41" t="s">
        <v>37</v>
      </c>
      <c r="D14" s="42" t="s">
        <v>46</v>
      </c>
      <c r="E14" s="25">
        <v>1300</v>
      </c>
      <c r="F14" s="25"/>
      <c r="G14" s="25">
        <f>1183</f>
        <v>1183</v>
      </c>
      <c r="H14" s="25">
        <f t="shared" si="11"/>
        <v>-117</v>
      </c>
      <c r="I14" s="25"/>
      <c r="J14" s="25">
        <f>520+663</f>
        <v>1183</v>
      </c>
      <c r="K14" s="25">
        <f t="shared" si="12"/>
        <v>0</v>
      </c>
      <c r="L14" s="25"/>
      <c r="M14" s="25"/>
      <c r="N14" s="25">
        <f t="shared" si="13"/>
        <v>-1183</v>
      </c>
      <c r="O14" s="25"/>
      <c r="P14" s="25"/>
      <c r="Q14" s="25">
        <f t="shared" si="14"/>
        <v>0</v>
      </c>
      <c r="R14" s="25"/>
      <c r="S14" s="25"/>
      <c r="T14" s="43">
        <f t="shared" si="15"/>
        <v>0</v>
      </c>
      <c r="U14" s="25"/>
      <c r="V14" s="25"/>
      <c r="W14" s="43">
        <f t="shared" si="16"/>
        <v>0</v>
      </c>
      <c r="X14" s="25"/>
      <c r="Y14" s="25"/>
      <c r="Z14" s="25">
        <f t="shared" si="17"/>
        <v>0</v>
      </c>
      <c r="AA14" s="25"/>
      <c r="AB14" s="25"/>
      <c r="AC14" s="44">
        <f t="shared" si="18"/>
        <v>0</v>
      </c>
      <c r="AD14" s="263"/>
      <c r="AE14" s="263"/>
      <c r="AF14" s="268"/>
      <c r="AG14" s="263"/>
      <c r="AH14" s="261"/>
      <c r="AI14" s="263"/>
      <c r="AJ14" s="261"/>
      <c r="AK14" s="263"/>
      <c r="AL14" s="261"/>
      <c r="AM14" s="249"/>
      <c r="AN14" s="249"/>
      <c r="AO14" s="251"/>
    </row>
    <row r="15" spans="1:41" ht="18" thickBot="1" x14ac:dyDescent="0.3">
      <c r="A15" s="265"/>
      <c r="B15" s="253" t="s">
        <v>34</v>
      </c>
      <c r="C15" s="254"/>
      <c r="D15" s="255"/>
      <c r="E15" s="24">
        <f>+SUM(E12:E14)</f>
        <v>4190</v>
      </c>
      <c r="F15" s="24">
        <f t="shared" ref="F15:AC15" si="19">+SUM(F12:F14)</f>
        <v>0</v>
      </c>
      <c r="G15" s="24">
        <f t="shared" si="19"/>
        <v>3854</v>
      </c>
      <c r="H15" s="24">
        <f t="shared" si="19"/>
        <v>-336</v>
      </c>
      <c r="I15" s="24">
        <f t="shared" si="19"/>
        <v>0</v>
      </c>
      <c r="J15" s="24">
        <f t="shared" si="19"/>
        <v>3854</v>
      </c>
      <c r="K15" s="24">
        <f t="shared" si="19"/>
        <v>0</v>
      </c>
      <c r="L15" s="24">
        <f t="shared" si="19"/>
        <v>0</v>
      </c>
      <c r="M15" s="24">
        <f t="shared" si="19"/>
        <v>1256</v>
      </c>
      <c r="N15" s="24">
        <f t="shared" si="19"/>
        <v>-2598</v>
      </c>
      <c r="O15" s="24">
        <f t="shared" si="19"/>
        <v>241</v>
      </c>
      <c r="P15" s="24">
        <f t="shared" si="19"/>
        <v>1050</v>
      </c>
      <c r="Q15" s="24">
        <f t="shared" si="19"/>
        <v>-206</v>
      </c>
      <c r="R15" s="24">
        <f t="shared" si="19"/>
        <v>0</v>
      </c>
      <c r="S15" s="24">
        <f t="shared" si="19"/>
        <v>670</v>
      </c>
      <c r="T15" s="24">
        <f t="shared" si="19"/>
        <v>-380</v>
      </c>
      <c r="U15" s="24">
        <f t="shared" si="19"/>
        <v>0</v>
      </c>
      <c r="V15" s="24">
        <f t="shared" si="19"/>
        <v>370</v>
      </c>
      <c r="W15" s="24">
        <f t="shared" si="19"/>
        <v>-300</v>
      </c>
      <c r="X15" s="24">
        <f t="shared" si="19"/>
        <v>0</v>
      </c>
      <c r="Y15" s="24">
        <f t="shared" si="19"/>
        <v>0</v>
      </c>
      <c r="Z15" s="24">
        <f t="shared" si="19"/>
        <v>-1050</v>
      </c>
      <c r="AA15" s="24">
        <f t="shared" si="19"/>
        <v>0</v>
      </c>
      <c r="AB15" s="24">
        <f t="shared" si="19"/>
        <v>0</v>
      </c>
      <c r="AC15" s="24">
        <f t="shared" si="19"/>
        <v>0</v>
      </c>
      <c r="AD15" s="264"/>
      <c r="AE15" s="264"/>
      <c r="AF15" s="269"/>
      <c r="AG15" s="264"/>
      <c r="AH15" s="262"/>
      <c r="AI15" s="264"/>
      <c r="AJ15" s="262"/>
      <c r="AK15" s="264"/>
      <c r="AL15" s="262"/>
      <c r="AM15" s="250"/>
      <c r="AN15" s="250"/>
      <c r="AO15" s="252"/>
    </row>
    <row r="16" spans="1:41" ht="18" customHeight="1" thickBot="1" x14ac:dyDescent="0.3">
      <c r="A16" s="266"/>
      <c r="B16" s="256" t="s">
        <v>40</v>
      </c>
      <c r="C16" s="256"/>
      <c r="D16" s="257"/>
      <c r="E16" s="26">
        <f>E15</f>
        <v>4190</v>
      </c>
      <c r="F16" s="26">
        <f t="shared" ref="F16:AC16" si="20">F15</f>
        <v>0</v>
      </c>
      <c r="G16" s="26">
        <f t="shared" si="20"/>
        <v>3854</v>
      </c>
      <c r="H16" s="26">
        <f t="shared" si="20"/>
        <v>-336</v>
      </c>
      <c r="I16" s="26">
        <f t="shared" si="20"/>
        <v>0</v>
      </c>
      <c r="J16" s="26">
        <f t="shared" si="20"/>
        <v>3854</v>
      </c>
      <c r="K16" s="26">
        <f t="shared" si="20"/>
        <v>0</v>
      </c>
      <c r="L16" s="26">
        <f t="shared" si="20"/>
        <v>0</v>
      </c>
      <c r="M16" s="26">
        <f t="shared" si="20"/>
        <v>1256</v>
      </c>
      <c r="N16" s="26">
        <f t="shared" si="20"/>
        <v>-2598</v>
      </c>
      <c r="O16" s="26">
        <f t="shared" si="20"/>
        <v>241</v>
      </c>
      <c r="P16" s="26">
        <f t="shared" si="20"/>
        <v>1050</v>
      </c>
      <c r="Q16" s="26">
        <f t="shared" si="20"/>
        <v>-206</v>
      </c>
      <c r="R16" s="26">
        <f t="shared" si="20"/>
        <v>0</v>
      </c>
      <c r="S16" s="26">
        <f t="shared" si="20"/>
        <v>670</v>
      </c>
      <c r="T16" s="26">
        <f t="shared" si="20"/>
        <v>-380</v>
      </c>
      <c r="U16" s="26">
        <f t="shared" si="20"/>
        <v>0</v>
      </c>
      <c r="V16" s="26">
        <f t="shared" si="20"/>
        <v>370</v>
      </c>
      <c r="W16" s="26">
        <f t="shared" si="20"/>
        <v>-300</v>
      </c>
      <c r="X16" s="26">
        <f t="shared" si="20"/>
        <v>0</v>
      </c>
      <c r="Y16" s="26">
        <f t="shared" si="20"/>
        <v>0</v>
      </c>
      <c r="Z16" s="26">
        <f t="shared" si="20"/>
        <v>-1050</v>
      </c>
      <c r="AA16" s="26">
        <f t="shared" si="20"/>
        <v>0</v>
      </c>
      <c r="AB16" s="26">
        <f t="shared" si="20"/>
        <v>0</v>
      </c>
      <c r="AC16" s="26">
        <f t="shared" si="20"/>
        <v>0</v>
      </c>
      <c r="AD16" s="45">
        <f t="shared" ref="AD16:AL16" si="21">SUM(AD12:AD15)</f>
        <v>0</v>
      </c>
      <c r="AE16" s="45">
        <f t="shared" si="21"/>
        <v>300</v>
      </c>
      <c r="AF16" s="46">
        <f t="shared" si="21"/>
        <v>33.130000000000003</v>
      </c>
      <c r="AG16" s="45">
        <f t="shared" si="21"/>
        <v>10</v>
      </c>
      <c r="AH16" s="45">
        <f t="shared" si="21"/>
        <v>296</v>
      </c>
      <c r="AI16" s="45">
        <f t="shared" si="21"/>
        <v>6</v>
      </c>
      <c r="AJ16" s="45">
        <f t="shared" si="21"/>
        <v>73</v>
      </c>
      <c r="AK16" s="45">
        <f t="shared" si="21"/>
        <v>2</v>
      </c>
      <c r="AL16" s="45">
        <f t="shared" si="21"/>
        <v>24</v>
      </c>
      <c r="AM16" s="47">
        <f>L16*AF16/480/AG16</f>
        <v>0</v>
      </c>
      <c r="AN16" s="48">
        <f>M16*AF16/480/AH16</f>
        <v>0.29287218468468473</v>
      </c>
      <c r="AO16" s="49"/>
    </row>
    <row r="17" spans="1:41" s="60" customFormat="1" ht="15.75" thickBot="1" x14ac:dyDescent="0.3">
      <c r="A17" s="50"/>
      <c r="B17" s="51"/>
      <c r="C17" s="51"/>
      <c r="D17" s="51"/>
      <c r="E17" s="51"/>
      <c r="F17" s="52"/>
      <c r="G17" s="51"/>
      <c r="H17" s="51"/>
      <c r="I17" s="62"/>
      <c r="J17" s="54"/>
      <c r="K17" s="51"/>
      <c r="L17" s="55"/>
      <c r="M17" s="51"/>
      <c r="N17" s="51"/>
      <c r="O17" s="56"/>
      <c r="P17" s="51"/>
      <c r="Q17" s="51"/>
      <c r="R17" s="55"/>
      <c r="S17" s="51"/>
      <c r="T17" s="51"/>
      <c r="U17" s="55"/>
      <c r="V17" s="51"/>
      <c r="W17" s="51"/>
      <c r="X17" s="55"/>
      <c r="Y17" s="51"/>
      <c r="Z17" s="51"/>
      <c r="AA17" s="55"/>
      <c r="AB17" s="51"/>
      <c r="AC17" s="51"/>
      <c r="AD17" s="61"/>
      <c r="AE17" s="58"/>
      <c r="AF17" s="51"/>
      <c r="AG17" s="61"/>
      <c r="AH17" s="58"/>
      <c r="AI17" s="61"/>
      <c r="AJ17" s="58"/>
      <c r="AK17" s="61"/>
      <c r="AL17" s="58"/>
      <c r="AM17" s="61"/>
      <c r="AN17" s="55"/>
      <c r="AO17" s="59"/>
    </row>
    <row r="18" spans="1:41" s="60" customFormat="1" ht="15.75" thickBot="1" x14ac:dyDescent="0.3">
      <c r="A18" s="258" t="s">
        <v>47</v>
      </c>
      <c r="B18" s="259"/>
      <c r="C18" s="259"/>
      <c r="D18" s="259"/>
      <c r="E18" s="260"/>
      <c r="F18" s="63">
        <f>F16+F11</f>
        <v>0</v>
      </c>
      <c r="G18" s="64"/>
      <c r="H18" s="64"/>
      <c r="I18" s="63">
        <f>I16+I11</f>
        <v>0</v>
      </c>
      <c r="J18" s="64"/>
      <c r="K18" s="65">
        <f>K16+K11</f>
        <v>0</v>
      </c>
      <c r="L18" s="66">
        <f>L16+L11</f>
        <v>144</v>
      </c>
      <c r="M18" s="64"/>
      <c r="N18" s="65">
        <f>N16+N11</f>
        <v>-4454</v>
      </c>
      <c r="O18" s="66">
        <f>O16+O11</f>
        <v>385</v>
      </c>
      <c r="P18" s="64"/>
      <c r="Q18" s="65">
        <f>Q16+Q11</f>
        <v>-206</v>
      </c>
      <c r="R18" s="66">
        <f>R16+R11</f>
        <v>0</v>
      </c>
      <c r="S18" s="64"/>
      <c r="T18" s="65">
        <f>T16+T11</f>
        <v>-586</v>
      </c>
      <c r="U18" s="66">
        <f>U16+U11</f>
        <v>0</v>
      </c>
      <c r="V18" s="64"/>
      <c r="W18" s="65">
        <f>W16+W11</f>
        <v>-300</v>
      </c>
      <c r="X18" s="66">
        <f>X16+X11</f>
        <v>0</v>
      </c>
      <c r="Y18" s="64"/>
      <c r="Z18" s="65">
        <f>Z16+Z11</f>
        <v>-1256</v>
      </c>
      <c r="AA18" s="66">
        <f>AA16+AA11</f>
        <v>0</v>
      </c>
      <c r="AB18" s="64"/>
      <c r="AC18" s="65">
        <f>AC16+AC11</f>
        <v>0</v>
      </c>
      <c r="AD18" s="67">
        <f>AD16+AD11</f>
        <v>144</v>
      </c>
      <c r="AE18" s="65">
        <f>AE16+AE11</f>
        <v>506</v>
      </c>
      <c r="AF18" s="64"/>
      <c r="AG18" s="63">
        <f>AG16+AG11</f>
        <v>30</v>
      </c>
      <c r="AH18" s="68"/>
      <c r="AI18" s="63">
        <f>AI16+AI11</f>
        <v>11</v>
      </c>
      <c r="AJ18" s="68"/>
      <c r="AK18" s="63">
        <f>AK16+AK11</f>
        <v>2</v>
      </c>
      <c r="AL18" s="68"/>
      <c r="AM18" s="69">
        <f>SUM(AM16+AM11)/2</f>
        <v>0.18143999999999999</v>
      </c>
      <c r="AN18" s="69">
        <f>SUM(AN16+AN11)/2</f>
        <v>0.22059609234234234</v>
      </c>
      <c r="AO18" s="70"/>
    </row>
    <row r="19" spans="1:41" s="60" customFormat="1" ht="15" x14ac:dyDescent="0.25">
      <c r="O19" s="71"/>
    </row>
    <row r="20" spans="1:41" s="60" customFormat="1" ht="15" x14ac:dyDescent="0.25">
      <c r="O20" s="71"/>
      <c r="W20" s="60" t="s">
        <v>5</v>
      </c>
      <c r="Z20" s="60" t="s">
        <v>5</v>
      </c>
      <c r="AC20" s="60" t="s">
        <v>5</v>
      </c>
    </row>
  </sheetData>
  <mergeCells count="57">
    <mergeCell ref="A18:E18"/>
    <mergeCell ref="AJ12:AJ15"/>
    <mergeCell ref="AK12:AK15"/>
    <mergeCell ref="AF12:AF15"/>
    <mergeCell ref="AG12:AG15"/>
    <mergeCell ref="AH12:AH15"/>
    <mergeCell ref="AI12:AI15"/>
    <mergeCell ref="AL12:AL15"/>
    <mergeCell ref="AM12:AM15"/>
    <mergeCell ref="AN12:AN15"/>
    <mergeCell ref="AO12:AO15"/>
    <mergeCell ref="AO6:AO10"/>
    <mergeCell ref="AN6:AN10"/>
    <mergeCell ref="B10:D10"/>
    <mergeCell ref="B11:D11"/>
    <mergeCell ref="A12:A16"/>
    <mergeCell ref="AD12:AD15"/>
    <mergeCell ref="AE12:AE15"/>
    <mergeCell ref="B15:D15"/>
    <mergeCell ref="B16:D16"/>
    <mergeCell ref="AI6:AI10"/>
    <mergeCell ref="AJ6:AJ10"/>
    <mergeCell ref="AK6:AK10"/>
    <mergeCell ref="AL6:AL10"/>
    <mergeCell ref="AM6:AM10"/>
    <mergeCell ref="AM4:AN4"/>
    <mergeCell ref="AO4:AO5"/>
    <mergeCell ref="A6:A11"/>
    <mergeCell ref="B6:B9"/>
    <mergeCell ref="C6:C9"/>
    <mergeCell ref="AD6:AD10"/>
    <mergeCell ref="AE6:AE10"/>
    <mergeCell ref="AF6:AF10"/>
    <mergeCell ref="AG6:AG10"/>
    <mergeCell ref="AH6:AH10"/>
    <mergeCell ref="X4:Z4"/>
    <mergeCell ref="AA4:AC4"/>
    <mergeCell ref="AD4:AE4"/>
    <mergeCell ref="AG4:AH4"/>
    <mergeCell ref="AI4:AJ4"/>
    <mergeCell ref="AK4:AL4"/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18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M13" sqref="M13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27" style="1" bestFit="1" customWidth="1"/>
    <col min="4" max="4" width="26.85546875" style="1" customWidth="1"/>
    <col min="5" max="5" width="11.5703125" style="1" bestFit="1" customWidth="1"/>
    <col min="6" max="6" width="8.140625" style="1" bestFit="1" customWidth="1"/>
    <col min="7" max="7" width="7.7109375" style="1" bestFit="1" customWidth="1"/>
    <col min="8" max="8" width="7.42578125" style="1" bestFit="1" customWidth="1"/>
    <col min="9" max="9" width="8.140625" style="1" bestFit="1" customWidth="1"/>
    <col min="10" max="10" width="7.7109375" style="1" bestFit="1" customWidth="1"/>
    <col min="11" max="11" width="7.42578125" style="1" bestFit="1" customWidth="1"/>
    <col min="12" max="12" width="8.140625" style="1" customWidth="1"/>
    <col min="13" max="13" width="7.7109375" style="1" bestFit="1" customWidth="1"/>
    <col min="14" max="14" width="7.42578125" style="1" customWidth="1"/>
    <col min="15" max="15" width="7.85546875" style="72" customWidth="1"/>
    <col min="16" max="16" width="7.7109375" style="1" bestFit="1" customWidth="1"/>
    <col min="17" max="17" width="6.140625" style="1" bestFit="1" customWidth="1"/>
    <col min="18" max="18" width="7.85546875" style="1" customWidth="1"/>
    <col min="19" max="19" width="7.7109375" style="1" bestFit="1" customWidth="1"/>
    <col min="20" max="20" width="7.42578125" style="1" bestFit="1" customWidth="1"/>
    <col min="21" max="21" width="10.140625" style="1" customWidth="1"/>
    <col min="22" max="22" width="7.7109375" style="1" bestFit="1" customWidth="1"/>
    <col min="23" max="23" width="6.140625" style="1" bestFit="1" customWidth="1"/>
    <col min="24" max="24" width="7.85546875" style="1" bestFit="1" customWidth="1"/>
    <col min="25" max="25" width="7.7109375" style="1" bestFit="1" customWidth="1"/>
    <col min="26" max="26" width="7.42578125" style="1" bestFit="1" customWidth="1"/>
    <col min="27" max="27" width="8.140625" style="1" customWidth="1"/>
    <col min="28" max="28" width="7.7109375" style="1" bestFit="1" customWidth="1"/>
    <col min="29" max="29" width="5.42578125" style="1" bestFit="1" customWidth="1"/>
    <col min="30" max="30" width="8.140625" style="1" bestFit="1" customWidth="1"/>
    <col min="31" max="31" width="7.710937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45356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52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75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78" t="s">
        <v>26</v>
      </c>
      <c r="G5" s="9" t="s">
        <v>27</v>
      </c>
      <c r="H5" s="10" t="s">
        <v>28</v>
      </c>
      <c r="I5" s="75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79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75" t="s">
        <v>26</v>
      </c>
      <c r="AE5" s="9" t="s">
        <v>27</v>
      </c>
      <c r="AF5" s="78" t="s">
        <v>26</v>
      </c>
      <c r="AG5" s="78" t="s">
        <v>26</v>
      </c>
      <c r="AH5" s="9" t="s">
        <v>27</v>
      </c>
      <c r="AI5" s="78" t="s">
        <v>26</v>
      </c>
      <c r="AJ5" s="15" t="s">
        <v>27</v>
      </c>
      <c r="AK5" s="78" t="s">
        <v>26</v>
      </c>
      <c r="AL5" s="9" t="s">
        <v>27</v>
      </c>
      <c r="AM5" s="75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78" t="s">
        <v>36</v>
      </c>
      <c r="C6" s="280" t="s">
        <v>37</v>
      </c>
      <c r="D6" s="16" t="s">
        <v>38</v>
      </c>
      <c r="E6" s="77">
        <v>680</v>
      </c>
      <c r="F6" s="77"/>
      <c r="G6" s="77">
        <f>680</f>
        <v>680</v>
      </c>
      <c r="H6" s="77">
        <f t="shared" ref="H6:H13" si="0">G6-E6</f>
        <v>0</v>
      </c>
      <c r="I6" s="77"/>
      <c r="J6" s="77">
        <f>428+252</f>
        <v>680</v>
      </c>
      <c r="K6" s="77">
        <f t="shared" ref="K6:K13" si="1">J6-G6</f>
        <v>0</v>
      </c>
      <c r="L6" s="77">
        <v>4</v>
      </c>
      <c r="M6" s="77">
        <f>62+144+4</f>
        <v>210</v>
      </c>
      <c r="N6" s="77">
        <f t="shared" ref="N6:N13" si="2">M6-J6</f>
        <v>-470</v>
      </c>
      <c r="O6" s="77">
        <v>4</v>
      </c>
      <c r="P6" s="77">
        <f>62+144+4</f>
        <v>210</v>
      </c>
      <c r="Q6" s="77">
        <f t="shared" ref="Q6:Q13" si="3">P6-M6</f>
        <v>0</v>
      </c>
      <c r="R6" s="18"/>
      <c r="S6" s="18"/>
      <c r="T6" s="18">
        <f t="shared" ref="T6:T13" si="4">S6-P6</f>
        <v>-210</v>
      </c>
      <c r="U6" s="18"/>
      <c r="V6" s="18"/>
      <c r="W6" s="18">
        <f t="shared" ref="W6:W13" si="5">V6-S6</f>
        <v>0</v>
      </c>
      <c r="X6" s="77"/>
      <c r="Y6" s="77"/>
      <c r="Z6" s="77">
        <f t="shared" ref="Z6:Z13" si="6">Y6-P6</f>
        <v>-210</v>
      </c>
      <c r="AA6" s="77"/>
      <c r="AB6" s="77"/>
      <c r="AC6" s="19">
        <f t="shared" ref="AC6:AC13" si="7">AB6-Y6</f>
        <v>0</v>
      </c>
      <c r="AD6" s="267">
        <f>L14</f>
        <v>4</v>
      </c>
      <c r="AE6" s="267">
        <f>62+144+4</f>
        <v>210</v>
      </c>
      <c r="AF6" s="282">
        <v>24.192</v>
      </c>
      <c r="AG6" s="267">
        <v>6</v>
      </c>
      <c r="AH6" s="277">
        <f>6+8+6+10+10+10+20+6</f>
        <v>76</v>
      </c>
      <c r="AI6" s="267">
        <v>4</v>
      </c>
      <c r="AJ6" s="277">
        <f>1+2+2+2+3+3+5+4</f>
        <v>22</v>
      </c>
      <c r="AK6" s="267">
        <v>0</v>
      </c>
      <c r="AL6" s="277">
        <f>1+1+1+1</f>
        <v>4</v>
      </c>
      <c r="AM6" s="270">
        <f>L14*AF6/480/AG6</f>
        <v>3.3599999999999998E-2</v>
      </c>
      <c r="AN6" s="270">
        <f>M14*AF6/480/AH6</f>
        <v>0.13926315789473684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/>
      <c r="M7" s="20"/>
      <c r="N7" s="20">
        <f t="shared" si="2"/>
        <v>-599</v>
      </c>
      <c r="O7" s="20"/>
      <c r="P7" s="20"/>
      <c r="Q7" s="20">
        <f t="shared" si="3"/>
        <v>0</v>
      </c>
      <c r="R7" s="20"/>
      <c r="S7" s="20"/>
      <c r="T7" s="20">
        <f t="shared" si="4"/>
        <v>0</v>
      </c>
      <c r="U7" s="20"/>
      <c r="V7" s="20"/>
      <c r="W7" s="20">
        <f t="shared" si="5"/>
        <v>0</v>
      </c>
      <c r="X7" s="20"/>
      <c r="Y7" s="20"/>
      <c r="Z7" s="20">
        <f t="shared" si="6"/>
        <v>0</v>
      </c>
      <c r="AA7" s="20"/>
      <c r="AB7" s="20"/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/>
      <c r="M8" s="20"/>
      <c r="N8" s="20">
        <f t="shared" si="2"/>
        <v>-677</v>
      </c>
      <c r="O8" s="20"/>
      <c r="P8" s="20"/>
      <c r="Q8" s="20">
        <f t="shared" si="3"/>
        <v>0</v>
      </c>
      <c r="R8" s="20"/>
      <c r="S8" s="20"/>
      <c r="T8" s="20">
        <f t="shared" si="4"/>
        <v>0</v>
      </c>
      <c r="U8" s="20"/>
      <c r="V8" s="20"/>
      <c r="W8" s="20">
        <f t="shared" si="5"/>
        <v>0</v>
      </c>
      <c r="X8" s="20"/>
      <c r="Y8" s="20"/>
      <c r="Z8" s="20">
        <f t="shared" si="6"/>
        <v>0</v>
      </c>
      <c r="AA8" s="20"/>
      <c r="AB8" s="20"/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79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ref="H9:H12" si="8">G9-E9</f>
        <v>0</v>
      </c>
      <c r="I9" s="20"/>
      <c r="J9" s="20">
        <f>106</f>
        <v>106</v>
      </c>
      <c r="K9" s="20">
        <f t="shared" ref="K9:K12" si="9">J9-G9</f>
        <v>0</v>
      </c>
      <c r="L9" s="20"/>
      <c r="M9" s="20"/>
      <c r="N9" s="20">
        <f t="shared" ref="N9:N12" si="10">M9-J9</f>
        <v>-106</v>
      </c>
      <c r="O9" s="20"/>
      <c r="P9" s="20"/>
      <c r="Q9" s="20">
        <f t="shared" ref="Q9:Q12" si="11">P9-M9</f>
        <v>0</v>
      </c>
      <c r="R9" s="20"/>
      <c r="S9" s="20"/>
      <c r="T9" s="20">
        <f t="shared" ref="T9:T12" si="12">S9-P9</f>
        <v>0</v>
      </c>
      <c r="U9" s="20"/>
      <c r="V9" s="20"/>
      <c r="W9" s="20">
        <f t="shared" ref="W9:W12" si="13">V9-S9</f>
        <v>0</v>
      </c>
      <c r="X9" s="20"/>
      <c r="Y9" s="20"/>
      <c r="Z9" s="20">
        <f t="shared" ref="Z9:Z12" si="14">Y9-P9</f>
        <v>0</v>
      </c>
      <c r="AA9" s="20"/>
      <c r="AB9" s="20"/>
      <c r="AC9" s="21">
        <f t="shared" ref="AC9:AC12" si="15">AB9-Y9</f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279"/>
      <c r="C10" s="281"/>
      <c r="D10" s="20" t="s">
        <v>53</v>
      </c>
      <c r="E10" s="20">
        <v>225</v>
      </c>
      <c r="F10" s="20">
        <v>223</v>
      </c>
      <c r="G10" s="20">
        <f>223</f>
        <v>223</v>
      </c>
      <c r="H10" s="20">
        <f t="shared" si="8"/>
        <v>-2</v>
      </c>
      <c r="I10" s="20">
        <v>223</v>
      </c>
      <c r="J10" s="20">
        <f>223</f>
        <v>223</v>
      </c>
      <c r="K10" s="20">
        <f t="shared" si="9"/>
        <v>0</v>
      </c>
      <c r="L10" s="20"/>
      <c r="M10" s="20"/>
      <c r="N10" s="20">
        <f t="shared" si="10"/>
        <v>-223</v>
      </c>
      <c r="O10" s="20"/>
      <c r="P10" s="20"/>
      <c r="Q10" s="20">
        <f t="shared" si="11"/>
        <v>0</v>
      </c>
      <c r="R10" s="20"/>
      <c r="S10" s="20"/>
      <c r="T10" s="20">
        <f t="shared" si="12"/>
        <v>0</v>
      </c>
      <c r="U10" s="20"/>
      <c r="V10" s="20"/>
      <c r="W10" s="20">
        <f t="shared" si="13"/>
        <v>0</v>
      </c>
      <c r="X10" s="20"/>
      <c r="Y10" s="20"/>
      <c r="Z10" s="20">
        <f t="shared" si="14"/>
        <v>0</v>
      </c>
      <c r="AA10" s="20"/>
      <c r="AB10" s="20"/>
      <c r="AC10" s="21">
        <f t="shared" si="15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>
        <v>227</v>
      </c>
      <c r="G11" s="20">
        <f>227</f>
        <v>227</v>
      </c>
      <c r="H11" s="20">
        <f t="shared" si="8"/>
        <v>-98</v>
      </c>
      <c r="I11" s="20">
        <v>227</v>
      </c>
      <c r="J11" s="20">
        <f>227</f>
        <v>227</v>
      </c>
      <c r="K11" s="20">
        <f t="shared" si="9"/>
        <v>0</v>
      </c>
      <c r="L11" s="20"/>
      <c r="M11" s="20"/>
      <c r="N11" s="20">
        <f t="shared" si="10"/>
        <v>-227</v>
      </c>
      <c r="O11" s="20"/>
      <c r="P11" s="20"/>
      <c r="Q11" s="20">
        <f t="shared" si="11"/>
        <v>0</v>
      </c>
      <c r="R11" s="20"/>
      <c r="S11" s="20"/>
      <c r="T11" s="20">
        <f t="shared" si="12"/>
        <v>0</v>
      </c>
      <c r="U11" s="20"/>
      <c r="V11" s="20"/>
      <c r="W11" s="20">
        <f t="shared" si="13"/>
        <v>0</v>
      </c>
      <c r="X11" s="20"/>
      <c r="Y11" s="20"/>
      <c r="Z11" s="20">
        <f t="shared" si="14"/>
        <v>0</v>
      </c>
      <c r="AA11" s="20"/>
      <c r="AB11" s="20"/>
      <c r="AC11" s="21">
        <f t="shared" si="15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>
        <v>242</v>
      </c>
      <c r="G12" s="20">
        <f>242</f>
        <v>242</v>
      </c>
      <c r="H12" s="20">
        <f t="shared" si="8"/>
        <v>-33</v>
      </c>
      <c r="I12" s="20"/>
      <c r="J12" s="20"/>
      <c r="K12" s="20">
        <f t="shared" si="9"/>
        <v>-242</v>
      </c>
      <c r="L12" s="20"/>
      <c r="M12" s="20"/>
      <c r="N12" s="20">
        <f t="shared" si="10"/>
        <v>0</v>
      </c>
      <c r="O12" s="20"/>
      <c r="P12" s="20"/>
      <c r="Q12" s="20">
        <f t="shared" si="11"/>
        <v>0</v>
      </c>
      <c r="R12" s="20"/>
      <c r="S12" s="20"/>
      <c r="T12" s="20">
        <f t="shared" si="12"/>
        <v>0</v>
      </c>
      <c r="U12" s="20"/>
      <c r="V12" s="20"/>
      <c r="W12" s="20">
        <f t="shared" si="13"/>
        <v>0</v>
      </c>
      <c r="X12" s="20"/>
      <c r="Y12" s="20"/>
      <c r="Z12" s="20">
        <f t="shared" si="14"/>
        <v>0</v>
      </c>
      <c r="AA12" s="20"/>
      <c r="AB12" s="20"/>
      <c r="AC12" s="21">
        <f t="shared" si="15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ht="18" thickBot="1" x14ac:dyDescent="0.3">
      <c r="A13" s="283"/>
      <c r="B13" s="279"/>
      <c r="C13" s="281"/>
      <c r="D13" s="20" t="s">
        <v>39</v>
      </c>
      <c r="E13" s="20">
        <v>275</v>
      </c>
      <c r="F13" s="20">
        <v>171</v>
      </c>
      <c r="G13" s="20">
        <f>171</f>
        <v>171</v>
      </c>
      <c r="H13" s="20">
        <f t="shared" si="0"/>
        <v>-104</v>
      </c>
      <c r="I13" s="20"/>
      <c r="J13" s="20"/>
      <c r="K13" s="20">
        <f t="shared" si="1"/>
        <v>-171</v>
      </c>
      <c r="L13" s="20"/>
      <c r="M13" s="20"/>
      <c r="N13" s="20">
        <f t="shared" si="2"/>
        <v>0</v>
      </c>
      <c r="O13" s="20"/>
      <c r="P13" s="20"/>
      <c r="Q13" s="20">
        <f t="shared" si="3"/>
        <v>0</v>
      </c>
      <c r="R13" s="25"/>
      <c r="S13" s="25"/>
      <c r="T13" s="25">
        <f t="shared" si="4"/>
        <v>0</v>
      </c>
      <c r="U13" s="25"/>
      <c r="V13" s="25"/>
      <c r="W13" s="25">
        <f t="shared" si="5"/>
        <v>0</v>
      </c>
      <c r="X13" s="20"/>
      <c r="Y13" s="20"/>
      <c r="Z13" s="20">
        <f t="shared" si="6"/>
        <v>0</v>
      </c>
      <c r="AA13" s="20"/>
      <c r="AB13" s="20"/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ht="18" thickBot="1" x14ac:dyDescent="0.3">
      <c r="A14" s="283"/>
      <c r="B14" s="272" t="s">
        <v>34</v>
      </c>
      <c r="C14" s="273"/>
      <c r="D14" s="274"/>
      <c r="E14" s="23">
        <f>+SUM(E6:E13)</f>
        <v>3162</v>
      </c>
      <c r="F14" s="23">
        <f>+SUM(F6:F13)</f>
        <v>863</v>
      </c>
      <c r="G14" s="23">
        <f>SUM(G6:G13)</f>
        <v>2925</v>
      </c>
      <c r="H14" s="23">
        <f t="shared" ref="H14:AC14" si="16">+SUM(H6:H13)</f>
        <v>-237</v>
      </c>
      <c r="I14" s="23">
        <f t="shared" si="16"/>
        <v>450</v>
      </c>
      <c r="J14" s="23">
        <f t="shared" si="16"/>
        <v>2512</v>
      </c>
      <c r="K14" s="23">
        <f t="shared" si="16"/>
        <v>-413</v>
      </c>
      <c r="L14" s="23">
        <f t="shared" si="16"/>
        <v>4</v>
      </c>
      <c r="M14" s="23">
        <f t="shared" si="16"/>
        <v>210</v>
      </c>
      <c r="N14" s="23">
        <f t="shared" si="16"/>
        <v>-2302</v>
      </c>
      <c r="O14" s="23">
        <f t="shared" si="16"/>
        <v>4</v>
      </c>
      <c r="P14" s="23">
        <f t="shared" si="16"/>
        <v>210</v>
      </c>
      <c r="Q14" s="23">
        <f t="shared" si="16"/>
        <v>0</v>
      </c>
      <c r="R14" s="24">
        <f t="shared" si="16"/>
        <v>0</v>
      </c>
      <c r="S14" s="24">
        <f t="shared" si="16"/>
        <v>0</v>
      </c>
      <c r="T14" s="24">
        <f t="shared" si="16"/>
        <v>-210</v>
      </c>
      <c r="U14" s="24">
        <f t="shared" si="16"/>
        <v>0</v>
      </c>
      <c r="V14" s="24">
        <f t="shared" si="16"/>
        <v>0</v>
      </c>
      <c r="W14" s="24">
        <f t="shared" si="16"/>
        <v>0</v>
      </c>
      <c r="X14" s="23">
        <f t="shared" si="16"/>
        <v>0</v>
      </c>
      <c r="Y14" s="23">
        <f t="shared" si="16"/>
        <v>0</v>
      </c>
      <c r="Z14" s="23">
        <f t="shared" si="16"/>
        <v>-210</v>
      </c>
      <c r="AA14" s="23">
        <f t="shared" si="16"/>
        <v>0</v>
      </c>
      <c r="AB14" s="23">
        <f t="shared" si="16"/>
        <v>0</v>
      </c>
      <c r="AC14" s="15">
        <f t="shared" si="16"/>
        <v>0</v>
      </c>
      <c r="AD14" s="264"/>
      <c r="AE14" s="264"/>
      <c r="AF14" s="269"/>
      <c r="AG14" s="264"/>
      <c r="AH14" s="262"/>
      <c r="AI14" s="264"/>
      <c r="AJ14" s="262"/>
      <c r="AK14" s="264"/>
      <c r="AL14" s="262"/>
      <c r="AM14" s="250"/>
      <c r="AN14" s="250"/>
      <c r="AO14" s="252"/>
    </row>
    <row r="15" spans="1:41" ht="18" thickBot="1" x14ac:dyDescent="0.3">
      <c r="A15" s="284"/>
      <c r="B15" s="275" t="s">
        <v>40</v>
      </c>
      <c r="C15" s="275"/>
      <c r="D15" s="276"/>
      <c r="E15" s="26">
        <f>E14</f>
        <v>3162</v>
      </c>
      <c r="F15" s="26">
        <f t="shared" ref="F15:AC15" si="17">F14</f>
        <v>863</v>
      </c>
      <c r="G15" s="26">
        <f t="shared" si="17"/>
        <v>2925</v>
      </c>
      <c r="H15" s="26">
        <f t="shared" si="17"/>
        <v>-237</v>
      </c>
      <c r="I15" s="26">
        <f t="shared" si="17"/>
        <v>450</v>
      </c>
      <c r="J15" s="26">
        <f t="shared" si="17"/>
        <v>2512</v>
      </c>
      <c r="K15" s="26">
        <f t="shared" si="17"/>
        <v>-413</v>
      </c>
      <c r="L15" s="26">
        <f t="shared" si="17"/>
        <v>4</v>
      </c>
      <c r="M15" s="26">
        <f t="shared" si="17"/>
        <v>210</v>
      </c>
      <c r="N15" s="26">
        <f t="shared" si="17"/>
        <v>-2302</v>
      </c>
      <c r="O15" s="26">
        <f t="shared" si="17"/>
        <v>4</v>
      </c>
      <c r="P15" s="26">
        <f t="shared" si="17"/>
        <v>210</v>
      </c>
      <c r="Q15" s="26">
        <f t="shared" si="17"/>
        <v>0</v>
      </c>
      <c r="R15" s="26">
        <f t="shared" si="17"/>
        <v>0</v>
      </c>
      <c r="S15" s="26">
        <f t="shared" si="17"/>
        <v>0</v>
      </c>
      <c r="T15" s="26">
        <f t="shared" si="17"/>
        <v>-210</v>
      </c>
      <c r="U15" s="26">
        <f t="shared" si="17"/>
        <v>0</v>
      </c>
      <c r="V15" s="26">
        <f t="shared" si="17"/>
        <v>0</v>
      </c>
      <c r="W15" s="26">
        <f t="shared" si="17"/>
        <v>0</v>
      </c>
      <c r="X15" s="26">
        <f t="shared" si="17"/>
        <v>0</v>
      </c>
      <c r="Y15" s="26">
        <f t="shared" si="17"/>
        <v>0</v>
      </c>
      <c r="Z15" s="26">
        <f t="shared" si="17"/>
        <v>-210</v>
      </c>
      <c r="AA15" s="26">
        <f t="shared" si="17"/>
        <v>0</v>
      </c>
      <c r="AB15" s="26">
        <f t="shared" si="17"/>
        <v>0</v>
      </c>
      <c r="AC15" s="26">
        <f t="shared" si="17"/>
        <v>0</v>
      </c>
      <c r="AD15" s="27">
        <f t="shared" ref="AD15:AL15" si="18">SUM(AD6:AD14)</f>
        <v>4</v>
      </c>
      <c r="AE15" s="27">
        <f t="shared" si="18"/>
        <v>210</v>
      </c>
      <c r="AF15" s="28">
        <f t="shared" si="18"/>
        <v>24.192</v>
      </c>
      <c r="AG15" s="27">
        <f t="shared" si="18"/>
        <v>6</v>
      </c>
      <c r="AH15" s="27">
        <f t="shared" si="18"/>
        <v>76</v>
      </c>
      <c r="AI15" s="27">
        <f t="shared" si="18"/>
        <v>4</v>
      </c>
      <c r="AJ15" s="27">
        <f t="shared" si="18"/>
        <v>22</v>
      </c>
      <c r="AK15" s="27">
        <f t="shared" si="18"/>
        <v>0</v>
      </c>
      <c r="AL15" s="27">
        <f t="shared" si="18"/>
        <v>4</v>
      </c>
      <c r="AM15" s="29">
        <f>L15*AF15/480/AG15</f>
        <v>3.3599999999999998E-2</v>
      </c>
      <c r="AN15" s="30">
        <f>M15*AF15/480/AH15</f>
        <v>0.13926315789473684</v>
      </c>
      <c r="AO15" s="31"/>
    </row>
    <row r="16" spans="1:41" ht="18.75" customHeight="1" x14ac:dyDescent="0.25">
      <c r="A16" s="265" t="s">
        <v>32</v>
      </c>
      <c r="B16" s="76" t="s">
        <v>41</v>
      </c>
      <c r="C16" s="33" t="s">
        <v>37</v>
      </c>
      <c r="D16" s="34" t="s">
        <v>42</v>
      </c>
      <c r="E16" s="77">
        <v>1645</v>
      </c>
      <c r="F16" s="77"/>
      <c r="G16" s="77">
        <f>1433</f>
        <v>1433</v>
      </c>
      <c r="H16" s="77">
        <f t="shared" ref="H16:H18" si="19">G16-E16</f>
        <v>-212</v>
      </c>
      <c r="I16" s="77"/>
      <c r="J16" s="77">
        <f>100+200+300+350+400+83</f>
        <v>1433</v>
      </c>
      <c r="K16" s="77">
        <f t="shared" ref="K16:K18" si="20">J16-G16</f>
        <v>0</v>
      </c>
      <c r="L16" s="77"/>
      <c r="M16" s="77">
        <f>102+201+302+351-99-125-110</f>
        <v>622</v>
      </c>
      <c r="N16" s="77">
        <f t="shared" ref="N16:N18" si="21">M16-J16</f>
        <v>-811</v>
      </c>
      <c r="O16" s="77">
        <f>622-526</f>
        <v>96</v>
      </c>
      <c r="P16" s="77">
        <f>108+163+112+27+116+96</f>
        <v>622</v>
      </c>
      <c r="Q16" s="77">
        <f t="shared" ref="Q16:Q18" si="22">P16-M16</f>
        <v>0</v>
      </c>
      <c r="R16" s="77"/>
      <c r="S16" s="77">
        <f>20+130+200</f>
        <v>350</v>
      </c>
      <c r="T16" s="35">
        <f t="shared" ref="T16:T18" si="23">S16-P16</f>
        <v>-272</v>
      </c>
      <c r="U16" s="77"/>
      <c r="V16" s="77">
        <f>20+330</f>
        <v>350</v>
      </c>
      <c r="W16" s="35">
        <f t="shared" ref="W16:W18" si="24">V16-S16</f>
        <v>0</v>
      </c>
      <c r="X16" s="77"/>
      <c r="Y16" s="77"/>
      <c r="Z16" s="77">
        <f t="shared" ref="Z16:Z18" si="25">Y16-P16</f>
        <v>-622</v>
      </c>
      <c r="AA16" s="77"/>
      <c r="AB16" s="77"/>
      <c r="AC16" s="33">
        <f t="shared" ref="AC16:AC18" si="26">AB16-Y16</f>
        <v>0</v>
      </c>
      <c r="AD16" s="267">
        <f>L19</f>
        <v>98</v>
      </c>
      <c r="AE16" s="263">
        <f>300+98</f>
        <v>398</v>
      </c>
      <c r="AF16" s="268">
        <v>33.130000000000003</v>
      </c>
      <c r="AG16" s="263">
        <v>20</v>
      </c>
      <c r="AH16" s="261">
        <f>2+10+8+8+8+6+6+6+9+5+6+8+7+7+6+6+6+6+6+6+7+7+7+7+6+7+17+16+16+22+21+21+10+20</f>
        <v>316</v>
      </c>
      <c r="AI16" s="263">
        <v>7</v>
      </c>
      <c r="AJ16" s="261">
        <f>1+1+1+1+1+1+1+2+2+2+2+2+2+2+2+2+2+1+1+1+1+1+1+1+1+4+3+4+5+8+8+6+7</f>
        <v>80</v>
      </c>
      <c r="AK16" s="263">
        <v>2</v>
      </c>
      <c r="AL16" s="261">
        <f>1+1+1+1+1+1+1+1+1+1+1+1+1+1+1+1+2+2+2+2+2</f>
        <v>26</v>
      </c>
      <c r="AM16" s="249">
        <f>L19*AF16/480/AG16</f>
        <v>0.33820208333333335</v>
      </c>
      <c r="AN16" s="249">
        <f>M19*AF16/480/AH16</f>
        <v>0.29574116561181435</v>
      </c>
      <c r="AO16" s="251"/>
    </row>
    <row r="17" spans="1:41" ht="18.75" customHeight="1" x14ac:dyDescent="0.25">
      <c r="A17" s="265"/>
      <c r="B17" s="36" t="s">
        <v>43</v>
      </c>
      <c r="C17" s="37" t="s">
        <v>37</v>
      </c>
      <c r="D17" s="38" t="s">
        <v>44</v>
      </c>
      <c r="E17" s="20">
        <v>1245</v>
      </c>
      <c r="F17" s="20"/>
      <c r="G17" s="20">
        <f>1238</f>
        <v>1238</v>
      </c>
      <c r="H17" s="20">
        <f t="shared" si="19"/>
        <v>-7</v>
      </c>
      <c r="I17" s="20"/>
      <c r="J17" s="20">
        <f>650+588</f>
        <v>1238</v>
      </c>
      <c r="K17" s="20">
        <f t="shared" si="20"/>
        <v>0</v>
      </c>
      <c r="L17" s="20">
        <v>98</v>
      </c>
      <c r="M17" s="20">
        <f>300+99+125+110+98</f>
        <v>732</v>
      </c>
      <c r="N17" s="20">
        <f t="shared" si="21"/>
        <v>-506</v>
      </c>
      <c r="O17" s="20">
        <f>732-524</f>
        <v>208</v>
      </c>
      <c r="P17" s="20">
        <f>36+128+235+125+208</f>
        <v>732</v>
      </c>
      <c r="Q17" s="20">
        <f t="shared" si="22"/>
        <v>0</v>
      </c>
      <c r="R17" s="20"/>
      <c r="S17" s="20">
        <f>20+300</f>
        <v>320</v>
      </c>
      <c r="T17" s="39">
        <f t="shared" si="23"/>
        <v>-412</v>
      </c>
      <c r="U17" s="20"/>
      <c r="V17" s="20">
        <f>20</f>
        <v>20</v>
      </c>
      <c r="W17" s="39">
        <f t="shared" si="24"/>
        <v>-300</v>
      </c>
      <c r="X17" s="20"/>
      <c r="Y17" s="20"/>
      <c r="Z17" s="20">
        <f t="shared" si="25"/>
        <v>-732</v>
      </c>
      <c r="AA17" s="20"/>
      <c r="AB17" s="20"/>
      <c r="AC17" s="37">
        <f t="shared" si="26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.75" customHeight="1" thickBot="1" x14ac:dyDescent="0.3">
      <c r="A18" s="265"/>
      <c r="B18" s="40" t="s">
        <v>45</v>
      </c>
      <c r="C18" s="41" t="s">
        <v>37</v>
      </c>
      <c r="D18" s="42" t="s">
        <v>46</v>
      </c>
      <c r="E18" s="25">
        <v>1300</v>
      </c>
      <c r="F18" s="25"/>
      <c r="G18" s="25">
        <f>1183</f>
        <v>1183</v>
      </c>
      <c r="H18" s="25">
        <f t="shared" si="19"/>
        <v>-117</v>
      </c>
      <c r="I18" s="25"/>
      <c r="J18" s="25">
        <f>520+663</f>
        <v>1183</v>
      </c>
      <c r="K18" s="25">
        <f t="shared" si="20"/>
        <v>0</v>
      </c>
      <c r="L18" s="25"/>
      <c r="M18" s="25"/>
      <c r="N18" s="25">
        <f t="shared" si="21"/>
        <v>-1183</v>
      </c>
      <c r="O18" s="25"/>
      <c r="P18" s="25"/>
      <c r="Q18" s="25">
        <f t="shared" si="22"/>
        <v>0</v>
      </c>
      <c r="R18" s="25"/>
      <c r="S18" s="25"/>
      <c r="T18" s="43">
        <f t="shared" si="23"/>
        <v>0</v>
      </c>
      <c r="U18" s="25"/>
      <c r="V18" s="25"/>
      <c r="W18" s="43">
        <f t="shared" si="24"/>
        <v>0</v>
      </c>
      <c r="X18" s="25"/>
      <c r="Y18" s="25"/>
      <c r="Z18" s="25">
        <f t="shared" si="25"/>
        <v>0</v>
      </c>
      <c r="AA18" s="25"/>
      <c r="AB18" s="25"/>
      <c r="AC18" s="44">
        <f t="shared" si="26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65"/>
      <c r="B19" s="253" t="s">
        <v>34</v>
      </c>
      <c r="C19" s="254"/>
      <c r="D19" s="255"/>
      <c r="E19" s="24">
        <f>+SUM(E16:E18)</f>
        <v>4190</v>
      </c>
      <c r="F19" s="24">
        <f t="shared" ref="F19:AC19" si="27">+SUM(F16:F18)</f>
        <v>0</v>
      </c>
      <c r="G19" s="24">
        <f t="shared" si="27"/>
        <v>3854</v>
      </c>
      <c r="H19" s="24">
        <f t="shared" si="27"/>
        <v>-336</v>
      </c>
      <c r="I19" s="24">
        <f t="shared" si="27"/>
        <v>0</v>
      </c>
      <c r="J19" s="24">
        <f t="shared" si="27"/>
        <v>3854</v>
      </c>
      <c r="K19" s="24">
        <f t="shared" si="27"/>
        <v>0</v>
      </c>
      <c r="L19" s="24">
        <f t="shared" si="27"/>
        <v>98</v>
      </c>
      <c r="M19" s="24">
        <f t="shared" si="27"/>
        <v>1354</v>
      </c>
      <c r="N19" s="24">
        <f t="shared" si="27"/>
        <v>-2500</v>
      </c>
      <c r="O19" s="24">
        <f t="shared" si="27"/>
        <v>304</v>
      </c>
      <c r="P19" s="24">
        <f t="shared" si="27"/>
        <v>1354</v>
      </c>
      <c r="Q19" s="24">
        <f t="shared" si="27"/>
        <v>0</v>
      </c>
      <c r="R19" s="24">
        <f t="shared" si="27"/>
        <v>0</v>
      </c>
      <c r="S19" s="24">
        <f t="shared" si="27"/>
        <v>670</v>
      </c>
      <c r="T19" s="24">
        <f t="shared" si="27"/>
        <v>-684</v>
      </c>
      <c r="U19" s="24">
        <f t="shared" si="27"/>
        <v>0</v>
      </c>
      <c r="V19" s="24">
        <f t="shared" si="27"/>
        <v>370</v>
      </c>
      <c r="W19" s="24">
        <f t="shared" si="27"/>
        <v>-300</v>
      </c>
      <c r="X19" s="24">
        <f t="shared" si="27"/>
        <v>0</v>
      </c>
      <c r="Y19" s="24">
        <f t="shared" si="27"/>
        <v>0</v>
      </c>
      <c r="Z19" s="24">
        <f t="shared" si="27"/>
        <v>-1354</v>
      </c>
      <c r="AA19" s="24">
        <f t="shared" si="27"/>
        <v>0</v>
      </c>
      <c r="AB19" s="24">
        <f t="shared" si="27"/>
        <v>0</v>
      </c>
      <c r="AC19" s="24">
        <f t="shared" si="27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" customHeight="1" thickBot="1" x14ac:dyDescent="0.3">
      <c r="A20" s="266"/>
      <c r="B20" s="256" t="s">
        <v>40</v>
      </c>
      <c r="C20" s="256"/>
      <c r="D20" s="257"/>
      <c r="E20" s="26">
        <f>E19</f>
        <v>4190</v>
      </c>
      <c r="F20" s="26">
        <f t="shared" ref="F20:AC20" si="28">F19</f>
        <v>0</v>
      </c>
      <c r="G20" s="26">
        <f t="shared" si="28"/>
        <v>3854</v>
      </c>
      <c r="H20" s="26">
        <f t="shared" si="28"/>
        <v>-336</v>
      </c>
      <c r="I20" s="26">
        <f t="shared" si="28"/>
        <v>0</v>
      </c>
      <c r="J20" s="26">
        <f t="shared" si="28"/>
        <v>3854</v>
      </c>
      <c r="K20" s="26">
        <f t="shared" si="28"/>
        <v>0</v>
      </c>
      <c r="L20" s="26">
        <f t="shared" si="28"/>
        <v>98</v>
      </c>
      <c r="M20" s="26">
        <f t="shared" si="28"/>
        <v>1354</v>
      </c>
      <c r="N20" s="26">
        <f t="shared" si="28"/>
        <v>-2500</v>
      </c>
      <c r="O20" s="26">
        <f t="shared" si="28"/>
        <v>304</v>
      </c>
      <c r="P20" s="26">
        <f t="shared" si="28"/>
        <v>1354</v>
      </c>
      <c r="Q20" s="26">
        <f t="shared" si="28"/>
        <v>0</v>
      </c>
      <c r="R20" s="26">
        <f t="shared" si="28"/>
        <v>0</v>
      </c>
      <c r="S20" s="26">
        <f t="shared" si="28"/>
        <v>670</v>
      </c>
      <c r="T20" s="26">
        <f t="shared" si="28"/>
        <v>-684</v>
      </c>
      <c r="U20" s="26">
        <f t="shared" si="28"/>
        <v>0</v>
      </c>
      <c r="V20" s="26">
        <f t="shared" si="28"/>
        <v>370</v>
      </c>
      <c r="W20" s="26">
        <f t="shared" si="28"/>
        <v>-300</v>
      </c>
      <c r="X20" s="26">
        <f t="shared" si="28"/>
        <v>0</v>
      </c>
      <c r="Y20" s="26">
        <f t="shared" si="28"/>
        <v>0</v>
      </c>
      <c r="Z20" s="26">
        <f t="shared" si="28"/>
        <v>-1354</v>
      </c>
      <c r="AA20" s="26">
        <f t="shared" si="28"/>
        <v>0</v>
      </c>
      <c r="AB20" s="26">
        <f t="shared" si="28"/>
        <v>0</v>
      </c>
      <c r="AC20" s="26">
        <f t="shared" si="28"/>
        <v>0</v>
      </c>
      <c r="AD20" s="45">
        <f t="shared" ref="AD20:AL20" si="29">SUM(AD16:AD19)</f>
        <v>98</v>
      </c>
      <c r="AE20" s="45">
        <f t="shared" si="29"/>
        <v>398</v>
      </c>
      <c r="AF20" s="46">
        <f t="shared" si="29"/>
        <v>33.130000000000003</v>
      </c>
      <c r="AG20" s="45">
        <f t="shared" si="29"/>
        <v>20</v>
      </c>
      <c r="AH20" s="45">
        <f t="shared" si="29"/>
        <v>316</v>
      </c>
      <c r="AI20" s="45">
        <f t="shared" si="29"/>
        <v>7</v>
      </c>
      <c r="AJ20" s="45">
        <f t="shared" si="29"/>
        <v>80</v>
      </c>
      <c r="AK20" s="45">
        <f t="shared" si="29"/>
        <v>2</v>
      </c>
      <c r="AL20" s="45">
        <f t="shared" si="29"/>
        <v>26</v>
      </c>
      <c r="AM20" s="47">
        <f>L20*AF20/480/AG20</f>
        <v>0.33820208333333335</v>
      </c>
      <c r="AN20" s="48">
        <f>M20*AF20/480/AH20</f>
        <v>0.29574116561181435</v>
      </c>
      <c r="AO20" s="49"/>
    </row>
    <row r="21" spans="1:41" s="60" customFormat="1" ht="15.75" thickBot="1" x14ac:dyDescent="0.3">
      <c r="A21" s="50"/>
      <c r="B21" s="51"/>
      <c r="C21" s="51"/>
      <c r="D21" s="51"/>
      <c r="E21" s="51"/>
      <c r="F21" s="52"/>
      <c r="G21" s="51"/>
      <c r="H21" s="51"/>
      <c r="I21" s="74"/>
      <c r="J21" s="54"/>
      <c r="K21" s="51"/>
      <c r="L21" s="55"/>
      <c r="M21" s="51"/>
      <c r="N21" s="51"/>
      <c r="O21" s="56"/>
      <c r="P21" s="51"/>
      <c r="Q21" s="51"/>
      <c r="R21" s="55"/>
      <c r="S21" s="51"/>
      <c r="T21" s="51"/>
      <c r="U21" s="55"/>
      <c r="V21" s="51"/>
      <c r="W21" s="51"/>
      <c r="X21" s="55"/>
      <c r="Y21" s="51"/>
      <c r="Z21" s="51"/>
      <c r="AA21" s="55"/>
      <c r="AB21" s="51"/>
      <c r="AC21" s="51"/>
      <c r="AD21" s="73"/>
      <c r="AE21" s="58"/>
      <c r="AF21" s="51"/>
      <c r="AG21" s="73"/>
      <c r="AH21" s="58"/>
      <c r="AI21" s="73"/>
      <c r="AJ21" s="58"/>
      <c r="AK21" s="73"/>
      <c r="AL21" s="58"/>
      <c r="AM21" s="73"/>
      <c r="AN21" s="55"/>
      <c r="AO21" s="59"/>
    </row>
    <row r="22" spans="1:41" s="60" customFormat="1" ht="15.75" thickBot="1" x14ac:dyDescent="0.3">
      <c r="A22" s="258" t="s">
        <v>47</v>
      </c>
      <c r="B22" s="259"/>
      <c r="C22" s="259"/>
      <c r="D22" s="259"/>
      <c r="E22" s="260"/>
      <c r="F22" s="63">
        <f>F20+F15</f>
        <v>863</v>
      </c>
      <c r="G22" s="64"/>
      <c r="H22" s="64"/>
      <c r="I22" s="63">
        <f>I20+I15</f>
        <v>450</v>
      </c>
      <c r="J22" s="64"/>
      <c r="K22" s="65">
        <f>K20+K15</f>
        <v>-413</v>
      </c>
      <c r="L22" s="66">
        <f>L20+L15</f>
        <v>102</v>
      </c>
      <c r="M22" s="64"/>
      <c r="N22" s="65">
        <f>N20+N15</f>
        <v>-4802</v>
      </c>
      <c r="O22" s="66">
        <f>O20+O15</f>
        <v>308</v>
      </c>
      <c r="P22" s="64"/>
      <c r="Q22" s="65">
        <f>Q20+Q15</f>
        <v>0</v>
      </c>
      <c r="R22" s="66">
        <f>R20+R15</f>
        <v>0</v>
      </c>
      <c r="S22" s="64"/>
      <c r="T22" s="65">
        <f>T20+T15</f>
        <v>-894</v>
      </c>
      <c r="U22" s="66">
        <f>U20+U15</f>
        <v>0</v>
      </c>
      <c r="V22" s="64"/>
      <c r="W22" s="65">
        <f>W20+W15</f>
        <v>-300</v>
      </c>
      <c r="X22" s="66">
        <f>X20+X15</f>
        <v>0</v>
      </c>
      <c r="Y22" s="64"/>
      <c r="Z22" s="65">
        <f>Z20+Z15</f>
        <v>-1564</v>
      </c>
      <c r="AA22" s="66">
        <f>AA20+AA15</f>
        <v>0</v>
      </c>
      <c r="AB22" s="64"/>
      <c r="AC22" s="65">
        <f>AC20+AC15</f>
        <v>0</v>
      </c>
      <c r="AD22" s="67">
        <f>AD20+AD15</f>
        <v>102</v>
      </c>
      <c r="AE22" s="65">
        <f>AE20+AE15</f>
        <v>608</v>
      </c>
      <c r="AF22" s="64"/>
      <c r="AG22" s="63">
        <f>AG20+AG15</f>
        <v>26</v>
      </c>
      <c r="AH22" s="68"/>
      <c r="AI22" s="63">
        <f>AI20+AI15</f>
        <v>11</v>
      </c>
      <c r="AJ22" s="68"/>
      <c r="AK22" s="63">
        <f>AK20+AK15</f>
        <v>2</v>
      </c>
      <c r="AL22" s="68"/>
      <c r="AM22" s="69">
        <f>SUM(AM20+AM15)/2</f>
        <v>0.18590104166666668</v>
      </c>
      <c r="AN22" s="69">
        <f>SUM(AN20+AN15)/2</f>
        <v>0.21750216175327558</v>
      </c>
      <c r="AO22" s="70"/>
    </row>
    <row r="23" spans="1:41" s="60" customFormat="1" ht="15" x14ac:dyDescent="0.25">
      <c r="O23" s="71"/>
    </row>
    <row r="24" spans="1:41" s="60" customFormat="1" ht="15" x14ac:dyDescent="0.25">
      <c r="O24" s="71"/>
      <c r="W24" s="60" t="s">
        <v>5</v>
      </c>
      <c r="Z24" s="60" t="s">
        <v>5</v>
      </c>
      <c r="AC24" s="60" t="s">
        <v>5</v>
      </c>
    </row>
  </sheetData>
  <mergeCells count="57"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  <mergeCell ref="AM4:AN4"/>
    <mergeCell ref="AO4:AO5"/>
    <mergeCell ref="A6:A15"/>
    <mergeCell ref="B6:B13"/>
    <mergeCell ref="C6:C13"/>
    <mergeCell ref="AD6:AD14"/>
    <mergeCell ref="AE6:AE14"/>
    <mergeCell ref="AF6:AF14"/>
    <mergeCell ref="AG6:AG14"/>
    <mergeCell ref="AH6:AH14"/>
    <mergeCell ref="X4:Z4"/>
    <mergeCell ref="AA4:AC4"/>
    <mergeCell ref="AD4:AE4"/>
    <mergeCell ref="AG4:AH4"/>
    <mergeCell ref="AI4:AJ4"/>
    <mergeCell ref="AK4:AL4"/>
    <mergeCell ref="AI6:AI14"/>
    <mergeCell ref="AJ6:AJ14"/>
    <mergeCell ref="AK6:AK14"/>
    <mergeCell ref="AL6:AL14"/>
    <mergeCell ref="AM6:AM14"/>
    <mergeCell ref="B14:D14"/>
    <mergeCell ref="B15:D15"/>
    <mergeCell ref="A16:A20"/>
    <mergeCell ref="AD16:AD19"/>
    <mergeCell ref="AE16:AE19"/>
    <mergeCell ref="B19:D19"/>
    <mergeCell ref="B20:D20"/>
    <mergeCell ref="AL16:AL19"/>
    <mergeCell ref="AM16:AM19"/>
    <mergeCell ref="AN16:AN19"/>
    <mergeCell ref="AO16:AO19"/>
    <mergeCell ref="AO6:AO14"/>
    <mergeCell ref="AN6:AN14"/>
    <mergeCell ref="A22:E22"/>
    <mergeCell ref="AJ16:AJ19"/>
    <mergeCell ref="AK16:AK19"/>
    <mergeCell ref="AF16:AF19"/>
    <mergeCell ref="AG16:AG19"/>
    <mergeCell ref="AH16:AH19"/>
    <mergeCell ref="AI16:AI19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22" max="5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6" sqref="J6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0.42578125" style="1" bestFit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4.8554687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5.42578125" style="1" bestFit="1" customWidth="1"/>
    <col min="18" max="18" width="7.85546875" style="1" customWidth="1"/>
    <col min="19" max="19" width="6.42578125" style="1" bestFit="1" customWidth="1"/>
    <col min="20" max="20" width="7.42578125" style="1" bestFit="1" customWidth="1"/>
    <col min="21" max="21" width="13.5703125" style="1" bestFit="1" customWidth="1"/>
    <col min="22" max="22" width="6.42578125" style="1" bestFit="1" customWidth="1"/>
    <col min="23" max="23" width="6.1406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45357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54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82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81" t="s">
        <v>26</v>
      </c>
      <c r="G5" s="9" t="s">
        <v>27</v>
      </c>
      <c r="H5" s="10" t="s">
        <v>28</v>
      </c>
      <c r="I5" s="82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80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82" t="s">
        <v>26</v>
      </c>
      <c r="AE5" s="9" t="s">
        <v>27</v>
      </c>
      <c r="AF5" s="81" t="s">
        <v>26</v>
      </c>
      <c r="AG5" s="81" t="s">
        <v>26</v>
      </c>
      <c r="AH5" s="9" t="s">
        <v>27</v>
      </c>
      <c r="AI5" s="81" t="s">
        <v>26</v>
      </c>
      <c r="AJ5" s="15" t="s">
        <v>27</v>
      </c>
      <c r="AK5" s="81" t="s">
        <v>26</v>
      </c>
      <c r="AL5" s="9" t="s">
        <v>27</v>
      </c>
      <c r="AM5" s="82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84">
        <v>680</v>
      </c>
      <c r="F6" s="84"/>
      <c r="G6" s="84">
        <f>680</f>
        <v>680</v>
      </c>
      <c r="H6" s="84">
        <f t="shared" ref="H6:H13" si="0">G6-E6</f>
        <v>0</v>
      </c>
      <c r="I6" s="84"/>
      <c r="J6" s="84">
        <f>428+252</f>
        <v>680</v>
      </c>
      <c r="K6" s="84">
        <f t="shared" ref="K6:K13" si="1">J6-G6</f>
        <v>0</v>
      </c>
      <c r="L6" s="84"/>
      <c r="M6" s="84">
        <f>62+144+4</f>
        <v>210</v>
      </c>
      <c r="N6" s="84">
        <f t="shared" ref="N6:N13" si="2">M6-J6</f>
        <v>-470</v>
      </c>
      <c r="O6" s="84"/>
      <c r="P6" s="84">
        <f>62+144+4</f>
        <v>210</v>
      </c>
      <c r="Q6" s="84">
        <f t="shared" ref="Q6:Q13" si="3">P6-M6</f>
        <v>0</v>
      </c>
      <c r="R6" s="18"/>
      <c r="S6" s="18"/>
      <c r="T6" s="18">
        <f t="shared" ref="T6:T13" si="4">S6-P6</f>
        <v>-210</v>
      </c>
      <c r="U6" s="18"/>
      <c r="V6" s="18"/>
      <c r="W6" s="18">
        <f t="shared" ref="W6:W13" si="5">V6-S6</f>
        <v>0</v>
      </c>
      <c r="X6" s="84"/>
      <c r="Y6" s="84"/>
      <c r="Z6" s="84">
        <f t="shared" ref="Z6:Z13" si="6">Y6-P6</f>
        <v>-210</v>
      </c>
      <c r="AA6" s="84"/>
      <c r="AB6" s="84"/>
      <c r="AC6" s="19">
        <f t="shared" ref="AC6:AC13" si="7">AB6-Y6</f>
        <v>0</v>
      </c>
      <c r="AD6" s="267">
        <f>L14</f>
        <v>20</v>
      </c>
      <c r="AE6" s="267">
        <f>62+144+4+20</f>
        <v>230</v>
      </c>
      <c r="AF6" s="282">
        <v>24.192</v>
      </c>
      <c r="AG6" s="267">
        <v>22</v>
      </c>
      <c r="AH6" s="277">
        <f>6+8+6+10+10+10+20+6+22</f>
        <v>98</v>
      </c>
      <c r="AI6" s="267">
        <v>5</v>
      </c>
      <c r="AJ6" s="277">
        <f>1+2+2+2+3+3+5+4+5</f>
        <v>27</v>
      </c>
      <c r="AK6" s="267">
        <v>1</v>
      </c>
      <c r="AL6" s="277">
        <f>1+1+1+1+1</f>
        <v>5</v>
      </c>
      <c r="AM6" s="270">
        <f>L14*AF6/480/AG6</f>
        <v>4.581818181818182E-2</v>
      </c>
      <c r="AN6" s="270">
        <f>M14*AF6/480/AH6</f>
        <v>0.11828571428571429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>
        <v>20</v>
      </c>
      <c r="M7" s="20">
        <f>20</f>
        <v>20</v>
      </c>
      <c r="N7" s="20">
        <f t="shared" si="2"/>
        <v>-579</v>
      </c>
      <c r="O7" s="20">
        <v>20</v>
      </c>
      <c r="P7" s="20">
        <f>20</f>
        <v>20</v>
      </c>
      <c r="Q7" s="20">
        <f t="shared" si="3"/>
        <v>0</v>
      </c>
      <c r="R7" s="20"/>
      <c r="S7" s="20"/>
      <c r="T7" s="20">
        <f t="shared" si="4"/>
        <v>-20</v>
      </c>
      <c r="U7" s="20"/>
      <c r="V7" s="20"/>
      <c r="W7" s="20">
        <f t="shared" si="5"/>
        <v>0</v>
      </c>
      <c r="X7" s="20"/>
      <c r="Y7" s="20"/>
      <c r="Z7" s="20">
        <f t="shared" si="6"/>
        <v>-20</v>
      </c>
      <c r="AA7" s="20"/>
      <c r="AB7" s="20"/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/>
      <c r="M8" s="20"/>
      <c r="N8" s="20">
        <f t="shared" si="2"/>
        <v>-677</v>
      </c>
      <c r="O8" s="20"/>
      <c r="P8" s="20"/>
      <c r="Q8" s="20">
        <f t="shared" si="3"/>
        <v>0</v>
      </c>
      <c r="R8" s="20"/>
      <c r="S8" s="20"/>
      <c r="T8" s="20">
        <f t="shared" si="4"/>
        <v>0</v>
      </c>
      <c r="U8" s="20"/>
      <c r="V8" s="20"/>
      <c r="W8" s="20">
        <f t="shared" si="5"/>
        <v>0</v>
      </c>
      <c r="X8" s="20"/>
      <c r="Y8" s="20"/>
      <c r="Z8" s="20">
        <f t="shared" si="6"/>
        <v>0</v>
      </c>
      <c r="AA8" s="20"/>
      <c r="AB8" s="20"/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/>
      <c r="N9" s="20">
        <f t="shared" si="2"/>
        <v>-106</v>
      </c>
      <c r="O9" s="20"/>
      <c r="P9" s="20"/>
      <c r="Q9" s="20">
        <f t="shared" si="3"/>
        <v>0</v>
      </c>
      <c r="R9" s="20"/>
      <c r="S9" s="20"/>
      <c r="T9" s="20">
        <f t="shared" si="4"/>
        <v>0</v>
      </c>
      <c r="U9" s="20"/>
      <c r="V9" s="20"/>
      <c r="W9" s="20">
        <f t="shared" si="5"/>
        <v>0</v>
      </c>
      <c r="X9" s="20"/>
      <c r="Y9" s="20"/>
      <c r="Z9" s="20">
        <f t="shared" si="6"/>
        <v>0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279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/>
      <c r="M10" s="20"/>
      <c r="N10" s="20">
        <f t="shared" si="2"/>
        <v>-223</v>
      </c>
      <c r="O10" s="20"/>
      <c r="P10" s="20"/>
      <c r="Q10" s="20">
        <f t="shared" si="3"/>
        <v>0</v>
      </c>
      <c r="R10" s="20"/>
      <c r="S10" s="20"/>
      <c r="T10" s="20">
        <f t="shared" si="4"/>
        <v>0</v>
      </c>
      <c r="U10" s="20"/>
      <c r="V10" s="20"/>
      <c r="W10" s="20">
        <f t="shared" si="5"/>
        <v>0</v>
      </c>
      <c r="X10" s="20"/>
      <c r="Y10" s="20"/>
      <c r="Z10" s="20">
        <f t="shared" si="6"/>
        <v>0</v>
      </c>
      <c r="AA10" s="20"/>
      <c r="AB10" s="20"/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/>
      <c r="N11" s="20">
        <f t="shared" si="2"/>
        <v>-227</v>
      </c>
      <c r="O11" s="20"/>
      <c r="P11" s="20"/>
      <c r="Q11" s="20">
        <f t="shared" si="3"/>
        <v>0</v>
      </c>
      <c r="R11" s="20"/>
      <c r="S11" s="20"/>
      <c r="T11" s="20">
        <f t="shared" si="4"/>
        <v>0</v>
      </c>
      <c r="U11" s="20"/>
      <c r="V11" s="20"/>
      <c r="W11" s="20">
        <f t="shared" si="5"/>
        <v>0</v>
      </c>
      <c r="X11" s="20"/>
      <c r="Y11" s="20"/>
      <c r="Z11" s="20">
        <f t="shared" si="6"/>
        <v>0</v>
      </c>
      <c r="AA11" s="20"/>
      <c r="AB11" s="20"/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>
        <v>242</v>
      </c>
      <c r="J12" s="20">
        <f>242</f>
        <v>242</v>
      </c>
      <c r="K12" s="20">
        <f t="shared" si="1"/>
        <v>0</v>
      </c>
      <c r="L12" s="20"/>
      <c r="M12" s="20"/>
      <c r="N12" s="20">
        <f t="shared" si="2"/>
        <v>-242</v>
      </c>
      <c r="O12" s="20"/>
      <c r="P12" s="20"/>
      <c r="Q12" s="20">
        <f t="shared" si="3"/>
        <v>0</v>
      </c>
      <c r="R12" s="20"/>
      <c r="S12" s="20"/>
      <c r="T12" s="20">
        <f t="shared" si="4"/>
        <v>0</v>
      </c>
      <c r="U12" s="20"/>
      <c r="V12" s="20"/>
      <c r="W12" s="20">
        <f t="shared" si="5"/>
        <v>0</v>
      </c>
      <c r="X12" s="20"/>
      <c r="Y12" s="20"/>
      <c r="Z12" s="20">
        <f t="shared" si="6"/>
        <v>0</v>
      </c>
      <c r="AA12" s="20"/>
      <c r="AB12" s="20"/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ht="18" thickBot="1" x14ac:dyDescent="0.3">
      <c r="A13" s="283"/>
      <c r="B13" s="299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>
        <v>171</v>
      </c>
      <c r="J13" s="20">
        <f>171</f>
        <v>171</v>
      </c>
      <c r="K13" s="20">
        <f t="shared" si="1"/>
        <v>0</v>
      </c>
      <c r="L13" s="20"/>
      <c r="M13" s="20"/>
      <c r="N13" s="20">
        <f t="shared" si="2"/>
        <v>-171</v>
      </c>
      <c r="O13" s="20"/>
      <c r="P13" s="20"/>
      <c r="Q13" s="20">
        <f t="shared" si="3"/>
        <v>0</v>
      </c>
      <c r="R13" s="25"/>
      <c r="S13" s="25"/>
      <c r="T13" s="25">
        <f t="shared" si="4"/>
        <v>0</v>
      </c>
      <c r="U13" s="25"/>
      <c r="V13" s="25"/>
      <c r="W13" s="25">
        <f t="shared" si="5"/>
        <v>0</v>
      </c>
      <c r="X13" s="20"/>
      <c r="Y13" s="20"/>
      <c r="Z13" s="20">
        <f t="shared" si="6"/>
        <v>0</v>
      </c>
      <c r="AA13" s="20"/>
      <c r="AB13" s="20"/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ht="18" thickBot="1" x14ac:dyDescent="0.3">
      <c r="A14" s="283"/>
      <c r="B14" s="272" t="s">
        <v>34</v>
      </c>
      <c r="C14" s="273"/>
      <c r="D14" s="274"/>
      <c r="E14" s="23">
        <f>+SUM(E6:E13)</f>
        <v>3162</v>
      </c>
      <c r="F14" s="23">
        <f>+SUM(F6:F13)</f>
        <v>0</v>
      </c>
      <c r="G14" s="23">
        <f>SUM(G6:G13)</f>
        <v>2925</v>
      </c>
      <c r="H14" s="23">
        <f t="shared" ref="H14:AC14" si="8">+SUM(H6:H13)</f>
        <v>-237</v>
      </c>
      <c r="I14" s="23">
        <f t="shared" si="8"/>
        <v>413</v>
      </c>
      <c r="J14" s="23">
        <f t="shared" si="8"/>
        <v>2925</v>
      </c>
      <c r="K14" s="23">
        <f t="shared" si="8"/>
        <v>0</v>
      </c>
      <c r="L14" s="23">
        <f t="shared" si="8"/>
        <v>20</v>
      </c>
      <c r="M14" s="23">
        <f t="shared" si="8"/>
        <v>230</v>
      </c>
      <c r="N14" s="23">
        <f t="shared" si="8"/>
        <v>-2695</v>
      </c>
      <c r="O14" s="23">
        <f t="shared" si="8"/>
        <v>20</v>
      </c>
      <c r="P14" s="23">
        <f t="shared" si="8"/>
        <v>230</v>
      </c>
      <c r="Q14" s="23">
        <f t="shared" si="8"/>
        <v>0</v>
      </c>
      <c r="R14" s="24">
        <f t="shared" si="8"/>
        <v>0</v>
      </c>
      <c r="S14" s="24">
        <f t="shared" si="8"/>
        <v>0</v>
      </c>
      <c r="T14" s="24">
        <f t="shared" si="8"/>
        <v>-230</v>
      </c>
      <c r="U14" s="24">
        <f t="shared" si="8"/>
        <v>0</v>
      </c>
      <c r="V14" s="24">
        <f t="shared" si="8"/>
        <v>0</v>
      </c>
      <c r="W14" s="24">
        <f t="shared" si="8"/>
        <v>0</v>
      </c>
      <c r="X14" s="23">
        <f t="shared" si="8"/>
        <v>0</v>
      </c>
      <c r="Y14" s="23">
        <f t="shared" si="8"/>
        <v>0</v>
      </c>
      <c r="Z14" s="23">
        <f t="shared" si="8"/>
        <v>-230</v>
      </c>
      <c r="AA14" s="23">
        <f t="shared" si="8"/>
        <v>0</v>
      </c>
      <c r="AB14" s="23">
        <f t="shared" si="8"/>
        <v>0</v>
      </c>
      <c r="AC14" s="15">
        <f t="shared" si="8"/>
        <v>0</v>
      </c>
      <c r="AD14" s="264"/>
      <c r="AE14" s="264"/>
      <c r="AF14" s="269"/>
      <c r="AG14" s="264"/>
      <c r="AH14" s="262"/>
      <c r="AI14" s="264"/>
      <c r="AJ14" s="262"/>
      <c r="AK14" s="264"/>
      <c r="AL14" s="262"/>
      <c r="AM14" s="250"/>
      <c r="AN14" s="250"/>
      <c r="AO14" s="252"/>
    </row>
    <row r="15" spans="1:41" ht="18" thickBot="1" x14ac:dyDescent="0.3">
      <c r="A15" s="284"/>
      <c r="B15" s="275" t="s">
        <v>40</v>
      </c>
      <c r="C15" s="275"/>
      <c r="D15" s="276"/>
      <c r="E15" s="26">
        <f>E14</f>
        <v>3162</v>
      </c>
      <c r="F15" s="26">
        <f t="shared" ref="F15:AC15" si="9">F14</f>
        <v>0</v>
      </c>
      <c r="G15" s="26">
        <f t="shared" si="9"/>
        <v>2925</v>
      </c>
      <c r="H15" s="26">
        <f t="shared" si="9"/>
        <v>-237</v>
      </c>
      <c r="I15" s="26">
        <f t="shared" si="9"/>
        <v>413</v>
      </c>
      <c r="J15" s="26">
        <f t="shared" si="9"/>
        <v>2925</v>
      </c>
      <c r="K15" s="26">
        <f t="shared" si="9"/>
        <v>0</v>
      </c>
      <c r="L15" s="26">
        <f t="shared" si="9"/>
        <v>20</v>
      </c>
      <c r="M15" s="26">
        <f t="shared" si="9"/>
        <v>230</v>
      </c>
      <c r="N15" s="26">
        <f t="shared" si="9"/>
        <v>-2695</v>
      </c>
      <c r="O15" s="26">
        <f t="shared" si="9"/>
        <v>20</v>
      </c>
      <c r="P15" s="26">
        <f t="shared" si="9"/>
        <v>230</v>
      </c>
      <c r="Q15" s="26">
        <f t="shared" si="9"/>
        <v>0</v>
      </c>
      <c r="R15" s="26">
        <f t="shared" si="9"/>
        <v>0</v>
      </c>
      <c r="S15" s="26">
        <f t="shared" si="9"/>
        <v>0</v>
      </c>
      <c r="T15" s="26">
        <f t="shared" si="9"/>
        <v>-230</v>
      </c>
      <c r="U15" s="26">
        <f t="shared" si="9"/>
        <v>0</v>
      </c>
      <c r="V15" s="26">
        <f t="shared" si="9"/>
        <v>0</v>
      </c>
      <c r="W15" s="26">
        <f t="shared" si="9"/>
        <v>0</v>
      </c>
      <c r="X15" s="26">
        <f t="shared" si="9"/>
        <v>0</v>
      </c>
      <c r="Y15" s="26">
        <f t="shared" si="9"/>
        <v>0</v>
      </c>
      <c r="Z15" s="26">
        <f t="shared" si="9"/>
        <v>-230</v>
      </c>
      <c r="AA15" s="26">
        <f t="shared" si="9"/>
        <v>0</v>
      </c>
      <c r="AB15" s="26">
        <f t="shared" si="9"/>
        <v>0</v>
      </c>
      <c r="AC15" s="26">
        <f t="shared" si="9"/>
        <v>0</v>
      </c>
      <c r="AD15" s="27">
        <f t="shared" ref="AD15:AL15" si="10">SUM(AD6:AD14)</f>
        <v>20</v>
      </c>
      <c r="AE15" s="27">
        <f t="shared" si="10"/>
        <v>230</v>
      </c>
      <c r="AF15" s="28">
        <f t="shared" si="10"/>
        <v>24.192</v>
      </c>
      <c r="AG15" s="27">
        <f t="shared" si="10"/>
        <v>22</v>
      </c>
      <c r="AH15" s="27">
        <f t="shared" si="10"/>
        <v>98</v>
      </c>
      <c r="AI15" s="27">
        <f t="shared" si="10"/>
        <v>5</v>
      </c>
      <c r="AJ15" s="27">
        <f t="shared" si="10"/>
        <v>27</v>
      </c>
      <c r="AK15" s="27">
        <f t="shared" si="10"/>
        <v>1</v>
      </c>
      <c r="AL15" s="27">
        <f t="shared" si="10"/>
        <v>5</v>
      </c>
      <c r="AM15" s="29">
        <f>L15*AF15/480/AG15</f>
        <v>4.581818181818182E-2</v>
      </c>
      <c r="AN15" s="30">
        <f>M15*AF15/480/AH15</f>
        <v>0.11828571428571429</v>
      </c>
      <c r="AO15" s="31"/>
    </row>
    <row r="16" spans="1:41" ht="18.75" customHeight="1" x14ac:dyDescent="0.25">
      <c r="A16" s="265" t="s">
        <v>32</v>
      </c>
      <c r="B16" s="83" t="s">
        <v>41</v>
      </c>
      <c r="C16" s="300" t="s">
        <v>37</v>
      </c>
      <c r="D16" s="34" t="s">
        <v>42</v>
      </c>
      <c r="E16" s="84">
        <v>1645</v>
      </c>
      <c r="F16" s="84"/>
      <c r="G16" s="84">
        <f>1433</f>
        <v>1433</v>
      </c>
      <c r="H16" s="84">
        <f t="shared" ref="H16:H18" si="11">G16-E16</f>
        <v>-212</v>
      </c>
      <c r="I16" s="84"/>
      <c r="J16" s="84">
        <f>100+200+300+350+400+83</f>
        <v>1433</v>
      </c>
      <c r="K16" s="84">
        <f t="shared" ref="K16:K18" si="12">J16-G16</f>
        <v>0</v>
      </c>
      <c r="L16" s="84">
        <f>755-622</f>
        <v>133</v>
      </c>
      <c r="M16" s="84">
        <f>102+201+302+351-99-125-110+133</f>
        <v>755</v>
      </c>
      <c r="N16" s="84">
        <f t="shared" ref="N16:N18" si="13">M16-J16</f>
        <v>-678</v>
      </c>
      <c r="O16" s="84">
        <v>133</v>
      </c>
      <c r="P16" s="84">
        <f>108+163+112+27+116+96+133</f>
        <v>755</v>
      </c>
      <c r="Q16" s="84">
        <f t="shared" ref="Q16:Q18" si="14">P16-M16</f>
        <v>0</v>
      </c>
      <c r="R16" s="84"/>
      <c r="S16" s="84">
        <f>20+130+200</f>
        <v>350</v>
      </c>
      <c r="T16" s="35">
        <f t="shared" ref="T16:T18" si="15">S16-P16</f>
        <v>-405</v>
      </c>
      <c r="U16" s="84"/>
      <c r="V16" s="84">
        <f>20+330</f>
        <v>350</v>
      </c>
      <c r="W16" s="35">
        <f t="shared" ref="W16:W18" si="16">V16-S16</f>
        <v>0</v>
      </c>
      <c r="X16" s="84"/>
      <c r="Y16" s="84"/>
      <c r="Z16" s="84">
        <f t="shared" ref="Z16:Z18" si="17">Y16-P16</f>
        <v>-755</v>
      </c>
      <c r="AA16" s="84"/>
      <c r="AB16" s="84"/>
      <c r="AC16" s="33">
        <f t="shared" ref="AC16:AC18" si="18">AB16-Y16</f>
        <v>0</v>
      </c>
      <c r="AD16" s="267">
        <f>L19</f>
        <v>344</v>
      </c>
      <c r="AE16" s="263">
        <f>300+98+344</f>
        <v>742</v>
      </c>
      <c r="AF16" s="268">
        <v>33.130000000000003</v>
      </c>
      <c r="AG16" s="263">
        <v>20</v>
      </c>
      <c r="AH16" s="261">
        <f>2+10+8+8+8+6+6+6+9+5+6+8+7+7+6+6+6+6+6+6+7+7+7+7+6+7+17+16+16+22+21+21+10+20+20</f>
        <v>336</v>
      </c>
      <c r="AI16" s="263">
        <v>6</v>
      </c>
      <c r="AJ16" s="261">
        <f>1+1+1+1+1+1+1+2+2+2+2+2+2+2+2+2+2+1+1+1+1+1+1+1+1+4+3+4+5+8+8+6+7+6</f>
        <v>86</v>
      </c>
      <c r="AK16" s="263">
        <v>1</v>
      </c>
      <c r="AL16" s="261">
        <f>1+1+1+1+1+1+1+1+1+1+1+1+1+1+1+1+2+2+2+2+2+1</f>
        <v>27</v>
      </c>
      <c r="AM16" s="249">
        <f>L19*AF16/480/AG16</f>
        <v>1.1871583333333335</v>
      </c>
      <c r="AN16" s="249">
        <f>M19*AF16/480/AH16</f>
        <v>0.34880171130952381</v>
      </c>
      <c r="AO16" s="251"/>
    </row>
    <row r="17" spans="1:41" ht="18.75" customHeight="1" x14ac:dyDescent="0.25">
      <c r="A17" s="265"/>
      <c r="B17" s="36" t="s">
        <v>43</v>
      </c>
      <c r="C17" s="301"/>
      <c r="D17" s="38" t="s">
        <v>44</v>
      </c>
      <c r="E17" s="20">
        <v>1245</v>
      </c>
      <c r="F17" s="20"/>
      <c r="G17" s="20">
        <f>1238</f>
        <v>1238</v>
      </c>
      <c r="H17" s="20">
        <f t="shared" si="11"/>
        <v>-7</v>
      </c>
      <c r="I17" s="20"/>
      <c r="J17" s="20">
        <f>650+588</f>
        <v>1238</v>
      </c>
      <c r="K17" s="20">
        <f t="shared" si="12"/>
        <v>0</v>
      </c>
      <c r="L17" s="20">
        <f>833-732</f>
        <v>101</v>
      </c>
      <c r="M17" s="20">
        <f>300+99+125+110+98+101</f>
        <v>833</v>
      </c>
      <c r="N17" s="20">
        <f t="shared" si="13"/>
        <v>-405</v>
      </c>
      <c r="O17" s="20">
        <v>101</v>
      </c>
      <c r="P17" s="20">
        <f>36+128+235+125+208+101</f>
        <v>833</v>
      </c>
      <c r="Q17" s="20">
        <f t="shared" si="14"/>
        <v>0</v>
      </c>
      <c r="R17" s="20"/>
      <c r="S17" s="20">
        <f>20+300</f>
        <v>320</v>
      </c>
      <c r="T17" s="39">
        <f t="shared" si="15"/>
        <v>-513</v>
      </c>
      <c r="U17" s="20"/>
      <c r="V17" s="20">
        <f>20</f>
        <v>20</v>
      </c>
      <c r="W17" s="39">
        <f t="shared" si="16"/>
        <v>-300</v>
      </c>
      <c r="X17" s="20"/>
      <c r="Y17" s="20"/>
      <c r="Z17" s="20">
        <f t="shared" si="17"/>
        <v>-833</v>
      </c>
      <c r="AA17" s="20"/>
      <c r="AB17" s="20"/>
      <c r="AC17" s="37">
        <f t="shared" si="18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.75" customHeight="1" thickBot="1" x14ac:dyDescent="0.3">
      <c r="A18" s="265"/>
      <c r="B18" s="40" t="s">
        <v>45</v>
      </c>
      <c r="C18" s="302"/>
      <c r="D18" s="42" t="s">
        <v>46</v>
      </c>
      <c r="E18" s="25">
        <v>1300</v>
      </c>
      <c r="F18" s="25"/>
      <c r="G18" s="25">
        <f>1183</f>
        <v>1183</v>
      </c>
      <c r="H18" s="25">
        <f t="shared" si="11"/>
        <v>-117</v>
      </c>
      <c r="I18" s="25"/>
      <c r="J18" s="25">
        <f>520+663</f>
        <v>1183</v>
      </c>
      <c r="K18" s="25">
        <f t="shared" si="12"/>
        <v>0</v>
      </c>
      <c r="L18" s="25">
        <v>110</v>
      </c>
      <c r="M18" s="25">
        <f>110</f>
        <v>110</v>
      </c>
      <c r="N18" s="25">
        <f t="shared" si="13"/>
        <v>-1073</v>
      </c>
      <c r="O18" s="25">
        <v>110</v>
      </c>
      <c r="P18" s="25">
        <f>110</f>
        <v>110</v>
      </c>
      <c r="Q18" s="25">
        <f t="shared" si="14"/>
        <v>0</v>
      </c>
      <c r="R18" s="25"/>
      <c r="S18" s="25"/>
      <c r="T18" s="43">
        <f t="shared" si="15"/>
        <v>-110</v>
      </c>
      <c r="U18" s="25"/>
      <c r="V18" s="25"/>
      <c r="W18" s="43">
        <f t="shared" si="16"/>
        <v>0</v>
      </c>
      <c r="X18" s="25"/>
      <c r="Y18" s="25"/>
      <c r="Z18" s="25">
        <f t="shared" si="17"/>
        <v>-110</v>
      </c>
      <c r="AA18" s="25"/>
      <c r="AB18" s="25"/>
      <c r="AC18" s="44">
        <f t="shared" si="18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65"/>
      <c r="B19" s="253" t="s">
        <v>34</v>
      </c>
      <c r="C19" s="254"/>
      <c r="D19" s="255"/>
      <c r="E19" s="24">
        <f>+SUM(E16:E18)</f>
        <v>4190</v>
      </c>
      <c r="F19" s="24">
        <f t="shared" ref="F19:AC19" si="19">+SUM(F16:F18)</f>
        <v>0</v>
      </c>
      <c r="G19" s="24">
        <f t="shared" si="19"/>
        <v>3854</v>
      </c>
      <c r="H19" s="24">
        <f t="shared" si="19"/>
        <v>-336</v>
      </c>
      <c r="I19" s="24">
        <f t="shared" si="19"/>
        <v>0</v>
      </c>
      <c r="J19" s="24">
        <f t="shared" si="19"/>
        <v>3854</v>
      </c>
      <c r="K19" s="24">
        <f t="shared" si="19"/>
        <v>0</v>
      </c>
      <c r="L19" s="24">
        <f t="shared" si="19"/>
        <v>344</v>
      </c>
      <c r="M19" s="24">
        <f t="shared" si="19"/>
        <v>1698</v>
      </c>
      <c r="N19" s="24">
        <f t="shared" si="19"/>
        <v>-2156</v>
      </c>
      <c r="O19" s="24">
        <f t="shared" si="19"/>
        <v>344</v>
      </c>
      <c r="P19" s="24">
        <f t="shared" si="19"/>
        <v>1698</v>
      </c>
      <c r="Q19" s="24">
        <f t="shared" si="19"/>
        <v>0</v>
      </c>
      <c r="R19" s="24">
        <f t="shared" si="19"/>
        <v>0</v>
      </c>
      <c r="S19" s="24">
        <f t="shared" si="19"/>
        <v>670</v>
      </c>
      <c r="T19" s="24">
        <f t="shared" si="19"/>
        <v>-1028</v>
      </c>
      <c r="U19" s="24">
        <f t="shared" si="19"/>
        <v>0</v>
      </c>
      <c r="V19" s="24">
        <f t="shared" si="19"/>
        <v>370</v>
      </c>
      <c r="W19" s="24">
        <f t="shared" si="19"/>
        <v>-300</v>
      </c>
      <c r="X19" s="24">
        <f t="shared" si="19"/>
        <v>0</v>
      </c>
      <c r="Y19" s="24">
        <f t="shared" si="19"/>
        <v>0</v>
      </c>
      <c r="Z19" s="24">
        <f t="shared" si="19"/>
        <v>-1698</v>
      </c>
      <c r="AA19" s="24">
        <f t="shared" si="19"/>
        <v>0</v>
      </c>
      <c r="AB19" s="24">
        <f t="shared" si="19"/>
        <v>0</v>
      </c>
      <c r="AC19" s="24">
        <f t="shared" si="19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" customHeight="1" thickBot="1" x14ac:dyDescent="0.3">
      <c r="A20" s="266"/>
      <c r="B20" s="256" t="s">
        <v>40</v>
      </c>
      <c r="C20" s="256"/>
      <c r="D20" s="257"/>
      <c r="E20" s="26">
        <f>E19</f>
        <v>4190</v>
      </c>
      <c r="F20" s="26">
        <f t="shared" ref="F20:AC20" si="20">F19</f>
        <v>0</v>
      </c>
      <c r="G20" s="26">
        <f t="shared" si="20"/>
        <v>3854</v>
      </c>
      <c r="H20" s="26">
        <f t="shared" si="20"/>
        <v>-336</v>
      </c>
      <c r="I20" s="26">
        <f t="shared" si="20"/>
        <v>0</v>
      </c>
      <c r="J20" s="26">
        <f t="shared" si="20"/>
        <v>3854</v>
      </c>
      <c r="K20" s="26">
        <f t="shared" si="20"/>
        <v>0</v>
      </c>
      <c r="L20" s="26">
        <f t="shared" si="20"/>
        <v>344</v>
      </c>
      <c r="M20" s="26">
        <f t="shared" si="20"/>
        <v>1698</v>
      </c>
      <c r="N20" s="26">
        <f t="shared" si="20"/>
        <v>-2156</v>
      </c>
      <c r="O20" s="26">
        <f t="shared" si="20"/>
        <v>344</v>
      </c>
      <c r="P20" s="26">
        <f t="shared" si="20"/>
        <v>1698</v>
      </c>
      <c r="Q20" s="26">
        <f t="shared" si="20"/>
        <v>0</v>
      </c>
      <c r="R20" s="26">
        <f t="shared" si="20"/>
        <v>0</v>
      </c>
      <c r="S20" s="26">
        <f t="shared" si="20"/>
        <v>670</v>
      </c>
      <c r="T20" s="26">
        <f t="shared" si="20"/>
        <v>-1028</v>
      </c>
      <c r="U20" s="26">
        <f t="shared" si="20"/>
        <v>0</v>
      </c>
      <c r="V20" s="26">
        <f t="shared" si="20"/>
        <v>370</v>
      </c>
      <c r="W20" s="26">
        <f t="shared" si="20"/>
        <v>-300</v>
      </c>
      <c r="X20" s="26">
        <f t="shared" si="20"/>
        <v>0</v>
      </c>
      <c r="Y20" s="26">
        <f t="shared" si="20"/>
        <v>0</v>
      </c>
      <c r="Z20" s="26">
        <f t="shared" si="20"/>
        <v>-1698</v>
      </c>
      <c r="AA20" s="26">
        <f t="shared" si="20"/>
        <v>0</v>
      </c>
      <c r="AB20" s="26">
        <f t="shared" si="20"/>
        <v>0</v>
      </c>
      <c r="AC20" s="26">
        <f t="shared" si="20"/>
        <v>0</v>
      </c>
      <c r="AD20" s="45">
        <f t="shared" ref="AD20:AL20" si="21">SUM(AD16:AD19)</f>
        <v>344</v>
      </c>
      <c r="AE20" s="45">
        <f t="shared" si="21"/>
        <v>742</v>
      </c>
      <c r="AF20" s="46">
        <f t="shared" si="21"/>
        <v>33.130000000000003</v>
      </c>
      <c r="AG20" s="45">
        <f t="shared" si="21"/>
        <v>20</v>
      </c>
      <c r="AH20" s="45">
        <f t="shared" si="21"/>
        <v>336</v>
      </c>
      <c r="AI20" s="45">
        <f t="shared" si="21"/>
        <v>6</v>
      </c>
      <c r="AJ20" s="45">
        <f t="shared" si="21"/>
        <v>86</v>
      </c>
      <c r="AK20" s="45">
        <f t="shared" si="21"/>
        <v>1</v>
      </c>
      <c r="AL20" s="45">
        <f t="shared" si="21"/>
        <v>27</v>
      </c>
      <c r="AM20" s="47">
        <f>L20*AF20/480/AG20</f>
        <v>1.1871583333333335</v>
      </c>
      <c r="AN20" s="48">
        <f>M20*AF20/480/AH20</f>
        <v>0.34880171130952381</v>
      </c>
      <c r="AO20" s="49"/>
    </row>
    <row r="21" spans="1:41" s="60" customFormat="1" ht="15.75" thickBot="1" x14ac:dyDescent="0.3">
      <c r="A21" s="50"/>
      <c r="B21" s="51"/>
      <c r="C21" s="51"/>
      <c r="D21" s="51"/>
      <c r="E21" s="51"/>
      <c r="F21" s="52"/>
      <c r="G21" s="51"/>
      <c r="H21" s="51"/>
      <c r="I21" s="86"/>
      <c r="J21" s="54"/>
      <c r="K21" s="51"/>
      <c r="L21" s="55"/>
      <c r="M21" s="51"/>
      <c r="N21" s="51"/>
      <c r="O21" s="56"/>
      <c r="P21" s="51"/>
      <c r="Q21" s="51"/>
      <c r="R21" s="55"/>
      <c r="S21" s="51"/>
      <c r="T21" s="51"/>
      <c r="U21" s="55"/>
      <c r="V21" s="51"/>
      <c r="W21" s="51"/>
      <c r="X21" s="55"/>
      <c r="Y21" s="51"/>
      <c r="Z21" s="51"/>
      <c r="AA21" s="55"/>
      <c r="AB21" s="51"/>
      <c r="AC21" s="51"/>
      <c r="AD21" s="85"/>
      <c r="AE21" s="58"/>
      <c r="AF21" s="51"/>
      <c r="AG21" s="85"/>
      <c r="AH21" s="58"/>
      <c r="AI21" s="85"/>
      <c r="AJ21" s="58"/>
      <c r="AK21" s="85"/>
      <c r="AL21" s="58"/>
      <c r="AM21" s="85"/>
      <c r="AN21" s="55"/>
      <c r="AO21" s="59"/>
    </row>
    <row r="22" spans="1:41" s="60" customFormat="1" ht="15.75" thickBot="1" x14ac:dyDescent="0.3">
      <c r="A22" s="258" t="s">
        <v>47</v>
      </c>
      <c r="B22" s="259"/>
      <c r="C22" s="259"/>
      <c r="D22" s="259"/>
      <c r="E22" s="260"/>
      <c r="F22" s="63">
        <f>F20+F15</f>
        <v>0</v>
      </c>
      <c r="G22" s="64"/>
      <c r="H22" s="64"/>
      <c r="I22" s="63">
        <f>I20+I15</f>
        <v>413</v>
      </c>
      <c r="J22" s="64"/>
      <c r="K22" s="65">
        <f>K20+K15</f>
        <v>0</v>
      </c>
      <c r="L22" s="66">
        <f>L20+L15</f>
        <v>364</v>
      </c>
      <c r="M22" s="64"/>
      <c r="N22" s="65">
        <f>N20+N15</f>
        <v>-4851</v>
      </c>
      <c r="O22" s="66">
        <f>O20+O15</f>
        <v>364</v>
      </c>
      <c r="P22" s="64"/>
      <c r="Q22" s="65">
        <f>Q20+Q15</f>
        <v>0</v>
      </c>
      <c r="R22" s="66">
        <f>R20+R15</f>
        <v>0</v>
      </c>
      <c r="S22" s="64"/>
      <c r="T22" s="65">
        <f>T20+T15</f>
        <v>-1258</v>
      </c>
      <c r="U22" s="66">
        <f>U20+U15</f>
        <v>0</v>
      </c>
      <c r="V22" s="64"/>
      <c r="W22" s="65">
        <f>W20+W15</f>
        <v>-300</v>
      </c>
      <c r="X22" s="66">
        <f>X20+X15</f>
        <v>0</v>
      </c>
      <c r="Y22" s="64"/>
      <c r="Z22" s="65">
        <f>Z20+Z15</f>
        <v>-1928</v>
      </c>
      <c r="AA22" s="66">
        <f>AA20+AA15</f>
        <v>0</v>
      </c>
      <c r="AB22" s="64"/>
      <c r="AC22" s="65">
        <f>AC20+AC15</f>
        <v>0</v>
      </c>
      <c r="AD22" s="67">
        <f>AD20+AD15</f>
        <v>364</v>
      </c>
      <c r="AE22" s="65">
        <f>AE20+AE15</f>
        <v>972</v>
      </c>
      <c r="AF22" s="64"/>
      <c r="AG22" s="63">
        <f>AG20+AG15</f>
        <v>42</v>
      </c>
      <c r="AH22" s="68"/>
      <c r="AI22" s="63">
        <f>AI20+AI15</f>
        <v>11</v>
      </c>
      <c r="AJ22" s="68"/>
      <c r="AK22" s="63">
        <f>AK20+AK15</f>
        <v>2</v>
      </c>
      <c r="AL22" s="68"/>
      <c r="AM22" s="69">
        <f>SUM(AM20+AM15)/2</f>
        <v>0.61648825757575765</v>
      </c>
      <c r="AN22" s="69">
        <f>SUM(AN20+AN15)/2</f>
        <v>0.23354371279761904</v>
      </c>
      <c r="AO22" s="70"/>
    </row>
    <row r="23" spans="1:41" s="60" customFormat="1" ht="15" x14ac:dyDescent="0.25">
      <c r="O23" s="71"/>
    </row>
    <row r="24" spans="1:41" s="60" customFormat="1" ht="15" x14ac:dyDescent="0.25">
      <c r="O24" s="71"/>
      <c r="W24" s="60" t="s">
        <v>5</v>
      </c>
      <c r="Z24" s="60" t="s">
        <v>5</v>
      </c>
      <c r="AC24" s="60" t="s">
        <v>5</v>
      </c>
    </row>
  </sheetData>
  <mergeCells count="59">
    <mergeCell ref="B19:D19"/>
    <mergeCell ref="B20:D20"/>
    <mergeCell ref="A22:E22"/>
    <mergeCell ref="B6:B9"/>
    <mergeCell ref="B10:B13"/>
    <mergeCell ref="C16:C18"/>
    <mergeCell ref="AJ16:AJ19"/>
    <mergeCell ref="AK16:AK19"/>
    <mergeCell ref="AL16:AL19"/>
    <mergeCell ref="AM16:AM19"/>
    <mergeCell ref="AN16:AN19"/>
    <mergeCell ref="AO16:AO19"/>
    <mergeCell ref="AO6:AO14"/>
    <mergeCell ref="B14:D14"/>
    <mergeCell ref="B15:D15"/>
    <mergeCell ref="A16:A20"/>
    <mergeCell ref="AD16:AD19"/>
    <mergeCell ref="AE16:AE19"/>
    <mergeCell ref="AF16:AF19"/>
    <mergeCell ref="AG16:AG19"/>
    <mergeCell ref="AH16:AH19"/>
    <mergeCell ref="AI16:AI19"/>
    <mergeCell ref="AI6:AI14"/>
    <mergeCell ref="AJ6:AJ14"/>
    <mergeCell ref="AK6:AK14"/>
    <mergeCell ref="AL6:AL14"/>
    <mergeCell ref="AM6:AM14"/>
    <mergeCell ref="AN6:AN14"/>
    <mergeCell ref="AM4:AN4"/>
    <mergeCell ref="AO4:AO5"/>
    <mergeCell ref="A6:A15"/>
    <mergeCell ref="C6:C13"/>
    <mergeCell ref="AD6:AD14"/>
    <mergeCell ref="AE6:AE14"/>
    <mergeCell ref="AF6:AF14"/>
    <mergeCell ref="AG6:AG14"/>
    <mergeCell ref="AH6:AH14"/>
    <mergeCell ref="X4:Z4"/>
    <mergeCell ref="AA4:AC4"/>
    <mergeCell ref="AD4:AE4"/>
    <mergeCell ref="AG4:AH4"/>
    <mergeCell ref="AI4:AJ4"/>
    <mergeCell ref="AK4:AL4"/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22" max="5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16" sqref="A16:A20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0.42578125" style="1" bestFit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4.8554687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5.42578125" style="1" bestFit="1" customWidth="1"/>
    <col min="18" max="18" width="7.85546875" style="1" customWidth="1"/>
    <col min="19" max="19" width="6.42578125" style="1" bestFit="1" customWidth="1"/>
    <col min="20" max="20" width="7.42578125" style="1" bestFit="1" customWidth="1"/>
    <col min="21" max="21" width="13.5703125" style="1" bestFit="1" customWidth="1"/>
    <col min="22" max="22" width="6.42578125" style="1" bestFit="1" customWidth="1"/>
    <col min="23" max="23" width="6.1406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45358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56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89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92" t="s">
        <v>26</v>
      </c>
      <c r="G5" s="9" t="s">
        <v>27</v>
      </c>
      <c r="H5" s="10" t="s">
        <v>28</v>
      </c>
      <c r="I5" s="89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93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89" t="s">
        <v>26</v>
      </c>
      <c r="AE5" s="9" t="s">
        <v>27</v>
      </c>
      <c r="AF5" s="92" t="s">
        <v>26</v>
      </c>
      <c r="AG5" s="92" t="s">
        <v>26</v>
      </c>
      <c r="AH5" s="9" t="s">
        <v>27</v>
      </c>
      <c r="AI5" s="92" t="s">
        <v>26</v>
      </c>
      <c r="AJ5" s="15" t="s">
        <v>27</v>
      </c>
      <c r="AK5" s="92" t="s">
        <v>26</v>
      </c>
      <c r="AL5" s="9" t="s">
        <v>27</v>
      </c>
      <c r="AM5" s="89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91">
        <v>680</v>
      </c>
      <c r="F6" s="91"/>
      <c r="G6" s="91">
        <f>680</f>
        <v>680</v>
      </c>
      <c r="H6" s="91">
        <f t="shared" ref="H6:H13" si="0">G6-E6</f>
        <v>0</v>
      </c>
      <c r="I6" s="91"/>
      <c r="J6" s="91">
        <f>428+252</f>
        <v>680</v>
      </c>
      <c r="K6" s="91">
        <f t="shared" ref="K6:K13" si="1">J6-G6</f>
        <v>0</v>
      </c>
      <c r="L6" s="91"/>
      <c r="M6" s="91">
        <f>62+144+4</f>
        <v>210</v>
      </c>
      <c r="N6" s="91">
        <f t="shared" ref="N6:N13" si="2">M6-J6</f>
        <v>-470</v>
      </c>
      <c r="O6" s="91"/>
      <c r="P6" s="91">
        <f>62+144+4</f>
        <v>210</v>
      </c>
      <c r="Q6" s="91">
        <f t="shared" ref="Q6:Q13" si="3">P6-M6</f>
        <v>0</v>
      </c>
      <c r="R6" s="18"/>
      <c r="S6" s="18"/>
      <c r="T6" s="18">
        <f t="shared" ref="T6:T13" si="4">S6-P6</f>
        <v>-210</v>
      </c>
      <c r="U6" s="18"/>
      <c r="V6" s="18"/>
      <c r="W6" s="18">
        <f t="shared" ref="W6:W13" si="5">V6-S6</f>
        <v>0</v>
      </c>
      <c r="X6" s="91"/>
      <c r="Y6" s="91"/>
      <c r="Z6" s="91">
        <f t="shared" ref="Z6:Z13" si="6">Y6-P6</f>
        <v>-210</v>
      </c>
      <c r="AA6" s="91"/>
      <c r="AB6" s="91"/>
      <c r="AC6" s="19">
        <f t="shared" ref="AC6:AC13" si="7">AB6-Y6</f>
        <v>0</v>
      </c>
      <c r="AD6" s="267">
        <f>L14</f>
        <v>190</v>
      </c>
      <c r="AE6" s="267">
        <f>62+144+4+20+190</f>
        <v>420</v>
      </c>
      <c r="AF6" s="282">
        <v>24.192</v>
      </c>
      <c r="AG6" s="267">
        <v>13</v>
      </c>
      <c r="AH6" s="277">
        <f>6+8+6+10+10+10+20+6+22+13</f>
        <v>111</v>
      </c>
      <c r="AI6" s="267">
        <v>5</v>
      </c>
      <c r="AJ6" s="277">
        <f>1+2+2+2+3+3+5+4+5+5</f>
        <v>32</v>
      </c>
      <c r="AK6" s="267">
        <v>1</v>
      </c>
      <c r="AL6" s="277">
        <f>1+1+1+1+1+1</f>
        <v>6</v>
      </c>
      <c r="AM6" s="270">
        <f>L14*AF6/480/AG6</f>
        <v>0.73661538461538467</v>
      </c>
      <c r="AN6" s="270">
        <f>M14*AF6/480/AH6</f>
        <v>0.1907027027027027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>
        <v>117</v>
      </c>
      <c r="M7" s="20">
        <f>20+117</f>
        <v>137</v>
      </c>
      <c r="N7" s="20">
        <f t="shared" si="2"/>
        <v>-462</v>
      </c>
      <c r="O7" s="20">
        <v>117</v>
      </c>
      <c r="P7" s="20">
        <f>20+117</f>
        <v>137</v>
      </c>
      <c r="Q7" s="20">
        <f t="shared" si="3"/>
        <v>0</v>
      </c>
      <c r="R7" s="20"/>
      <c r="S7" s="20"/>
      <c r="T7" s="20">
        <f t="shared" si="4"/>
        <v>-137</v>
      </c>
      <c r="U7" s="20"/>
      <c r="V7" s="20"/>
      <c r="W7" s="20">
        <f t="shared" si="5"/>
        <v>0</v>
      </c>
      <c r="X7" s="20"/>
      <c r="Y7" s="20"/>
      <c r="Z7" s="20">
        <f t="shared" si="6"/>
        <v>-137</v>
      </c>
      <c r="AA7" s="20"/>
      <c r="AB7" s="20"/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>
        <v>73</v>
      </c>
      <c r="M8" s="20">
        <f>73</f>
        <v>73</v>
      </c>
      <c r="N8" s="20">
        <f t="shared" si="2"/>
        <v>-604</v>
      </c>
      <c r="O8" s="20">
        <v>73</v>
      </c>
      <c r="P8" s="20">
        <f>73</f>
        <v>73</v>
      </c>
      <c r="Q8" s="20">
        <f t="shared" si="3"/>
        <v>0</v>
      </c>
      <c r="R8" s="20"/>
      <c r="S8" s="20"/>
      <c r="T8" s="20">
        <f t="shared" si="4"/>
        <v>-73</v>
      </c>
      <c r="U8" s="20"/>
      <c r="V8" s="20"/>
      <c r="W8" s="20">
        <f t="shared" si="5"/>
        <v>0</v>
      </c>
      <c r="X8" s="20"/>
      <c r="Y8" s="20"/>
      <c r="Z8" s="20">
        <f t="shared" si="6"/>
        <v>-73</v>
      </c>
      <c r="AA8" s="20"/>
      <c r="AB8" s="20"/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/>
      <c r="N9" s="20">
        <f t="shared" si="2"/>
        <v>-106</v>
      </c>
      <c r="O9" s="20"/>
      <c r="P9" s="20"/>
      <c r="Q9" s="20">
        <f t="shared" si="3"/>
        <v>0</v>
      </c>
      <c r="R9" s="20"/>
      <c r="S9" s="20"/>
      <c r="T9" s="20">
        <f t="shared" si="4"/>
        <v>0</v>
      </c>
      <c r="U9" s="20"/>
      <c r="V9" s="20"/>
      <c r="W9" s="20">
        <f t="shared" si="5"/>
        <v>0</v>
      </c>
      <c r="X9" s="20"/>
      <c r="Y9" s="20"/>
      <c r="Z9" s="20">
        <f t="shared" si="6"/>
        <v>0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279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/>
      <c r="M10" s="20"/>
      <c r="N10" s="20">
        <f t="shared" si="2"/>
        <v>-223</v>
      </c>
      <c r="O10" s="20"/>
      <c r="P10" s="20"/>
      <c r="Q10" s="20">
        <f t="shared" si="3"/>
        <v>0</v>
      </c>
      <c r="R10" s="20"/>
      <c r="S10" s="20"/>
      <c r="T10" s="20">
        <f t="shared" si="4"/>
        <v>0</v>
      </c>
      <c r="U10" s="20"/>
      <c r="V10" s="20"/>
      <c r="W10" s="20">
        <f t="shared" si="5"/>
        <v>0</v>
      </c>
      <c r="X10" s="20"/>
      <c r="Y10" s="20"/>
      <c r="Z10" s="20">
        <f t="shared" si="6"/>
        <v>0</v>
      </c>
      <c r="AA10" s="20"/>
      <c r="AB10" s="20"/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/>
      <c r="N11" s="20">
        <f t="shared" si="2"/>
        <v>-227</v>
      </c>
      <c r="O11" s="20"/>
      <c r="P11" s="20"/>
      <c r="Q11" s="20">
        <f t="shared" si="3"/>
        <v>0</v>
      </c>
      <c r="R11" s="20"/>
      <c r="S11" s="20"/>
      <c r="T11" s="20">
        <f t="shared" si="4"/>
        <v>0</v>
      </c>
      <c r="U11" s="20"/>
      <c r="V11" s="20"/>
      <c r="W11" s="20">
        <f t="shared" si="5"/>
        <v>0</v>
      </c>
      <c r="X11" s="20"/>
      <c r="Y11" s="20"/>
      <c r="Z11" s="20">
        <f t="shared" si="6"/>
        <v>0</v>
      </c>
      <c r="AA11" s="20"/>
      <c r="AB11" s="20"/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/>
      <c r="M12" s="20"/>
      <c r="N12" s="20">
        <f t="shared" si="2"/>
        <v>-242</v>
      </c>
      <c r="O12" s="20"/>
      <c r="P12" s="20"/>
      <c r="Q12" s="20">
        <f t="shared" si="3"/>
        <v>0</v>
      </c>
      <c r="R12" s="20"/>
      <c r="S12" s="20"/>
      <c r="T12" s="20">
        <f t="shared" si="4"/>
        <v>0</v>
      </c>
      <c r="U12" s="20"/>
      <c r="V12" s="20"/>
      <c r="W12" s="20">
        <f t="shared" si="5"/>
        <v>0</v>
      </c>
      <c r="X12" s="20"/>
      <c r="Y12" s="20"/>
      <c r="Z12" s="20">
        <f t="shared" si="6"/>
        <v>0</v>
      </c>
      <c r="AA12" s="20"/>
      <c r="AB12" s="20"/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ht="18" thickBot="1" x14ac:dyDescent="0.3">
      <c r="A13" s="283"/>
      <c r="B13" s="299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/>
      <c r="M13" s="20"/>
      <c r="N13" s="20">
        <f t="shared" si="2"/>
        <v>-171</v>
      </c>
      <c r="O13" s="20"/>
      <c r="P13" s="20"/>
      <c r="Q13" s="20">
        <f t="shared" si="3"/>
        <v>0</v>
      </c>
      <c r="R13" s="25"/>
      <c r="S13" s="25"/>
      <c r="T13" s="25">
        <f t="shared" si="4"/>
        <v>0</v>
      </c>
      <c r="U13" s="25"/>
      <c r="V13" s="25"/>
      <c r="W13" s="25">
        <f t="shared" si="5"/>
        <v>0</v>
      </c>
      <c r="X13" s="20"/>
      <c r="Y13" s="20"/>
      <c r="Z13" s="20">
        <f t="shared" si="6"/>
        <v>0</v>
      </c>
      <c r="AA13" s="20"/>
      <c r="AB13" s="20"/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ht="18" thickBot="1" x14ac:dyDescent="0.3">
      <c r="A14" s="283"/>
      <c r="B14" s="272" t="s">
        <v>34</v>
      </c>
      <c r="C14" s="273"/>
      <c r="D14" s="274"/>
      <c r="E14" s="23">
        <f>+SUM(E6:E13)</f>
        <v>3162</v>
      </c>
      <c r="F14" s="23">
        <f>+SUM(F6:F13)</f>
        <v>0</v>
      </c>
      <c r="G14" s="23">
        <f>SUM(G6:G13)</f>
        <v>2925</v>
      </c>
      <c r="H14" s="23">
        <f t="shared" ref="H14:AC14" si="8">+SUM(H6:H13)</f>
        <v>-237</v>
      </c>
      <c r="I14" s="23">
        <f t="shared" si="8"/>
        <v>0</v>
      </c>
      <c r="J14" s="23">
        <f t="shared" si="8"/>
        <v>2925</v>
      </c>
      <c r="K14" s="23">
        <f t="shared" si="8"/>
        <v>0</v>
      </c>
      <c r="L14" s="23">
        <f t="shared" si="8"/>
        <v>190</v>
      </c>
      <c r="M14" s="23">
        <f t="shared" si="8"/>
        <v>420</v>
      </c>
      <c r="N14" s="23">
        <f t="shared" si="8"/>
        <v>-2505</v>
      </c>
      <c r="O14" s="23">
        <f t="shared" si="8"/>
        <v>190</v>
      </c>
      <c r="P14" s="23">
        <f t="shared" si="8"/>
        <v>420</v>
      </c>
      <c r="Q14" s="23">
        <f t="shared" si="8"/>
        <v>0</v>
      </c>
      <c r="R14" s="24">
        <f t="shared" si="8"/>
        <v>0</v>
      </c>
      <c r="S14" s="24">
        <f t="shared" si="8"/>
        <v>0</v>
      </c>
      <c r="T14" s="24">
        <f t="shared" si="8"/>
        <v>-420</v>
      </c>
      <c r="U14" s="24">
        <f t="shared" si="8"/>
        <v>0</v>
      </c>
      <c r="V14" s="24">
        <f t="shared" si="8"/>
        <v>0</v>
      </c>
      <c r="W14" s="24">
        <f t="shared" si="8"/>
        <v>0</v>
      </c>
      <c r="X14" s="23">
        <f t="shared" si="8"/>
        <v>0</v>
      </c>
      <c r="Y14" s="23">
        <f t="shared" si="8"/>
        <v>0</v>
      </c>
      <c r="Z14" s="23">
        <f t="shared" si="8"/>
        <v>-420</v>
      </c>
      <c r="AA14" s="23">
        <f t="shared" si="8"/>
        <v>0</v>
      </c>
      <c r="AB14" s="23">
        <f t="shared" si="8"/>
        <v>0</v>
      </c>
      <c r="AC14" s="15">
        <f t="shared" si="8"/>
        <v>0</v>
      </c>
      <c r="AD14" s="264"/>
      <c r="AE14" s="264"/>
      <c r="AF14" s="269"/>
      <c r="AG14" s="264"/>
      <c r="AH14" s="262"/>
      <c r="AI14" s="264"/>
      <c r="AJ14" s="262"/>
      <c r="AK14" s="264"/>
      <c r="AL14" s="262"/>
      <c r="AM14" s="250"/>
      <c r="AN14" s="250"/>
      <c r="AO14" s="252"/>
    </row>
    <row r="15" spans="1:41" ht="18" thickBot="1" x14ac:dyDescent="0.3">
      <c r="A15" s="284"/>
      <c r="B15" s="275" t="s">
        <v>40</v>
      </c>
      <c r="C15" s="275"/>
      <c r="D15" s="276"/>
      <c r="E15" s="26">
        <f>E14</f>
        <v>3162</v>
      </c>
      <c r="F15" s="26">
        <f t="shared" ref="F15:AC15" si="9">F14</f>
        <v>0</v>
      </c>
      <c r="G15" s="26">
        <f t="shared" si="9"/>
        <v>2925</v>
      </c>
      <c r="H15" s="26">
        <f t="shared" si="9"/>
        <v>-237</v>
      </c>
      <c r="I15" s="26">
        <f t="shared" si="9"/>
        <v>0</v>
      </c>
      <c r="J15" s="26">
        <f t="shared" si="9"/>
        <v>2925</v>
      </c>
      <c r="K15" s="26">
        <f t="shared" si="9"/>
        <v>0</v>
      </c>
      <c r="L15" s="26">
        <f t="shared" si="9"/>
        <v>190</v>
      </c>
      <c r="M15" s="26">
        <f t="shared" si="9"/>
        <v>420</v>
      </c>
      <c r="N15" s="26">
        <f t="shared" si="9"/>
        <v>-2505</v>
      </c>
      <c r="O15" s="26">
        <f t="shared" si="9"/>
        <v>190</v>
      </c>
      <c r="P15" s="26">
        <f t="shared" si="9"/>
        <v>420</v>
      </c>
      <c r="Q15" s="26">
        <f t="shared" si="9"/>
        <v>0</v>
      </c>
      <c r="R15" s="26">
        <f t="shared" si="9"/>
        <v>0</v>
      </c>
      <c r="S15" s="26">
        <f t="shared" si="9"/>
        <v>0</v>
      </c>
      <c r="T15" s="26">
        <f t="shared" si="9"/>
        <v>-420</v>
      </c>
      <c r="U15" s="26">
        <f t="shared" si="9"/>
        <v>0</v>
      </c>
      <c r="V15" s="26">
        <f t="shared" si="9"/>
        <v>0</v>
      </c>
      <c r="W15" s="26">
        <f t="shared" si="9"/>
        <v>0</v>
      </c>
      <c r="X15" s="26">
        <f t="shared" si="9"/>
        <v>0</v>
      </c>
      <c r="Y15" s="26">
        <f t="shared" si="9"/>
        <v>0</v>
      </c>
      <c r="Z15" s="26">
        <f t="shared" si="9"/>
        <v>-420</v>
      </c>
      <c r="AA15" s="26">
        <f t="shared" si="9"/>
        <v>0</v>
      </c>
      <c r="AB15" s="26">
        <f t="shared" si="9"/>
        <v>0</v>
      </c>
      <c r="AC15" s="26">
        <f t="shared" si="9"/>
        <v>0</v>
      </c>
      <c r="AD15" s="27">
        <f t="shared" ref="AD15:AL15" si="10">SUM(AD6:AD14)</f>
        <v>190</v>
      </c>
      <c r="AE15" s="27">
        <f t="shared" si="10"/>
        <v>420</v>
      </c>
      <c r="AF15" s="28">
        <f t="shared" si="10"/>
        <v>24.192</v>
      </c>
      <c r="AG15" s="27">
        <f t="shared" si="10"/>
        <v>13</v>
      </c>
      <c r="AH15" s="27">
        <f t="shared" si="10"/>
        <v>111</v>
      </c>
      <c r="AI15" s="27">
        <f t="shared" si="10"/>
        <v>5</v>
      </c>
      <c r="AJ15" s="27">
        <f t="shared" si="10"/>
        <v>32</v>
      </c>
      <c r="AK15" s="27">
        <f t="shared" si="10"/>
        <v>1</v>
      </c>
      <c r="AL15" s="27">
        <f t="shared" si="10"/>
        <v>6</v>
      </c>
      <c r="AM15" s="29">
        <f>L15*AF15/480/AG15</f>
        <v>0.73661538461538467</v>
      </c>
      <c r="AN15" s="30">
        <f>M15*AF15/480/AH15</f>
        <v>0.1907027027027027</v>
      </c>
      <c r="AO15" s="31"/>
    </row>
    <row r="16" spans="1:41" ht="18.75" customHeight="1" x14ac:dyDescent="0.25">
      <c r="A16" s="265" t="s">
        <v>32</v>
      </c>
      <c r="B16" s="90" t="s">
        <v>41</v>
      </c>
      <c r="C16" s="300" t="s">
        <v>37</v>
      </c>
      <c r="D16" s="34" t="s">
        <v>42</v>
      </c>
      <c r="E16" s="91">
        <v>1645</v>
      </c>
      <c r="F16" s="91"/>
      <c r="G16" s="91">
        <f>1433</f>
        <v>1433</v>
      </c>
      <c r="H16" s="91">
        <f t="shared" ref="H16:H18" si="11">G16-E16</f>
        <v>-212</v>
      </c>
      <c r="I16" s="91"/>
      <c r="J16" s="91">
        <f>100+200+300+350+400+83</f>
        <v>1433</v>
      </c>
      <c r="K16" s="91">
        <f t="shared" ref="K16:K18" si="12">J16-G16</f>
        <v>0</v>
      </c>
      <c r="L16" s="91">
        <f>882-755</f>
        <v>127</v>
      </c>
      <c r="M16" s="91">
        <f>102+201+302+351-99-125-110+133+127</f>
        <v>882</v>
      </c>
      <c r="N16" s="91">
        <f t="shared" ref="N16:N18" si="13">M16-J16</f>
        <v>-551</v>
      </c>
      <c r="O16" s="91">
        <v>127</v>
      </c>
      <c r="P16" s="91">
        <f>108+163+112+27+116+96+133+127</f>
        <v>882</v>
      </c>
      <c r="Q16" s="91">
        <f t="shared" ref="Q16:Q18" si="14">P16-M16</f>
        <v>0</v>
      </c>
      <c r="R16" s="91"/>
      <c r="S16" s="91">
        <f>20+130+200</f>
        <v>350</v>
      </c>
      <c r="T16" s="35">
        <f t="shared" ref="T16:T18" si="15">S16-P16</f>
        <v>-532</v>
      </c>
      <c r="U16" s="91"/>
      <c r="V16" s="91">
        <f>20+330</f>
        <v>350</v>
      </c>
      <c r="W16" s="35">
        <f t="shared" ref="W16:W18" si="16">V16-S16</f>
        <v>0</v>
      </c>
      <c r="X16" s="91"/>
      <c r="Y16" s="91"/>
      <c r="Z16" s="91">
        <f t="shared" ref="Z16:Z18" si="17">Y16-P16</f>
        <v>-882</v>
      </c>
      <c r="AA16" s="91"/>
      <c r="AB16" s="91"/>
      <c r="AC16" s="33">
        <f t="shared" ref="AC16:AC18" si="18">AB16-Y16</f>
        <v>0</v>
      </c>
      <c r="AD16" s="267">
        <f>L19</f>
        <v>213</v>
      </c>
      <c r="AE16" s="263">
        <f>300+98+344+213</f>
        <v>955</v>
      </c>
      <c r="AF16" s="268">
        <v>33.130000000000003</v>
      </c>
      <c r="AG16" s="263">
        <v>13</v>
      </c>
      <c r="AH16" s="261">
        <f>2+10+8+8+8+6+6+6+9+5+6+8+7+7+6+6+6+6+6+6+7+7+7+7+6+7+17+16+16+22+21+21+10+20+20+13</f>
        <v>349</v>
      </c>
      <c r="AI16" s="263">
        <v>6</v>
      </c>
      <c r="AJ16" s="261">
        <f>1+1+1+1+1+1+1+2+2+2+2+2+2+2+2+2+2+1+1+1+1+1+1+1+1+4+3+4+5+8+8+6+7+6+6</f>
        <v>92</v>
      </c>
      <c r="AK16" s="263">
        <v>1</v>
      </c>
      <c r="AL16" s="261">
        <f>1+1+1+1+1+1+1+1+1+1+1+1+1+1+1+1+2+2+2+2+2+1+1</f>
        <v>28</v>
      </c>
      <c r="AM16" s="249">
        <f>L19*AF16/480/AG16</f>
        <v>1.1308798076923077</v>
      </c>
      <c r="AN16" s="249">
        <f>M19*AF16/480/AH16</f>
        <v>0.37793356017191981</v>
      </c>
      <c r="AO16" s="251"/>
    </row>
    <row r="17" spans="1:41" ht="18.75" customHeight="1" x14ac:dyDescent="0.25">
      <c r="A17" s="265"/>
      <c r="B17" s="36" t="s">
        <v>43</v>
      </c>
      <c r="C17" s="301"/>
      <c r="D17" s="38" t="s">
        <v>44</v>
      </c>
      <c r="E17" s="20">
        <v>1245</v>
      </c>
      <c r="F17" s="20"/>
      <c r="G17" s="20">
        <f>1238</f>
        <v>1238</v>
      </c>
      <c r="H17" s="20">
        <f t="shared" si="11"/>
        <v>-7</v>
      </c>
      <c r="I17" s="20"/>
      <c r="J17" s="20">
        <f>650+588</f>
        <v>1238</v>
      </c>
      <c r="K17" s="20">
        <f t="shared" si="12"/>
        <v>0</v>
      </c>
      <c r="L17" s="20">
        <f>892-833</f>
        <v>59</v>
      </c>
      <c r="M17" s="20">
        <f>300+99+125+110+98+101+59</f>
        <v>892</v>
      </c>
      <c r="N17" s="20">
        <f t="shared" si="13"/>
        <v>-346</v>
      </c>
      <c r="O17" s="20">
        <v>59</v>
      </c>
      <c r="P17" s="20">
        <f>36+128+235+125+208+101+59</f>
        <v>892</v>
      </c>
      <c r="Q17" s="20">
        <f t="shared" si="14"/>
        <v>0</v>
      </c>
      <c r="R17" s="20"/>
      <c r="S17" s="20">
        <f>20+300</f>
        <v>320</v>
      </c>
      <c r="T17" s="39">
        <f t="shared" si="15"/>
        <v>-572</v>
      </c>
      <c r="U17" s="20"/>
      <c r="V17" s="20">
        <f>20</f>
        <v>20</v>
      </c>
      <c r="W17" s="39">
        <f t="shared" si="16"/>
        <v>-300</v>
      </c>
      <c r="X17" s="20"/>
      <c r="Y17" s="20"/>
      <c r="Z17" s="20">
        <f t="shared" si="17"/>
        <v>-892</v>
      </c>
      <c r="AA17" s="20"/>
      <c r="AB17" s="20"/>
      <c r="AC17" s="37">
        <f t="shared" si="18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.75" customHeight="1" thickBot="1" x14ac:dyDescent="0.3">
      <c r="A18" s="265"/>
      <c r="B18" s="94" t="s">
        <v>45</v>
      </c>
      <c r="C18" s="302"/>
      <c r="D18" s="42" t="s">
        <v>46</v>
      </c>
      <c r="E18" s="25">
        <v>1300</v>
      </c>
      <c r="F18" s="25"/>
      <c r="G18" s="25">
        <f>1183</f>
        <v>1183</v>
      </c>
      <c r="H18" s="25">
        <f t="shared" si="11"/>
        <v>-117</v>
      </c>
      <c r="I18" s="25"/>
      <c r="J18" s="25">
        <f>520+663</f>
        <v>1183</v>
      </c>
      <c r="K18" s="25">
        <f t="shared" si="12"/>
        <v>0</v>
      </c>
      <c r="L18" s="25">
        <f>27</f>
        <v>27</v>
      </c>
      <c r="M18" s="25">
        <f>110+27</f>
        <v>137</v>
      </c>
      <c r="N18" s="25">
        <f t="shared" si="13"/>
        <v>-1046</v>
      </c>
      <c r="O18" s="25">
        <v>27</v>
      </c>
      <c r="P18" s="25">
        <f>110+27</f>
        <v>137</v>
      </c>
      <c r="Q18" s="25">
        <f t="shared" si="14"/>
        <v>0</v>
      </c>
      <c r="R18" s="25"/>
      <c r="S18" s="25"/>
      <c r="T18" s="43">
        <f t="shared" si="15"/>
        <v>-137</v>
      </c>
      <c r="U18" s="25"/>
      <c r="V18" s="25"/>
      <c r="W18" s="43">
        <f t="shared" si="16"/>
        <v>0</v>
      </c>
      <c r="X18" s="25"/>
      <c r="Y18" s="25"/>
      <c r="Z18" s="25">
        <f t="shared" si="17"/>
        <v>-137</v>
      </c>
      <c r="AA18" s="25"/>
      <c r="AB18" s="25"/>
      <c r="AC18" s="44">
        <f t="shared" si="18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65"/>
      <c r="B19" s="253" t="s">
        <v>34</v>
      </c>
      <c r="C19" s="254"/>
      <c r="D19" s="255"/>
      <c r="E19" s="24">
        <f>+SUM(E16:E18)</f>
        <v>4190</v>
      </c>
      <c r="F19" s="24">
        <f t="shared" ref="F19:AC19" si="19">+SUM(F16:F18)</f>
        <v>0</v>
      </c>
      <c r="G19" s="24">
        <f t="shared" si="19"/>
        <v>3854</v>
      </c>
      <c r="H19" s="24">
        <f t="shared" si="19"/>
        <v>-336</v>
      </c>
      <c r="I19" s="24">
        <f t="shared" si="19"/>
        <v>0</v>
      </c>
      <c r="J19" s="24">
        <f t="shared" si="19"/>
        <v>3854</v>
      </c>
      <c r="K19" s="24">
        <f t="shared" si="19"/>
        <v>0</v>
      </c>
      <c r="L19" s="24">
        <f t="shared" si="19"/>
        <v>213</v>
      </c>
      <c r="M19" s="24">
        <f t="shared" si="19"/>
        <v>1911</v>
      </c>
      <c r="N19" s="24">
        <f t="shared" si="19"/>
        <v>-1943</v>
      </c>
      <c r="O19" s="24">
        <f t="shared" si="19"/>
        <v>213</v>
      </c>
      <c r="P19" s="24">
        <f t="shared" si="19"/>
        <v>1911</v>
      </c>
      <c r="Q19" s="24">
        <f t="shared" si="19"/>
        <v>0</v>
      </c>
      <c r="R19" s="24">
        <f t="shared" si="19"/>
        <v>0</v>
      </c>
      <c r="S19" s="24">
        <f t="shared" si="19"/>
        <v>670</v>
      </c>
      <c r="T19" s="24">
        <f t="shared" si="19"/>
        <v>-1241</v>
      </c>
      <c r="U19" s="24">
        <f t="shared" si="19"/>
        <v>0</v>
      </c>
      <c r="V19" s="24">
        <f t="shared" si="19"/>
        <v>370</v>
      </c>
      <c r="W19" s="24">
        <f t="shared" si="19"/>
        <v>-300</v>
      </c>
      <c r="X19" s="24">
        <f t="shared" si="19"/>
        <v>0</v>
      </c>
      <c r="Y19" s="24">
        <f t="shared" si="19"/>
        <v>0</v>
      </c>
      <c r="Z19" s="24">
        <f t="shared" si="19"/>
        <v>-1911</v>
      </c>
      <c r="AA19" s="24">
        <f t="shared" si="19"/>
        <v>0</v>
      </c>
      <c r="AB19" s="24">
        <f t="shared" si="19"/>
        <v>0</v>
      </c>
      <c r="AC19" s="24">
        <f t="shared" si="19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" customHeight="1" thickBot="1" x14ac:dyDescent="0.3">
      <c r="A20" s="266"/>
      <c r="B20" s="256" t="s">
        <v>40</v>
      </c>
      <c r="C20" s="256"/>
      <c r="D20" s="257"/>
      <c r="E20" s="26">
        <f>E19</f>
        <v>4190</v>
      </c>
      <c r="F20" s="26">
        <f t="shared" ref="F20:AC20" si="20">F19</f>
        <v>0</v>
      </c>
      <c r="G20" s="26">
        <f t="shared" si="20"/>
        <v>3854</v>
      </c>
      <c r="H20" s="26">
        <f t="shared" si="20"/>
        <v>-336</v>
      </c>
      <c r="I20" s="26">
        <f t="shared" si="20"/>
        <v>0</v>
      </c>
      <c r="J20" s="26">
        <f t="shared" si="20"/>
        <v>3854</v>
      </c>
      <c r="K20" s="26">
        <f t="shared" si="20"/>
        <v>0</v>
      </c>
      <c r="L20" s="26">
        <f t="shared" si="20"/>
        <v>213</v>
      </c>
      <c r="M20" s="26">
        <f t="shared" si="20"/>
        <v>1911</v>
      </c>
      <c r="N20" s="26">
        <f t="shared" si="20"/>
        <v>-1943</v>
      </c>
      <c r="O20" s="26">
        <f t="shared" si="20"/>
        <v>213</v>
      </c>
      <c r="P20" s="26">
        <f t="shared" si="20"/>
        <v>1911</v>
      </c>
      <c r="Q20" s="26">
        <f t="shared" si="20"/>
        <v>0</v>
      </c>
      <c r="R20" s="26">
        <f t="shared" si="20"/>
        <v>0</v>
      </c>
      <c r="S20" s="26">
        <f t="shared" si="20"/>
        <v>670</v>
      </c>
      <c r="T20" s="26">
        <f t="shared" si="20"/>
        <v>-1241</v>
      </c>
      <c r="U20" s="26">
        <f t="shared" si="20"/>
        <v>0</v>
      </c>
      <c r="V20" s="26">
        <f t="shared" si="20"/>
        <v>370</v>
      </c>
      <c r="W20" s="26">
        <f t="shared" si="20"/>
        <v>-300</v>
      </c>
      <c r="X20" s="26">
        <f t="shared" si="20"/>
        <v>0</v>
      </c>
      <c r="Y20" s="26">
        <f t="shared" si="20"/>
        <v>0</v>
      </c>
      <c r="Z20" s="26">
        <f t="shared" si="20"/>
        <v>-1911</v>
      </c>
      <c r="AA20" s="26">
        <f t="shared" si="20"/>
        <v>0</v>
      </c>
      <c r="AB20" s="26">
        <f t="shared" si="20"/>
        <v>0</v>
      </c>
      <c r="AC20" s="26">
        <f t="shared" si="20"/>
        <v>0</v>
      </c>
      <c r="AD20" s="45">
        <f t="shared" ref="AD20:AL20" si="21">SUM(AD16:AD19)</f>
        <v>213</v>
      </c>
      <c r="AE20" s="45">
        <f t="shared" si="21"/>
        <v>955</v>
      </c>
      <c r="AF20" s="46">
        <f t="shared" si="21"/>
        <v>33.130000000000003</v>
      </c>
      <c r="AG20" s="45">
        <f t="shared" si="21"/>
        <v>13</v>
      </c>
      <c r="AH20" s="45">
        <f t="shared" si="21"/>
        <v>349</v>
      </c>
      <c r="AI20" s="45">
        <f t="shared" si="21"/>
        <v>6</v>
      </c>
      <c r="AJ20" s="45">
        <f t="shared" si="21"/>
        <v>92</v>
      </c>
      <c r="AK20" s="45">
        <f t="shared" si="21"/>
        <v>1</v>
      </c>
      <c r="AL20" s="45">
        <f t="shared" si="21"/>
        <v>28</v>
      </c>
      <c r="AM20" s="47">
        <f>L20*AF20/480/AG20</f>
        <v>1.1308798076923077</v>
      </c>
      <c r="AN20" s="48">
        <f>M20*AF20/480/AH20</f>
        <v>0.37793356017191981</v>
      </c>
      <c r="AO20" s="49"/>
    </row>
    <row r="21" spans="1:41" s="60" customFormat="1" ht="15.75" thickBot="1" x14ac:dyDescent="0.3">
      <c r="A21" s="50"/>
      <c r="B21" s="51"/>
      <c r="C21" s="51"/>
      <c r="D21" s="51"/>
      <c r="E21" s="51"/>
      <c r="F21" s="52"/>
      <c r="G21" s="51"/>
      <c r="H21" s="51"/>
      <c r="I21" s="88"/>
      <c r="J21" s="54"/>
      <c r="K21" s="51"/>
      <c r="L21" s="55"/>
      <c r="M21" s="51"/>
      <c r="N21" s="51"/>
      <c r="O21" s="56"/>
      <c r="P21" s="51"/>
      <c r="Q21" s="51"/>
      <c r="R21" s="55"/>
      <c r="S21" s="51"/>
      <c r="T21" s="51"/>
      <c r="U21" s="55"/>
      <c r="V21" s="51"/>
      <c r="W21" s="51"/>
      <c r="X21" s="55"/>
      <c r="Y21" s="51"/>
      <c r="Z21" s="51"/>
      <c r="AA21" s="55"/>
      <c r="AB21" s="51"/>
      <c r="AC21" s="51"/>
      <c r="AD21" s="87"/>
      <c r="AE21" s="58"/>
      <c r="AF21" s="51"/>
      <c r="AG21" s="87"/>
      <c r="AH21" s="58"/>
      <c r="AI21" s="87"/>
      <c r="AJ21" s="58"/>
      <c r="AK21" s="87"/>
      <c r="AL21" s="58"/>
      <c r="AM21" s="87"/>
      <c r="AN21" s="55"/>
      <c r="AO21" s="59"/>
    </row>
    <row r="22" spans="1:41" s="60" customFormat="1" ht="15.75" thickBot="1" x14ac:dyDescent="0.3">
      <c r="A22" s="258" t="s">
        <v>47</v>
      </c>
      <c r="B22" s="259"/>
      <c r="C22" s="259"/>
      <c r="D22" s="259"/>
      <c r="E22" s="260"/>
      <c r="F22" s="63">
        <f>F20+F15</f>
        <v>0</v>
      </c>
      <c r="G22" s="64"/>
      <c r="H22" s="64"/>
      <c r="I22" s="63">
        <f>I20+I15</f>
        <v>0</v>
      </c>
      <c r="J22" s="64"/>
      <c r="K22" s="65">
        <f>K20+K15</f>
        <v>0</v>
      </c>
      <c r="L22" s="66">
        <f>L20+L15</f>
        <v>403</v>
      </c>
      <c r="M22" s="64"/>
      <c r="N22" s="65">
        <f>N20+N15</f>
        <v>-4448</v>
      </c>
      <c r="O22" s="66">
        <f>O20+O15</f>
        <v>403</v>
      </c>
      <c r="P22" s="64"/>
      <c r="Q22" s="65">
        <f>Q20+Q15</f>
        <v>0</v>
      </c>
      <c r="R22" s="66">
        <f>R20+R15</f>
        <v>0</v>
      </c>
      <c r="S22" s="64"/>
      <c r="T22" s="65">
        <f>T20+T15</f>
        <v>-1661</v>
      </c>
      <c r="U22" s="66">
        <f>U20+U15</f>
        <v>0</v>
      </c>
      <c r="V22" s="64"/>
      <c r="W22" s="65">
        <f>W20+W15</f>
        <v>-300</v>
      </c>
      <c r="X22" s="66">
        <f>X20+X15</f>
        <v>0</v>
      </c>
      <c r="Y22" s="64"/>
      <c r="Z22" s="65">
        <f>Z20+Z15</f>
        <v>-2331</v>
      </c>
      <c r="AA22" s="66">
        <f>AA20+AA15</f>
        <v>0</v>
      </c>
      <c r="AB22" s="64"/>
      <c r="AC22" s="65">
        <f>AC20+AC15</f>
        <v>0</v>
      </c>
      <c r="AD22" s="67">
        <f>AD20+AD15</f>
        <v>403</v>
      </c>
      <c r="AE22" s="65">
        <f>AE20+AE15</f>
        <v>1375</v>
      </c>
      <c r="AF22" s="64"/>
      <c r="AG22" s="63">
        <f>AG20+AG15</f>
        <v>26</v>
      </c>
      <c r="AH22" s="68"/>
      <c r="AI22" s="63">
        <f>AI20+AI15</f>
        <v>11</v>
      </c>
      <c r="AJ22" s="68"/>
      <c r="AK22" s="63">
        <f>AK20+AK15</f>
        <v>2</v>
      </c>
      <c r="AL22" s="68"/>
      <c r="AM22" s="69">
        <f>SUM(AM20+AM15)/2</f>
        <v>0.93374759615384617</v>
      </c>
      <c r="AN22" s="69">
        <f>SUM(AN20+AN15)/2</f>
        <v>0.28431813143731127</v>
      </c>
      <c r="AO22" s="70"/>
    </row>
    <row r="23" spans="1:41" s="60" customFormat="1" ht="15" x14ac:dyDescent="0.25">
      <c r="O23" s="71"/>
    </row>
    <row r="24" spans="1:41" s="60" customFormat="1" ht="15" x14ac:dyDescent="0.25">
      <c r="O24" s="71"/>
      <c r="W24" s="60" t="s">
        <v>5</v>
      </c>
      <c r="Z24" s="60" t="s">
        <v>5</v>
      </c>
      <c r="AC24" s="60" t="s">
        <v>5</v>
      </c>
    </row>
  </sheetData>
  <mergeCells count="59"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  <mergeCell ref="AM4:AN4"/>
    <mergeCell ref="AO4:AO5"/>
    <mergeCell ref="A6:A15"/>
    <mergeCell ref="B6:B9"/>
    <mergeCell ref="C6:C13"/>
    <mergeCell ref="AD6:AD14"/>
    <mergeCell ref="AE6:AE14"/>
    <mergeCell ref="AF6:AF14"/>
    <mergeCell ref="AG6:AG14"/>
    <mergeCell ref="AH6:AH14"/>
    <mergeCell ref="X4:Z4"/>
    <mergeCell ref="AA4:AC4"/>
    <mergeCell ref="AD4:AE4"/>
    <mergeCell ref="AG4:AH4"/>
    <mergeCell ref="AI4:AJ4"/>
    <mergeCell ref="AK4:AL4"/>
    <mergeCell ref="AO6:AO14"/>
    <mergeCell ref="B10:B13"/>
    <mergeCell ref="B14:D14"/>
    <mergeCell ref="B15:D15"/>
    <mergeCell ref="A16:A20"/>
    <mergeCell ref="C16:C18"/>
    <mergeCell ref="AD16:AD19"/>
    <mergeCell ref="AE16:AE19"/>
    <mergeCell ref="AF16:AF19"/>
    <mergeCell ref="AG16:AG19"/>
    <mergeCell ref="AI6:AI14"/>
    <mergeCell ref="AJ6:AJ14"/>
    <mergeCell ref="AK6:AK14"/>
    <mergeCell ref="AL6:AL14"/>
    <mergeCell ref="AM6:AM14"/>
    <mergeCell ref="AN6:AN14"/>
    <mergeCell ref="AN16:AN19"/>
    <mergeCell ref="AO16:AO19"/>
    <mergeCell ref="B19:D19"/>
    <mergeCell ref="B20:D20"/>
    <mergeCell ref="A22:E22"/>
    <mergeCell ref="AH16:AH19"/>
    <mergeCell ref="AI16:AI19"/>
    <mergeCell ref="AJ16:AJ19"/>
    <mergeCell ref="AK16:AK19"/>
    <mergeCell ref="AL16:AL19"/>
    <mergeCell ref="AM16:AM19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22" max="5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27" sqref="I27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0.42578125" style="1" bestFit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4.8554687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5.42578125" style="1" bestFit="1" customWidth="1"/>
    <col min="18" max="18" width="7.85546875" style="1" customWidth="1"/>
    <col min="19" max="19" width="6.42578125" style="1" bestFit="1" customWidth="1"/>
    <col min="20" max="20" width="7.42578125" style="1" bestFit="1" customWidth="1"/>
    <col min="21" max="21" width="13.5703125" style="1" bestFit="1" customWidth="1"/>
    <col min="22" max="22" width="6.42578125" style="1" bestFit="1" customWidth="1"/>
    <col min="23" max="23" width="6.1406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45359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48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97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95" t="s">
        <v>26</v>
      </c>
      <c r="G5" s="9" t="s">
        <v>27</v>
      </c>
      <c r="H5" s="10" t="s">
        <v>28</v>
      </c>
      <c r="I5" s="97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96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97" t="s">
        <v>26</v>
      </c>
      <c r="AE5" s="9" t="s">
        <v>27</v>
      </c>
      <c r="AF5" s="95" t="s">
        <v>26</v>
      </c>
      <c r="AG5" s="95" t="s">
        <v>26</v>
      </c>
      <c r="AH5" s="9" t="s">
        <v>27</v>
      </c>
      <c r="AI5" s="95" t="s">
        <v>26</v>
      </c>
      <c r="AJ5" s="15" t="s">
        <v>27</v>
      </c>
      <c r="AK5" s="95" t="s">
        <v>26</v>
      </c>
      <c r="AL5" s="9" t="s">
        <v>27</v>
      </c>
      <c r="AM5" s="97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99">
        <v>680</v>
      </c>
      <c r="F6" s="99"/>
      <c r="G6" s="99">
        <f>680</f>
        <v>680</v>
      </c>
      <c r="H6" s="99">
        <f t="shared" ref="H6:H13" si="0">G6-E6</f>
        <v>0</v>
      </c>
      <c r="I6" s="99"/>
      <c r="J6" s="99">
        <f>428+252</f>
        <v>680</v>
      </c>
      <c r="K6" s="99">
        <f t="shared" ref="K6:K13" si="1">J6-G6</f>
        <v>0</v>
      </c>
      <c r="L6" s="99"/>
      <c r="M6" s="99">
        <f>62+144+4</f>
        <v>210</v>
      </c>
      <c r="N6" s="99">
        <f t="shared" ref="N6:N13" si="2">M6-J6</f>
        <v>-470</v>
      </c>
      <c r="O6" s="99"/>
      <c r="P6" s="99">
        <f>62+144+4</f>
        <v>210</v>
      </c>
      <c r="Q6" s="99">
        <f t="shared" ref="Q6:Q13" si="3">P6-M6</f>
        <v>0</v>
      </c>
      <c r="R6" s="18"/>
      <c r="S6" s="18"/>
      <c r="T6" s="18">
        <f t="shared" ref="T6:T13" si="4">S6-P6</f>
        <v>-210</v>
      </c>
      <c r="U6" s="18"/>
      <c r="V6" s="18"/>
      <c r="W6" s="18">
        <f t="shared" ref="W6:W13" si="5">V6-S6</f>
        <v>0</v>
      </c>
      <c r="X6" s="99"/>
      <c r="Y6" s="99"/>
      <c r="Z6" s="99">
        <f t="shared" ref="Z6:Z13" si="6">Y6-P6</f>
        <v>-210</v>
      </c>
      <c r="AA6" s="99"/>
      <c r="AB6" s="99"/>
      <c r="AC6" s="19">
        <f t="shared" ref="AC6:AC13" si="7">AB6-Y6</f>
        <v>0</v>
      </c>
      <c r="AD6" s="267">
        <f>L14</f>
        <v>196</v>
      </c>
      <c r="AE6" s="267">
        <f>62+144+4+20+190+196</f>
        <v>616</v>
      </c>
      <c r="AF6" s="282">
        <v>24.192</v>
      </c>
      <c r="AG6" s="267">
        <v>22</v>
      </c>
      <c r="AH6" s="277">
        <f>6+8+6+10+10+10+20+6+22+13+22</f>
        <v>133</v>
      </c>
      <c r="AI6" s="267">
        <v>11</v>
      </c>
      <c r="AJ6" s="277">
        <f>1+2+2+2+3+3+5+4+5+5+11</f>
        <v>43</v>
      </c>
      <c r="AK6" s="267">
        <v>1</v>
      </c>
      <c r="AL6" s="277">
        <f>1+1+1+1+1+1+1</f>
        <v>7</v>
      </c>
      <c r="AM6" s="270">
        <f>L14*AF6/480/AG6</f>
        <v>0.44901818181818176</v>
      </c>
      <c r="AN6" s="270">
        <f>M14*AF6/480/AH6</f>
        <v>0.23343157894736843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>
        <v>9</v>
      </c>
      <c r="M7" s="20">
        <f>20+117+9</f>
        <v>146</v>
      </c>
      <c r="N7" s="20">
        <f t="shared" si="2"/>
        <v>-453</v>
      </c>
      <c r="O7" s="20">
        <v>9</v>
      </c>
      <c r="P7" s="20">
        <f>20+117+9</f>
        <v>146</v>
      </c>
      <c r="Q7" s="20">
        <f t="shared" si="3"/>
        <v>0</v>
      </c>
      <c r="R7" s="20"/>
      <c r="S7" s="20"/>
      <c r="T7" s="20">
        <f t="shared" si="4"/>
        <v>-146</v>
      </c>
      <c r="U7" s="20"/>
      <c r="V7" s="20"/>
      <c r="W7" s="20">
        <f t="shared" si="5"/>
        <v>0</v>
      </c>
      <c r="X7" s="20"/>
      <c r="Y7" s="20"/>
      <c r="Z7" s="20">
        <f t="shared" si="6"/>
        <v>-146</v>
      </c>
      <c r="AA7" s="20"/>
      <c r="AB7" s="20"/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>
        <v>187</v>
      </c>
      <c r="M8" s="20">
        <f>73+187</f>
        <v>260</v>
      </c>
      <c r="N8" s="20">
        <f t="shared" si="2"/>
        <v>-417</v>
      </c>
      <c r="O8" s="20">
        <v>187</v>
      </c>
      <c r="P8" s="20">
        <f>73+187</f>
        <v>260</v>
      </c>
      <c r="Q8" s="20">
        <f t="shared" si="3"/>
        <v>0</v>
      </c>
      <c r="R8" s="20"/>
      <c r="S8" s="20"/>
      <c r="T8" s="20">
        <f t="shared" si="4"/>
        <v>-260</v>
      </c>
      <c r="U8" s="20"/>
      <c r="V8" s="20"/>
      <c r="W8" s="20">
        <f t="shared" si="5"/>
        <v>0</v>
      </c>
      <c r="X8" s="20"/>
      <c r="Y8" s="20"/>
      <c r="Z8" s="20">
        <f t="shared" si="6"/>
        <v>-260</v>
      </c>
      <c r="AA8" s="20"/>
      <c r="AB8" s="20"/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/>
      <c r="N9" s="20">
        <f t="shared" si="2"/>
        <v>-106</v>
      </c>
      <c r="O9" s="20"/>
      <c r="P9" s="20"/>
      <c r="Q9" s="20">
        <f t="shared" si="3"/>
        <v>0</v>
      </c>
      <c r="R9" s="20"/>
      <c r="S9" s="20"/>
      <c r="T9" s="20">
        <f t="shared" si="4"/>
        <v>0</v>
      </c>
      <c r="U9" s="20"/>
      <c r="V9" s="20"/>
      <c r="W9" s="20">
        <f t="shared" si="5"/>
        <v>0</v>
      </c>
      <c r="X9" s="20"/>
      <c r="Y9" s="20"/>
      <c r="Z9" s="20">
        <f t="shared" si="6"/>
        <v>0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279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/>
      <c r="M10" s="20"/>
      <c r="N10" s="20">
        <f t="shared" si="2"/>
        <v>-223</v>
      </c>
      <c r="O10" s="20"/>
      <c r="P10" s="20"/>
      <c r="Q10" s="20">
        <f t="shared" si="3"/>
        <v>0</v>
      </c>
      <c r="R10" s="20"/>
      <c r="S10" s="20"/>
      <c r="T10" s="20">
        <f t="shared" si="4"/>
        <v>0</v>
      </c>
      <c r="U10" s="20"/>
      <c r="V10" s="20"/>
      <c r="W10" s="20">
        <f t="shared" si="5"/>
        <v>0</v>
      </c>
      <c r="X10" s="20"/>
      <c r="Y10" s="20"/>
      <c r="Z10" s="20">
        <f t="shared" si="6"/>
        <v>0</v>
      </c>
      <c r="AA10" s="20"/>
      <c r="AB10" s="20"/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/>
      <c r="N11" s="20">
        <f t="shared" si="2"/>
        <v>-227</v>
      </c>
      <c r="O11" s="20"/>
      <c r="P11" s="20"/>
      <c r="Q11" s="20">
        <f t="shared" si="3"/>
        <v>0</v>
      </c>
      <c r="R11" s="20"/>
      <c r="S11" s="20"/>
      <c r="T11" s="20">
        <f t="shared" si="4"/>
        <v>0</v>
      </c>
      <c r="U11" s="20"/>
      <c r="V11" s="20"/>
      <c r="W11" s="20">
        <f t="shared" si="5"/>
        <v>0</v>
      </c>
      <c r="X11" s="20"/>
      <c r="Y11" s="20"/>
      <c r="Z11" s="20">
        <f t="shared" si="6"/>
        <v>0</v>
      </c>
      <c r="AA11" s="20"/>
      <c r="AB11" s="20"/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/>
      <c r="M12" s="20"/>
      <c r="N12" s="20">
        <f t="shared" si="2"/>
        <v>-242</v>
      </c>
      <c r="O12" s="20"/>
      <c r="P12" s="20"/>
      <c r="Q12" s="20">
        <f t="shared" si="3"/>
        <v>0</v>
      </c>
      <c r="R12" s="20"/>
      <c r="S12" s="20"/>
      <c r="T12" s="20">
        <f t="shared" si="4"/>
        <v>0</v>
      </c>
      <c r="U12" s="20"/>
      <c r="V12" s="20"/>
      <c r="W12" s="20">
        <f t="shared" si="5"/>
        <v>0</v>
      </c>
      <c r="X12" s="20"/>
      <c r="Y12" s="20"/>
      <c r="Z12" s="20">
        <f t="shared" si="6"/>
        <v>0</v>
      </c>
      <c r="AA12" s="20"/>
      <c r="AB12" s="20"/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ht="18" thickBot="1" x14ac:dyDescent="0.3">
      <c r="A13" s="283"/>
      <c r="B13" s="299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/>
      <c r="M13" s="20"/>
      <c r="N13" s="20">
        <f t="shared" si="2"/>
        <v>-171</v>
      </c>
      <c r="O13" s="20"/>
      <c r="P13" s="20"/>
      <c r="Q13" s="20">
        <f t="shared" si="3"/>
        <v>0</v>
      </c>
      <c r="R13" s="25"/>
      <c r="S13" s="25"/>
      <c r="T13" s="25">
        <f t="shared" si="4"/>
        <v>0</v>
      </c>
      <c r="U13" s="25"/>
      <c r="V13" s="25"/>
      <c r="W13" s="25">
        <f t="shared" si="5"/>
        <v>0</v>
      </c>
      <c r="X13" s="20"/>
      <c r="Y13" s="20"/>
      <c r="Z13" s="20">
        <f t="shared" si="6"/>
        <v>0</v>
      </c>
      <c r="AA13" s="20"/>
      <c r="AB13" s="20"/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ht="18" thickBot="1" x14ac:dyDescent="0.3">
      <c r="A14" s="283"/>
      <c r="B14" s="272" t="s">
        <v>34</v>
      </c>
      <c r="C14" s="273"/>
      <c r="D14" s="274"/>
      <c r="E14" s="23">
        <f>+SUM(E6:E13)</f>
        <v>3162</v>
      </c>
      <c r="F14" s="23">
        <f>+SUM(F6:F13)</f>
        <v>0</v>
      </c>
      <c r="G14" s="23">
        <f>SUM(G6:G13)</f>
        <v>2925</v>
      </c>
      <c r="H14" s="23">
        <f t="shared" ref="H14:AC14" si="8">+SUM(H6:H13)</f>
        <v>-237</v>
      </c>
      <c r="I14" s="23">
        <f t="shared" si="8"/>
        <v>0</v>
      </c>
      <c r="J14" s="23">
        <f t="shared" si="8"/>
        <v>2925</v>
      </c>
      <c r="K14" s="23">
        <f t="shared" si="8"/>
        <v>0</v>
      </c>
      <c r="L14" s="23">
        <f t="shared" si="8"/>
        <v>196</v>
      </c>
      <c r="M14" s="23">
        <f t="shared" si="8"/>
        <v>616</v>
      </c>
      <c r="N14" s="23">
        <f t="shared" si="8"/>
        <v>-2309</v>
      </c>
      <c r="O14" s="23">
        <f t="shared" si="8"/>
        <v>196</v>
      </c>
      <c r="P14" s="23">
        <f t="shared" si="8"/>
        <v>616</v>
      </c>
      <c r="Q14" s="23">
        <f t="shared" si="8"/>
        <v>0</v>
      </c>
      <c r="R14" s="24">
        <f t="shared" si="8"/>
        <v>0</v>
      </c>
      <c r="S14" s="24">
        <f t="shared" si="8"/>
        <v>0</v>
      </c>
      <c r="T14" s="24">
        <f t="shared" si="8"/>
        <v>-616</v>
      </c>
      <c r="U14" s="24">
        <f t="shared" si="8"/>
        <v>0</v>
      </c>
      <c r="V14" s="24">
        <f t="shared" si="8"/>
        <v>0</v>
      </c>
      <c r="W14" s="24">
        <f t="shared" si="8"/>
        <v>0</v>
      </c>
      <c r="X14" s="23">
        <f t="shared" si="8"/>
        <v>0</v>
      </c>
      <c r="Y14" s="23">
        <f t="shared" si="8"/>
        <v>0</v>
      </c>
      <c r="Z14" s="23">
        <f t="shared" si="8"/>
        <v>-616</v>
      </c>
      <c r="AA14" s="23">
        <f t="shared" si="8"/>
        <v>0</v>
      </c>
      <c r="AB14" s="23">
        <f t="shared" si="8"/>
        <v>0</v>
      </c>
      <c r="AC14" s="15">
        <f t="shared" si="8"/>
        <v>0</v>
      </c>
      <c r="AD14" s="264"/>
      <c r="AE14" s="264"/>
      <c r="AF14" s="269"/>
      <c r="AG14" s="264"/>
      <c r="AH14" s="262"/>
      <c r="AI14" s="264"/>
      <c r="AJ14" s="262"/>
      <c r="AK14" s="264"/>
      <c r="AL14" s="262"/>
      <c r="AM14" s="250"/>
      <c r="AN14" s="250"/>
      <c r="AO14" s="252"/>
    </row>
    <row r="15" spans="1:41" ht="18" thickBot="1" x14ac:dyDescent="0.3">
      <c r="A15" s="284"/>
      <c r="B15" s="275" t="s">
        <v>40</v>
      </c>
      <c r="C15" s="275"/>
      <c r="D15" s="276"/>
      <c r="E15" s="26">
        <f>E14</f>
        <v>3162</v>
      </c>
      <c r="F15" s="26">
        <f t="shared" ref="F15:AC15" si="9">F14</f>
        <v>0</v>
      </c>
      <c r="G15" s="26">
        <f t="shared" si="9"/>
        <v>2925</v>
      </c>
      <c r="H15" s="26">
        <f t="shared" si="9"/>
        <v>-237</v>
      </c>
      <c r="I15" s="26">
        <f t="shared" si="9"/>
        <v>0</v>
      </c>
      <c r="J15" s="26">
        <f t="shared" si="9"/>
        <v>2925</v>
      </c>
      <c r="K15" s="26">
        <f t="shared" si="9"/>
        <v>0</v>
      </c>
      <c r="L15" s="26">
        <f t="shared" si="9"/>
        <v>196</v>
      </c>
      <c r="M15" s="26">
        <f t="shared" si="9"/>
        <v>616</v>
      </c>
      <c r="N15" s="26">
        <f t="shared" si="9"/>
        <v>-2309</v>
      </c>
      <c r="O15" s="26">
        <f t="shared" si="9"/>
        <v>196</v>
      </c>
      <c r="P15" s="26">
        <f t="shared" si="9"/>
        <v>616</v>
      </c>
      <c r="Q15" s="26">
        <f t="shared" si="9"/>
        <v>0</v>
      </c>
      <c r="R15" s="26">
        <f t="shared" si="9"/>
        <v>0</v>
      </c>
      <c r="S15" s="26">
        <f t="shared" si="9"/>
        <v>0</v>
      </c>
      <c r="T15" s="26">
        <f t="shared" si="9"/>
        <v>-616</v>
      </c>
      <c r="U15" s="26">
        <f t="shared" si="9"/>
        <v>0</v>
      </c>
      <c r="V15" s="26">
        <f t="shared" si="9"/>
        <v>0</v>
      </c>
      <c r="W15" s="26">
        <f t="shared" si="9"/>
        <v>0</v>
      </c>
      <c r="X15" s="26">
        <f t="shared" si="9"/>
        <v>0</v>
      </c>
      <c r="Y15" s="26">
        <f t="shared" si="9"/>
        <v>0</v>
      </c>
      <c r="Z15" s="26">
        <f t="shared" si="9"/>
        <v>-616</v>
      </c>
      <c r="AA15" s="26">
        <f t="shared" si="9"/>
        <v>0</v>
      </c>
      <c r="AB15" s="26">
        <f t="shared" si="9"/>
        <v>0</v>
      </c>
      <c r="AC15" s="26">
        <f t="shared" si="9"/>
        <v>0</v>
      </c>
      <c r="AD15" s="27">
        <f t="shared" ref="AD15:AL15" si="10">SUM(AD6:AD14)</f>
        <v>196</v>
      </c>
      <c r="AE15" s="27">
        <f t="shared" si="10"/>
        <v>616</v>
      </c>
      <c r="AF15" s="28">
        <f t="shared" si="10"/>
        <v>24.192</v>
      </c>
      <c r="AG15" s="27">
        <f t="shared" si="10"/>
        <v>22</v>
      </c>
      <c r="AH15" s="27">
        <f t="shared" si="10"/>
        <v>133</v>
      </c>
      <c r="AI15" s="27">
        <f t="shared" si="10"/>
        <v>11</v>
      </c>
      <c r="AJ15" s="27">
        <f t="shared" si="10"/>
        <v>43</v>
      </c>
      <c r="AK15" s="27">
        <f t="shared" si="10"/>
        <v>1</v>
      </c>
      <c r="AL15" s="27">
        <f t="shared" si="10"/>
        <v>7</v>
      </c>
      <c r="AM15" s="29">
        <f>L15*AF15/480/AG15</f>
        <v>0.44901818181818176</v>
      </c>
      <c r="AN15" s="30">
        <f>M15*AF15/480/AH15</f>
        <v>0.23343157894736843</v>
      </c>
      <c r="AO15" s="31"/>
    </row>
    <row r="16" spans="1:41" ht="18.75" customHeight="1" x14ac:dyDescent="0.25">
      <c r="A16" s="265" t="s">
        <v>32</v>
      </c>
      <c r="B16" s="98" t="s">
        <v>41</v>
      </c>
      <c r="C16" s="300" t="s">
        <v>37</v>
      </c>
      <c r="D16" s="34" t="s">
        <v>42</v>
      </c>
      <c r="E16" s="99">
        <v>1645</v>
      </c>
      <c r="F16" s="99"/>
      <c r="G16" s="99">
        <f>1433</f>
        <v>1433</v>
      </c>
      <c r="H16" s="99">
        <f t="shared" ref="H16:H18" si="11">G16-E16</f>
        <v>-212</v>
      </c>
      <c r="I16" s="99"/>
      <c r="J16" s="99">
        <f>100+200+300+350+400+83</f>
        <v>1433</v>
      </c>
      <c r="K16" s="99">
        <f t="shared" ref="K16:K18" si="12">J16-G16</f>
        <v>0</v>
      </c>
      <c r="L16" s="99"/>
      <c r="M16" s="99">
        <f>102+201+302+351-99-125-110+133+127</f>
        <v>882</v>
      </c>
      <c r="N16" s="99">
        <f t="shared" ref="N16:N18" si="13">M16-J16</f>
        <v>-551</v>
      </c>
      <c r="O16" s="99"/>
      <c r="P16" s="99">
        <f>108+163+112+27+116+96+133+127</f>
        <v>882</v>
      </c>
      <c r="Q16" s="99">
        <f t="shared" ref="Q16:Q18" si="14">P16-M16</f>
        <v>0</v>
      </c>
      <c r="R16" s="99"/>
      <c r="S16" s="99">
        <f>20+130+200</f>
        <v>350</v>
      </c>
      <c r="T16" s="35">
        <f t="shared" ref="T16:T18" si="15">S16-P16</f>
        <v>-532</v>
      </c>
      <c r="U16" s="99"/>
      <c r="V16" s="99">
        <f>20+330</f>
        <v>350</v>
      </c>
      <c r="W16" s="35">
        <f t="shared" ref="W16:W18" si="16">V16-S16</f>
        <v>0</v>
      </c>
      <c r="X16" s="99"/>
      <c r="Y16" s="99"/>
      <c r="Z16" s="99">
        <f t="shared" ref="Z16:Z18" si="17">Y16-P16</f>
        <v>-882</v>
      </c>
      <c r="AA16" s="99"/>
      <c r="AB16" s="99"/>
      <c r="AC16" s="33">
        <f t="shared" ref="AC16:AC18" si="18">AB16-Y16</f>
        <v>0</v>
      </c>
      <c r="AD16" s="267">
        <f>L19</f>
        <v>0</v>
      </c>
      <c r="AE16" s="263">
        <f>300+98+344+213</f>
        <v>955</v>
      </c>
      <c r="AF16" s="268">
        <v>33.130000000000003</v>
      </c>
      <c r="AG16" s="263">
        <v>1</v>
      </c>
      <c r="AH16" s="261">
        <f>2+10+8+8+8+6+6+6+9+5+6+8+7+7+6+6+6+6+6+6+7+7+7+7+6+7+17+16+16+22+21+21+10+20+20+13</f>
        <v>349</v>
      </c>
      <c r="AI16" s="263"/>
      <c r="AJ16" s="261">
        <f>1+1+1+1+1+1+1+2+2+2+2+2+2+2+2+2+2+1+1+1+1+1+1+1+1+4+3+4+5+8+8+6+7+6+6</f>
        <v>92</v>
      </c>
      <c r="AK16" s="263"/>
      <c r="AL16" s="261">
        <f>1+1+1+1+1+1+1+1+1+1+1+1+1+1+1+1+2+2+2+2+2+1+1</f>
        <v>28</v>
      </c>
      <c r="AM16" s="249">
        <f>L19*AF16/480/AG16</f>
        <v>0</v>
      </c>
      <c r="AN16" s="249">
        <f>M19*AF16/480/AH16</f>
        <v>0.37793356017191981</v>
      </c>
      <c r="AO16" s="251"/>
    </row>
    <row r="17" spans="1:41" ht="18.75" customHeight="1" x14ac:dyDescent="0.25">
      <c r="A17" s="265"/>
      <c r="B17" s="36" t="s">
        <v>43</v>
      </c>
      <c r="C17" s="301"/>
      <c r="D17" s="38" t="s">
        <v>44</v>
      </c>
      <c r="E17" s="20">
        <v>1245</v>
      </c>
      <c r="F17" s="20"/>
      <c r="G17" s="20">
        <f>1238</f>
        <v>1238</v>
      </c>
      <c r="H17" s="20">
        <f t="shared" si="11"/>
        <v>-7</v>
      </c>
      <c r="I17" s="20"/>
      <c r="J17" s="20">
        <f>650+588</f>
        <v>1238</v>
      </c>
      <c r="K17" s="20">
        <f t="shared" si="12"/>
        <v>0</v>
      </c>
      <c r="L17" s="20"/>
      <c r="M17" s="20">
        <f>300+99+125+110+98+101+59</f>
        <v>892</v>
      </c>
      <c r="N17" s="20">
        <f t="shared" si="13"/>
        <v>-346</v>
      </c>
      <c r="O17" s="20"/>
      <c r="P17" s="20">
        <f>36+128+235+125+208+101+59</f>
        <v>892</v>
      </c>
      <c r="Q17" s="20">
        <f t="shared" si="14"/>
        <v>0</v>
      </c>
      <c r="R17" s="20"/>
      <c r="S17" s="20">
        <f>20+300</f>
        <v>320</v>
      </c>
      <c r="T17" s="39">
        <f t="shared" si="15"/>
        <v>-572</v>
      </c>
      <c r="U17" s="20"/>
      <c r="V17" s="20">
        <f>20</f>
        <v>20</v>
      </c>
      <c r="W17" s="39">
        <f t="shared" si="16"/>
        <v>-300</v>
      </c>
      <c r="X17" s="20"/>
      <c r="Y17" s="20"/>
      <c r="Z17" s="20">
        <f t="shared" si="17"/>
        <v>-892</v>
      </c>
      <c r="AA17" s="20"/>
      <c r="AB17" s="20"/>
      <c r="AC17" s="37">
        <f t="shared" si="18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.75" customHeight="1" thickBot="1" x14ac:dyDescent="0.3">
      <c r="A18" s="265"/>
      <c r="B18" s="102" t="s">
        <v>45</v>
      </c>
      <c r="C18" s="302"/>
      <c r="D18" s="42" t="s">
        <v>46</v>
      </c>
      <c r="E18" s="25">
        <v>1300</v>
      </c>
      <c r="F18" s="25"/>
      <c r="G18" s="25">
        <f>1183</f>
        <v>1183</v>
      </c>
      <c r="H18" s="25">
        <f t="shared" si="11"/>
        <v>-117</v>
      </c>
      <c r="I18" s="25"/>
      <c r="J18" s="25">
        <f>520+663</f>
        <v>1183</v>
      </c>
      <c r="K18" s="25">
        <f t="shared" si="12"/>
        <v>0</v>
      </c>
      <c r="L18" s="25"/>
      <c r="M18" s="25">
        <f>110+27</f>
        <v>137</v>
      </c>
      <c r="N18" s="25">
        <f t="shared" si="13"/>
        <v>-1046</v>
      </c>
      <c r="O18" s="25"/>
      <c r="P18" s="25">
        <f>110+27</f>
        <v>137</v>
      </c>
      <c r="Q18" s="25">
        <f t="shared" si="14"/>
        <v>0</v>
      </c>
      <c r="R18" s="25"/>
      <c r="S18" s="25"/>
      <c r="T18" s="43">
        <f t="shared" si="15"/>
        <v>-137</v>
      </c>
      <c r="U18" s="25"/>
      <c r="V18" s="25"/>
      <c r="W18" s="43">
        <f t="shared" si="16"/>
        <v>0</v>
      </c>
      <c r="X18" s="25"/>
      <c r="Y18" s="25"/>
      <c r="Z18" s="25">
        <f t="shared" si="17"/>
        <v>-137</v>
      </c>
      <c r="AA18" s="25"/>
      <c r="AB18" s="25"/>
      <c r="AC18" s="44">
        <f t="shared" si="18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65"/>
      <c r="B19" s="253" t="s">
        <v>34</v>
      </c>
      <c r="C19" s="254"/>
      <c r="D19" s="255"/>
      <c r="E19" s="24">
        <f>+SUM(E16:E18)</f>
        <v>4190</v>
      </c>
      <c r="F19" s="24">
        <f t="shared" ref="F19:AC19" si="19">+SUM(F16:F18)</f>
        <v>0</v>
      </c>
      <c r="G19" s="24">
        <f t="shared" si="19"/>
        <v>3854</v>
      </c>
      <c r="H19" s="24">
        <f t="shared" si="19"/>
        <v>-336</v>
      </c>
      <c r="I19" s="24">
        <f t="shared" si="19"/>
        <v>0</v>
      </c>
      <c r="J19" s="24">
        <f t="shared" si="19"/>
        <v>3854</v>
      </c>
      <c r="K19" s="24">
        <f t="shared" si="19"/>
        <v>0</v>
      </c>
      <c r="L19" s="24">
        <f t="shared" si="19"/>
        <v>0</v>
      </c>
      <c r="M19" s="24">
        <f t="shared" si="19"/>
        <v>1911</v>
      </c>
      <c r="N19" s="24">
        <f t="shared" si="19"/>
        <v>-1943</v>
      </c>
      <c r="O19" s="24">
        <f t="shared" si="19"/>
        <v>0</v>
      </c>
      <c r="P19" s="24">
        <f t="shared" si="19"/>
        <v>1911</v>
      </c>
      <c r="Q19" s="24">
        <f t="shared" si="19"/>
        <v>0</v>
      </c>
      <c r="R19" s="24">
        <f t="shared" si="19"/>
        <v>0</v>
      </c>
      <c r="S19" s="24">
        <f t="shared" si="19"/>
        <v>670</v>
      </c>
      <c r="T19" s="24">
        <f t="shared" si="19"/>
        <v>-1241</v>
      </c>
      <c r="U19" s="24">
        <f t="shared" si="19"/>
        <v>0</v>
      </c>
      <c r="V19" s="24">
        <f t="shared" si="19"/>
        <v>370</v>
      </c>
      <c r="W19" s="24">
        <f t="shared" si="19"/>
        <v>-300</v>
      </c>
      <c r="X19" s="24">
        <f t="shared" si="19"/>
        <v>0</v>
      </c>
      <c r="Y19" s="24">
        <f t="shared" si="19"/>
        <v>0</v>
      </c>
      <c r="Z19" s="24">
        <f t="shared" si="19"/>
        <v>-1911</v>
      </c>
      <c r="AA19" s="24">
        <f t="shared" si="19"/>
        <v>0</v>
      </c>
      <c r="AB19" s="24">
        <f t="shared" si="19"/>
        <v>0</v>
      </c>
      <c r="AC19" s="24">
        <f t="shared" si="19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" customHeight="1" thickBot="1" x14ac:dyDescent="0.3">
      <c r="A20" s="266"/>
      <c r="B20" s="256" t="s">
        <v>40</v>
      </c>
      <c r="C20" s="256"/>
      <c r="D20" s="257"/>
      <c r="E20" s="26">
        <f>E19</f>
        <v>4190</v>
      </c>
      <c r="F20" s="26">
        <f t="shared" ref="F20:AC20" si="20">F19</f>
        <v>0</v>
      </c>
      <c r="G20" s="26">
        <f t="shared" si="20"/>
        <v>3854</v>
      </c>
      <c r="H20" s="26">
        <f t="shared" si="20"/>
        <v>-336</v>
      </c>
      <c r="I20" s="26">
        <f t="shared" si="20"/>
        <v>0</v>
      </c>
      <c r="J20" s="26">
        <f t="shared" si="20"/>
        <v>3854</v>
      </c>
      <c r="K20" s="26">
        <f t="shared" si="20"/>
        <v>0</v>
      </c>
      <c r="L20" s="26">
        <f t="shared" si="20"/>
        <v>0</v>
      </c>
      <c r="M20" s="26">
        <f t="shared" si="20"/>
        <v>1911</v>
      </c>
      <c r="N20" s="26">
        <f t="shared" si="20"/>
        <v>-1943</v>
      </c>
      <c r="O20" s="26">
        <f t="shared" si="20"/>
        <v>0</v>
      </c>
      <c r="P20" s="26">
        <f t="shared" si="20"/>
        <v>1911</v>
      </c>
      <c r="Q20" s="26">
        <f t="shared" si="20"/>
        <v>0</v>
      </c>
      <c r="R20" s="26">
        <f t="shared" si="20"/>
        <v>0</v>
      </c>
      <c r="S20" s="26">
        <f t="shared" si="20"/>
        <v>670</v>
      </c>
      <c r="T20" s="26">
        <f t="shared" si="20"/>
        <v>-1241</v>
      </c>
      <c r="U20" s="26">
        <f t="shared" si="20"/>
        <v>0</v>
      </c>
      <c r="V20" s="26">
        <f t="shared" si="20"/>
        <v>370</v>
      </c>
      <c r="W20" s="26">
        <f t="shared" si="20"/>
        <v>-300</v>
      </c>
      <c r="X20" s="26">
        <f t="shared" si="20"/>
        <v>0</v>
      </c>
      <c r="Y20" s="26">
        <f t="shared" si="20"/>
        <v>0</v>
      </c>
      <c r="Z20" s="26">
        <f t="shared" si="20"/>
        <v>-1911</v>
      </c>
      <c r="AA20" s="26">
        <f t="shared" si="20"/>
        <v>0</v>
      </c>
      <c r="AB20" s="26">
        <f t="shared" si="20"/>
        <v>0</v>
      </c>
      <c r="AC20" s="26">
        <f t="shared" si="20"/>
        <v>0</v>
      </c>
      <c r="AD20" s="45">
        <f t="shared" ref="AD20:AL20" si="21">SUM(AD16:AD19)</f>
        <v>0</v>
      </c>
      <c r="AE20" s="45">
        <f t="shared" si="21"/>
        <v>955</v>
      </c>
      <c r="AF20" s="46">
        <f t="shared" si="21"/>
        <v>33.130000000000003</v>
      </c>
      <c r="AG20" s="45">
        <f t="shared" si="21"/>
        <v>1</v>
      </c>
      <c r="AH20" s="45">
        <f t="shared" si="21"/>
        <v>349</v>
      </c>
      <c r="AI20" s="45">
        <f t="shared" si="21"/>
        <v>0</v>
      </c>
      <c r="AJ20" s="45">
        <f t="shared" si="21"/>
        <v>92</v>
      </c>
      <c r="AK20" s="45">
        <f t="shared" si="21"/>
        <v>0</v>
      </c>
      <c r="AL20" s="45">
        <f t="shared" si="21"/>
        <v>28</v>
      </c>
      <c r="AM20" s="47">
        <f>L20*AF20/480/AG20</f>
        <v>0</v>
      </c>
      <c r="AN20" s="48">
        <f>M20*AF20/480/AH20</f>
        <v>0.37793356017191981</v>
      </c>
      <c r="AO20" s="49"/>
    </row>
    <row r="21" spans="1:41" s="60" customFormat="1" ht="15.75" thickBot="1" x14ac:dyDescent="0.3">
      <c r="A21" s="50"/>
      <c r="B21" s="51"/>
      <c r="C21" s="51"/>
      <c r="D21" s="51"/>
      <c r="E21" s="51"/>
      <c r="F21" s="52"/>
      <c r="G21" s="51"/>
      <c r="H21" s="51"/>
      <c r="I21" s="101"/>
      <c r="J21" s="54"/>
      <c r="K21" s="51"/>
      <c r="L21" s="55"/>
      <c r="M21" s="51"/>
      <c r="N21" s="51"/>
      <c r="O21" s="56"/>
      <c r="P21" s="51"/>
      <c r="Q21" s="51"/>
      <c r="R21" s="55"/>
      <c r="S21" s="51"/>
      <c r="T21" s="51"/>
      <c r="U21" s="55"/>
      <c r="V21" s="51"/>
      <c r="W21" s="51"/>
      <c r="X21" s="55"/>
      <c r="Y21" s="51"/>
      <c r="Z21" s="51"/>
      <c r="AA21" s="55"/>
      <c r="AB21" s="51"/>
      <c r="AC21" s="51"/>
      <c r="AD21" s="100"/>
      <c r="AE21" s="58"/>
      <c r="AF21" s="51"/>
      <c r="AG21" s="100"/>
      <c r="AH21" s="58"/>
      <c r="AI21" s="100"/>
      <c r="AJ21" s="58"/>
      <c r="AK21" s="100"/>
      <c r="AL21" s="58"/>
      <c r="AM21" s="100"/>
      <c r="AN21" s="55"/>
      <c r="AO21" s="59"/>
    </row>
    <row r="22" spans="1:41" s="60" customFormat="1" ht="15.75" thickBot="1" x14ac:dyDescent="0.3">
      <c r="A22" s="258" t="s">
        <v>47</v>
      </c>
      <c r="B22" s="259"/>
      <c r="C22" s="259"/>
      <c r="D22" s="259"/>
      <c r="E22" s="260"/>
      <c r="F22" s="63">
        <f>F20+F15</f>
        <v>0</v>
      </c>
      <c r="G22" s="64"/>
      <c r="H22" s="64"/>
      <c r="I22" s="63">
        <f>I20+I15</f>
        <v>0</v>
      </c>
      <c r="J22" s="64"/>
      <c r="K22" s="65">
        <f>K20+K15</f>
        <v>0</v>
      </c>
      <c r="L22" s="66">
        <f>L20+L15</f>
        <v>196</v>
      </c>
      <c r="M22" s="64"/>
      <c r="N22" s="65">
        <f>N20+N15</f>
        <v>-4252</v>
      </c>
      <c r="O22" s="66">
        <f>O20+O15</f>
        <v>196</v>
      </c>
      <c r="P22" s="64"/>
      <c r="Q22" s="65">
        <f>Q20+Q15</f>
        <v>0</v>
      </c>
      <c r="R22" s="66">
        <f>R20+R15</f>
        <v>0</v>
      </c>
      <c r="S22" s="64"/>
      <c r="T22" s="65">
        <f>T20+T15</f>
        <v>-1857</v>
      </c>
      <c r="U22" s="66">
        <f>U20+U15</f>
        <v>0</v>
      </c>
      <c r="V22" s="64"/>
      <c r="W22" s="65">
        <f>W20+W15</f>
        <v>-300</v>
      </c>
      <c r="X22" s="66">
        <f>X20+X15</f>
        <v>0</v>
      </c>
      <c r="Y22" s="64"/>
      <c r="Z22" s="65">
        <f>Z20+Z15</f>
        <v>-2527</v>
      </c>
      <c r="AA22" s="66">
        <f>AA20+AA15</f>
        <v>0</v>
      </c>
      <c r="AB22" s="64"/>
      <c r="AC22" s="65">
        <f>AC20+AC15</f>
        <v>0</v>
      </c>
      <c r="AD22" s="67">
        <f>AD20+AD15</f>
        <v>196</v>
      </c>
      <c r="AE22" s="65">
        <f>AE20+AE15</f>
        <v>1571</v>
      </c>
      <c r="AF22" s="64"/>
      <c r="AG22" s="63">
        <f>AG20+AG15</f>
        <v>23</v>
      </c>
      <c r="AH22" s="68"/>
      <c r="AI22" s="63">
        <f>AI20+AI15</f>
        <v>11</v>
      </c>
      <c r="AJ22" s="68"/>
      <c r="AK22" s="63">
        <f>AK20+AK15</f>
        <v>1</v>
      </c>
      <c r="AL22" s="68"/>
      <c r="AM22" s="69">
        <f>SUM(AM20+AM15)/2</f>
        <v>0.22450909090909088</v>
      </c>
      <c r="AN22" s="69">
        <f>SUM(AN20+AN15)/2</f>
        <v>0.30568256955964412</v>
      </c>
      <c r="AO22" s="70"/>
    </row>
    <row r="23" spans="1:41" s="60" customFormat="1" ht="15" x14ac:dyDescent="0.25">
      <c r="O23" s="71"/>
    </row>
    <row r="24" spans="1:41" s="60" customFormat="1" ht="15" x14ac:dyDescent="0.25">
      <c r="O24" s="71"/>
      <c r="W24" s="60" t="s">
        <v>5</v>
      </c>
      <c r="Z24" s="60" t="s">
        <v>5</v>
      </c>
      <c r="AC24" s="60" t="s">
        <v>5</v>
      </c>
    </row>
  </sheetData>
  <mergeCells count="59">
    <mergeCell ref="AN16:AN19"/>
    <mergeCell ref="AO16:AO19"/>
    <mergeCell ref="B19:D19"/>
    <mergeCell ref="B20:D20"/>
    <mergeCell ref="A22:E22"/>
    <mergeCell ref="AH16:AH19"/>
    <mergeCell ref="AI16:AI19"/>
    <mergeCell ref="AJ16:AJ19"/>
    <mergeCell ref="AK16:AK19"/>
    <mergeCell ref="AL16:AL19"/>
    <mergeCell ref="AM16:AM19"/>
    <mergeCell ref="AO6:AO14"/>
    <mergeCell ref="B10:B13"/>
    <mergeCell ref="B14:D14"/>
    <mergeCell ref="B15:D15"/>
    <mergeCell ref="A16:A20"/>
    <mergeCell ref="C16:C18"/>
    <mergeCell ref="AD16:AD19"/>
    <mergeCell ref="AE16:AE19"/>
    <mergeCell ref="AF16:AF19"/>
    <mergeCell ref="AG16:AG19"/>
    <mergeCell ref="AI6:AI14"/>
    <mergeCell ref="AJ6:AJ14"/>
    <mergeCell ref="AK6:AK14"/>
    <mergeCell ref="AL6:AL14"/>
    <mergeCell ref="AM6:AM14"/>
    <mergeCell ref="AN6:AN14"/>
    <mergeCell ref="AM4:AN4"/>
    <mergeCell ref="AO4:AO5"/>
    <mergeCell ref="A6:A15"/>
    <mergeCell ref="B6:B9"/>
    <mergeCell ref="C6:C13"/>
    <mergeCell ref="AD6:AD14"/>
    <mergeCell ref="AE6:AE14"/>
    <mergeCell ref="AF6:AF14"/>
    <mergeCell ref="AG6:AG14"/>
    <mergeCell ref="AH6:AH14"/>
    <mergeCell ref="X4:Z4"/>
    <mergeCell ref="AA4:AC4"/>
    <mergeCell ref="AD4:AE4"/>
    <mergeCell ref="AG4:AH4"/>
    <mergeCell ref="AI4:AJ4"/>
    <mergeCell ref="AK4:AL4"/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22" max="5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8" sqref="G18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0.42578125" style="1" bestFit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4.8554687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5.42578125" style="1" bestFit="1" customWidth="1"/>
    <col min="18" max="18" width="7.85546875" style="1" customWidth="1"/>
    <col min="19" max="19" width="6.42578125" style="1" bestFit="1" customWidth="1"/>
    <col min="20" max="20" width="7.42578125" style="1" bestFit="1" customWidth="1"/>
    <col min="21" max="21" width="13.5703125" style="1" bestFit="1" customWidth="1"/>
    <col min="22" max="22" width="6.42578125" style="1" bestFit="1" customWidth="1"/>
    <col min="23" max="23" width="6.1406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45360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50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105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108" t="s">
        <v>26</v>
      </c>
      <c r="G5" s="9" t="s">
        <v>27</v>
      </c>
      <c r="H5" s="10" t="s">
        <v>28</v>
      </c>
      <c r="I5" s="105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109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105" t="s">
        <v>26</v>
      </c>
      <c r="AE5" s="9" t="s">
        <v>27</v>
      </c>
      <c r="AF5" s="108" t="s">
        <v>26</v>
      </c>
      <c r="AG5" s="108" t="s">
        <v>26</v>
      </c>
      <c r="AH5" s="9" t="s">
        <v>27</v>
      </c>
      <c r="AI5" s="108" t="s">
        <v>26</v>
      </c>
      <c r="AJ5" s="15" t="s">
        <v>27</v>
      </c>
      <c r="AK5" s="108" t="s">
        <v>26</v>
      </c>
      <c r="AL5" s="9" t="s">
        <v>27</v>
      </c>
      <c r="AM5" s="105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107">
        <v>680</v>
      </c>
      <c r="F6" s="107"/>
      <c r="G6" s="107">
        <f>680</f>
        <v>680</v>
      </c>
      <c r="H6" s="107">
        <f t="shared" ref="H6:H13" si="0">G6-E6</f>
        <v>0</v>
      </c>
      <c r="I6" s="107"/>
      <c r="J6" s="107">
        <f>428+252</f>
        <v>680</v>
      </c>
      <c r="K6" s="107">
        <f t="shared" ref="K6:K13" si="1">J6-G6</f>
        <v>0</v>
      </c>
      <c r="L6" s="107">
        <v>9</v>
      </c>
      <c r="M6" s="107">
        <f>62+144+4+9</f>
        <v>219</v>
      </c>
      <c r="N6" s="107">
        <f t="shared" ref="N6:N13" si="2">M6-J6</f>
        <v>-461</v>
      </c>
      <c r="O6" s="107">
        <v>9</v>
      </c>
      <c r="P6" s="107">
        <f>62+144+4+9</f>
        <v>219</v>
      </c>
      <c r="Q6" s="107">
        <f t="shared" ref="Q6:Q13" si="3">P6-M6</f>
        <v>0</v>
      </c>
      <c r="R6" s="18"/>
      <c r="S6" s="18"/>
      <c r="T6" s="18">
        <f t="shared" ref="T6:T13" si="4">S6-P6</f>
        <v>-219</v>
      </c>
      <c r="U6" s="18"/>
      <c r="V6" s="18"/>
      <c r="W6" s="18">
        <f t="shared" ref="W6:W13" si="5">V6-S6</f>
        <v>0</v>
      </c>
      <c r="X6" s="107"/>
      <c r="Y6" s="107"/>
      <c r="Z6" s="107">
        <f t="shared" ref="Z6:Z13" si="6">Y6-P6</f>
        <v>-219</v>
      </c>
      <c r="AA6" s="107"/>
      <c r="AB6" s="107"/>
      <c r="AC6" s="19">
        <f t="shared" ref="AC6:AC13" si="7">AB6-Y6</f>
        <v>0</v>
      </c>
      <c r="AD6" s="267">
        <f>L14</f>
        <v>47</v>
      </c>
      <c r="AE6" s="267">
        <f>62+144+4+20+190+196+47</f>
        <v>663</v>
      </c>
      <c r="AF6" s="282">
        <v>24.192</v>
      </c>
      <c r="AG6" s="267">
        <v>8</v>
      </c>
      <c r="AH6" s="277">
        <f>6+8+6+10+10+10+20+6+22+13+22+8</f>
        <v>141</v>
      </c>
      <c r="AI6" s="267">
        <v>11</v>
      </c>
      <c r="AJ6" s="277">
        <f>1+2+2+2+3+3+5+4+5+5+11+11</f>
        <v>54</v>
      </c>
      <c r="AK6" s="267">
        <v>1</v>
      </c>
      <c r="AL6" s="277">
        <f>1+1+1+1+1+1+1+1</f>
        <v>8</v>
      </c>
      <c r="AM6" s="270">
        <f>L14*AF6/480/AG6</f>
        <v>0.29610000000000003</v>
      </c>
      <c r="AN6" s="270">
        <f>M14*AF6/480/AH6</f>
        <v>0.23698723404255317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>
        <v>13</v>
      </c>
      <c r="M7" s="20">
        <f>20+117+9+13</f>
        <v>159</v>
      </c>
      <c r="N7" s="20">
        <f t="shared" si="2"/>
        <v>-440</v>
      </c>
      <c r="O7" s="20">
        <v>13</v>
      </c>
      <c r="P7" s="20">
        <f>20+117+9+13</f>
        <v>159</v>
      </c>
      <c r="Q7" s="20">
        <f t="shared" si="3"/>
        <v>0</v>
      </c>
      <c r="R7" s="20"/>
      <c r="S7" s="20"/>
      <c r="T7" s="20">
        <f t="shared" si="4"/>
        <v>-159</v>
      </c>
      <c r="U7" s="20"/>
      <c r="V7" s="20"/>
      <c r="W7" s="20">
        <f t="shared" si="5"/>
        <v>0</v>
      </c>
      <c r="X7" s="20"/>
      <c r="Y7" s="20"/>
      <c r="Z7" s="20">
        <f t="shared" si="6"/>
        <v>-159</v>
      </c>
      <c r="AA7" s="20"/>
      <c r="AB7" s="20"/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>
        <v>25</v>
      </c>
      <c r="M8" s="20">
        <f>73+187+25</f>
        <v>285</v>
      </c>
      <c r="N8" s="20">
        <f t="shared" si="2"/>
        <v>-392</v>
      </c>
      <c r="O8" s="20">
        <v>25</v>
      </c>
      <c r="P8" s="20">
        <f>73+187+25</f>
        <v>285</v>
      </c>
      <c r="Q8" s="20">
        <f t="shared" si="3"/>
        <v>0</v>
      </c>
      <c r="R8" s="20"/>
      <c r="S8" s="20"/>
      <c r="T8" s="20">
        <f t="shared" si="4"/>
        <v>-285</v>
      </c>
      <c r="U8" s="20"/>
      <c r="V8" s="20"/>
      <c r="W8" s="20">
        <f t="shared" si="5"/>
        <v>0</v>
      </c>
      <c r="X8" s="20"/>
      <c r="Y8" s="20"/>
      <c r="Z8" s="20">
        <f t="shared" si="6"/>
        <v>-285</v>
      </c>
      <c r="AA8" s="20"/>
      <c r="AB8" s="20"/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/>
      <c r="M9" s="20"/>
      <c r="N9" s="20">
        <f t="shared" si="2"/>
        <v>-106</v>
      </c>
      <c r="O9" s="20"/>
      <c r="P9" s="20"/>
      <c r="Q9" s="20">
        <f t="shared" si="3"/>
        <v>0</v>
      </c>
      <c r="R9" s="20"/>
      <c r="S9" s="20"/>
      <c r="T9" s="20">
        <f t="shared" si="4"/>
        <v>0</v>
      </c>
      <c r="U9" s="20"/>
      <c r="V9" s="20"/>
      <c r="W9" s="20">
        <f t="shared" si="5"/>
        <v>0</v>
      </c>
      <c r="X9" s="20"/>
      <c r="Y9" s="20"/>
      <c r="Z9" s="20">
        <f t="shared" si="6"/>
        <v>0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279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/>
      <c r="M10" s="20"/>
      <c r="N10" s="20">
        <f t="shared" si="2"/>
        <v>-223</v>
      </c>
      <c r="O10" s="20"/>
      <c r="P10" s="20"/>
      <c r="Q10" s="20">
        <f t="shared" si="3"/>
        <v>0</v>
      </c>
      <c r="R10" s="20"/>
      <c r="S10" s="20"/>
      <c r="T10" s="20">
        <f t="shared" si="4"/>
        <v>0</v>
      </c>
      <c r="U10" s="20"/>
      <c r="V10" s="20"/>
      <c r="W10" s="20">
        <f t="shared" si="5"/>
        <v>0</v>
      </c>
      <c r="X10" s="20"/>
      <c r="Y10" s="20"/>
      <c r="Z10" s="20">
        <f t="shared" si="6"/>
        <v>0</v>
      </c>
      <c r="AA10" s="20"/>
      <c r="AB10" s="20"/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/>
      <c r="N11" s="20">
        <f t="shared" si="2"/>
        <v>-227</v>
      </c>
      <c r="O11" s="20"/>
      <c r="P11" s="20"/>
      <c r="Q11" s="20">
        <f t="shared" si="3"/>
        <v>0</v>
      </c>
      <c r="R11" s="20"/>
      <c r="S11" s="20"/>
      <c r="T11" s="20">
        <f t="shared" si="4"/>
        <v>0</v>
      </c>
      <c r="U11" s="20"/>
      <c r="V11" s="20"/>
      <c r="W11" s="20">
        <f t="shared" si="5"/>
        <v>0</v>
      </c>
      <c r="X11" s="20"/>
      <c r="Y11" s="20"/>
      <c r="Z11" s="20">
        <f t="shared" si="6"/>
        <v>0</v>
      </c>
      <c r="AA11" s="20"/>
      <c r="AB11" s="20"/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/>
      <c r="M12" s="20"/>
      <c r="N12" s="20">
        <f t="shared" si="2"/>
        <v>-242</v>
      </c>
      <c r="O12" s="20"/>
      <c r="P12" s="20"/>
      <c r="Q12" s="20">
        <f t="shared" si="3"/>
        <v>0</v>
      </c>
      <c r="R12" s="20"/>
      <c r="S12" s="20"/>
      <c r="T12" s="20">
        <f t="shared" si="4"/>
        <v>0</v>
      </c>
      <c r="U12" s="20"/>
      <c r="V12" s="20"/>
      <c r="W12" s="20">
        <f t="shared" si="5"/>
        <v>0</v>
      </c>
      <c r="X12" s="20"/>
      <c r="Y12" s="20"/>
      <c r="Z12" s="20">
        <f t="shared" si="6"/>
        <v>0</v>
      </c>
      <c r="AA12" s="20"/>
      <c r="AB12" s="20"/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ht="18" thickBot="1" x14ac:dyDescent="0.3">
      <c r="A13" s="283"/>
      <c r="B13" s="299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/>
      <c r="M13" s="20"/>
      <c r="N13" s="20">
        <f t="shared" si="2"/>
        <v>-171</v>
      </c>
      <c r="O13" s="20"/>
      <c r="P13" s="20"/>
      <c r="Q13" s="20">
        <f t="shared" si="3"/>
        <v>0</v>
      </c>
      <c r="R13" s="25"/>
      <c r="S13" s="25"/>
      <c r="T13" s="25">
        <f t="shared" si="4"/>
        <v>0</v>
      </c>
      <c r="U13" s="25"/>
      <c r="V13" s="25"/>
      <c r="W13" s="25">
        <f t="shared" si="5"/>
        <v>0</v>
      </c>
      <c r="X13" s="20"/>
      <c r="Y13" s="20"/>
      <c r="Z13" s="20">
        <f t="shared" si="6"/>
        <v>0</v>
      </c>
      <c r="AA13" s="20"/>
      <c r="AB13" s="20"/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ht="18" thickBot="1" x14ac:dyDescent="0.3">
      <c r="A14" s="283"/>
      <c r="B14" s="272" t="s">
        <v>34</v>
      </c>
      <c r="C14" s="273"/>
      <c r="D14" s="274"/>
      <c r="E14" s="23">
        <f>+SUM(E6:E13)</f>
        <v>3162</v>
      </c>
      <c r="F14" s="23">
        <f>+SUM(F6:F13)</f>
        <v>0</v>
      </c>
      <c r="G14" s="23">
        <f>SUM(G6:G13)</f>
        <v>2925</v>
      </c>
      <c r="H14" s="23">
        <f t="shared" ref="H14:AC14" si="8">+SUM(H6:H13)</f>
        <v>-237</v>
      </c>
      <c r="I14" s="23">
        <f t="shared" si="8"/>
        <v>0</v>
      </c>
      <c r="J14" s="23">
        <f t="shared" si="8"/>
        <v>2925</v>
      </c>
      <c r="K14" s="23">
        <f t="shared" si="8"/>
        <v>0</v>
      </c>
      <c r="L14" s="23">
        <f t="shared" si="8"/>
        <v>47</v>
      </c>
      <c r="M14" s="23">
        <f t="shared" si="8"/>
        <v>663</v>
      </c>
      <c r="N14" s="23">
        <f t="shared" si="8"/>
        <v>-2262</v>
      </c>
      <c r="O14" s="23">
        <f t="shared" si="8"/>
        <v>47</v>
      </c>
      <c r="P14" s="23">
        <f t="shared" si="8"/>
        <v>663</v>
      </c>
      <c r="Q14" s="23">
        <f t="shared" si="8"/>
        <v>0</v>
      </c>
      <c r="R14" s="24">
        <f t="shared" si="8"/>
        <v>0</v>
      </c>
      <c r="S14" s="24">
        <f t="shared" si="8"/>
        <v>0</v>
      </c>
      <c r="T14" s="24">
        <f t="shared" si="8"/>
        <v>-663</v>
      </c>
      <c r="U14" s="24">
        <f t="shared" si="8"/>
        <v>0</v>
      </c>
      <c r="V14" s="24">
        <f t="shared" si="8"/>
        <v>0</v>
      </c>
      <c r="W14" s="24">
        <f t="shared" si="8"/>
        <v>0</v>
      </c>
      <c r="X14" s="23">
        <f t="shared" si="8"/>
        <v>0</v>
      </c>
      <c r="Y14" s="23">
        <f t="shared" si="8"/>
        <v>0</v>
      </c>
      <c r="Z14" s="23">
        <f t="shared" si="8"/>
        <v>-663</v>
      </c>
      <c r="AA14" s="23">
        <f t="shared" si="8"/>
        <v>0</v>
      </c>
      <c r="AB14" s="23">
        <f t="shared" si="8"/>
        <v>0</v>
      </c>
      <c r="AC14" s="15">
        <f t="shared" si="8"/>
        <v>0</v>
      </c>
      <c r="AD14" s="264"/>
      <c r="AE14" s="264"/>
      <c r="AF14" s="269"/>
      <c r="AG14" s="264"/>
      <c r="AH14" s="262"/>
      <c r="AI14" s="264"/>
      <c r="AJ14" s="262"/>
      <c r="AK14" s="264"/>
      <c r="AL14" s="262"/>
      <c r="AM14" s="250"/>
      <c r="AN14" s="250"/>
      <c r="AO14" s="252"/>
    </row>
    <row r="15" spans="1:41" ht="18" thickBot="1" x14ac:dyDescent="0.3">
      <c r="A15" s="284"/>
      <c r="B15" s="275" t="s">
        <v>40</v>
      </c>
      <c r="C15" s="275"/>
      <c r="D15" s="276"/>
      <c r="E15" s="26">
        <f>E14</f>
        <v>3162</v>
      </c>
      <c r="F15" s="26">
        <f t="shared" ref="F15:AC15" si="9">F14</f>
        <v>0</v>
      </c>
      <c r="G15" s="26">
        <f t="shared" si="9"/>
        <v>2925</v>
      </c>
      <c r="H15" s="26">
        <f t="shared" si="9"/>
        <v>-237</v>
      </c>
      <c r="I15" s="26">
        <f t="shared" si="9"/>
        <v>0</v>
      </c>
      <c r="J15" s="26">
        <f t="shared" si="9"/>
        <v>2925</v>
      </c>
      <c r="K15" s="26">
        <f t="shared" si="9"/>
        <v>0</v>
      </c>
      <c r="L15" s="26">
        <f t="shared" si="9"/>
        <v>47</v>
      </c>
      <c r="M15" s="26">
        <f t="shared" si="9"/>
        <v>663</v>
      </c>
      <c r="N15" s="26">
        <f t="shared" si="9"/>
        <v>-2262</v>
      </c>
      <c r="O15" s="26">
        <f t="shared" si="9"/>
        <v>47</v>
      </c>
      <c r="P15" s="26">
        <f t="shared" si="9"/>
        <v>663</v>
      </c>
      <c r="Q15" s="26">
        <f t="shared" si="9"/>
        <v>0</v>
      </c>
      <c r="R15" s="26">
        <f t="shared" si="9"/>
        <v>0</v>
      </c>
      <c r="S15" s="26">
        <f t="shared" si="9"/>
        <v>0</v>
      </c>
      <c r="T15" s="26">
        <f t="shared" si="9"/>
        <v>-663</v>
      </c>
      <c r="U15" s="26">
        <f t="shared" si="9"/>
        <v>0</v>
      </c>
      <c r="V15" s="26">
        <f t="shared" si="9"/>
        <v>0</v>
      </c>
      <c r="W15" s="26">
        <f t="shared" si="9"/>
        <v>0</v>
      </c>
      <c r="X15" s="26">
        <f t="shared" si="9"/>
        <v>0</v>
      </c>
      <c r="Y15" s="26">
        <f t="shared" si="9"/>
        <v>0</v>
      </c>
      <c r="Z15" s="26">
        <f t="shared" si="9"/>
        <v>-663</v>
      </c>
      <c r="AA15" s="26">
        <f t="shared" si="9"/>
        <v>0</v>
      </c>
      <c r="AB15" s="26">
        <f t="shared" si="9"/>
        <v>0</v>
      </c>
      <c r="AC15" s="26">
        <f t="shared" si="9"/>
        <v>0</v>
      </c>
      <c r="AD15" s="27">
        <f t="shared" ref="AD15:AL15" si="10">SUM(AD6:AD14)</f>
        <v>47</v>
      </c>
      <c r="AE15" s="27">
        <f t="shared" si="10"/>
        <v>663</v>
      </c>
      <c r="AF15" s="28">
        <f t="shared" si="10"/>
        <v>24.192</v>
      </c>
      <c r="AG15" s="27">
        <f t="shared" si="10"/>
        <v>8</v>
      </c>
      <c r="AH15" s="27">
        <f t="shared" si="10"/>
        <v>141</v>
      </c>
      <c r="AI15" s="27">
        <f t="shared" si="10"/>
        <v>11</v>
      </c>
      <c r="AJ15" s="27">
        <f t="shared" si="10"/>
        <v>54</v>
      </c>
      <c r="AK15" s="27">
        <f t="shared" si="10"/>
        <v>1</v>
      </c>
      <c r="AL15" s="27">
        <f t="shared" si="10"/>
        <v>8</v>
      </c>
      <c r="AM15" s="29">
        <f>L15*AF15/480/AG15</f>
        <v>0.29610000000000003</v>
      </c>
      <c r="AN15" s="30">
        <f>M15*AF15/480/AH15</f>
        <v>0.23698723404255317</v>
      </c>
      <c r="AO15" s="31"/>
    </row>
    <row r="16" spans="1:41" ht="18.75" customHeight="1" x14ac:dyDescent="0.25">
      <c r="A16" s="265" t="s">
        <v>32</v>
      </c>
      <c r="B16" s="106" t="s">
        <v>41</v>
      </c>
      <c r="C16" s="300" t="s">
        <v>37</v>
      </c>
      <c r="D16" s="34" t="s">
        <v>42</v>
      </c>
      <c r="E16" s="107">
        <v>1645</v>
      </c>
      <c r="F16" s="107"/>
      <c r="G16" s="107">
        <f>1433</f>
        <v>1433</v>
      </c>
      <c r="H16" s="107">
        <f t="shared" ref="H16:H18" si="11">G16-E16</f>
        <v>-212</v>
      </c>
      <c r="I16" s="107"/>
      <c r="J16" s="107">
        <f>100+200+300+350+400+83</f>
        <v>1433</v>
      </c>
      <c r="K16" s="107">
        <f t="shared" ref="K16:K18" si="12">J16-G16</f>
        <v>0</v>
      </c>
      <c r="L16" s="107">
        <f>931-882</f>
        <v>49</v>
      </c>
      <c r="M16" s="107">
        <f>102+201+302+351-99-125-110+133+127+49</f>
        <v>931</v>
      </c>
      <c r="N16" s="107">
        <f t="shared" ref="N16:N18" si="13">M16-J16</f>
        <v>-502</v>
      </c>
      <c r="O16" s="107">
        <v>49</v>
      </c>
      <c r="P16" s="107">
        <f>108+163+112+27+116+96+133+127+49</f>
        <v>931</v>
      </c>
      <c r="Q16" s="107">
        <f t="shared" ref="Q16:Q18" si="14">P16-M16</f>
        <v>0</v>
      </c>
      <c r="R16" s="107"/>
      <c r="S16" s="107">
        <f>20+130+200</f>
        <v>350</v>
      </c>
      <c r="T16" s="35">
        <f t="shared" ref="T16:T18" si="15">S16-P16</f>
        <v>-581</v>
      </c>
      <c r="U16" s="107"/>
      <c r="V16" s="107">
        <f>20+330</f>
        <v>350</v>
      </c>
      <c r="W16" s="35">
        <f t="shared" ref="W16:W18" si="16">V16-S16</f>
        <v>0</v>
      </c>
      <c r="X16" s="107"/>
      <c r="Y16" s="107"/>
      <c r="Z16" s="107">
        <f t="shared" ref="Z16:Z18" si="17">Y16-P16</f>
        <v>-931</v>
      </c>
      <c r="AA16" s="107"/>
      <c r="AB16" s="107"/>
      <c r="AC16" s="33">
        <f t="shared" ref="AC16:AC18" si="18">AB16-Y16</f>
        <v>0</v>
      </c>
      <c r="AD16" s="267">
        <f>L19</f>
        <v>289</v>
      </c>
      <c r="AE16" s="263">
        <f>300+98+344+213+289</f>
        <v>1244</v>
      </c>
      <c r="AF16" s="268">
        <v>33.130000000000003</v>
      </c>
      <c r="AG16" s="263">
        <v>10</v>
      </c>
      <c r="AH16" s="261">
        <f>2+10+8+8+8+6+6+6+9+5+6+8+7+7+6+6+6+6+6+6+7+7+7+7+6+7+17+16+16+22+21+21+10+20+20+13+10</f>
        <v>359</v>
      </c>
      <c r="AI16" s="263"/>
      <c r="AJ16" s="261">
        <f>1+1+1+1+1+1+1+2+2+2+2+2+2+2+2+2+2+1+1+1+1+1+1+1+1+4+3+4+5+8+8+6+7+6+6</f>
        <v>92</v>
      </c>
      <c r="AK16" s="263"/>
      <c r="AL16" s="261">
        <f>1+1+1+1+1+1+1+1+1+1+1+1+1+1+1+1+2+2+2+2+2+1+1</f>
        <v>28</v>
      </c>
      <c r="AM16" s="249">
        <f>L19*AF16/480/AG16</f>
        <v>1.9947020833333338</v>
      </c>
      <c r="AN16" s="249">
        <f>M19*AF16/480/AH16</f>
        <v>0.42296889507892294</v>
      </c>
      <c r="AO16" s="251"/>
    </row>
    <row r="17" spans="1:41" ht="18.75" customHeight="1" x14ac:dyDescent="0.25">
      <c r="A17" s="265"/>
      <c r="B17" s="36" t="s">
        <v>43</v>
      </c>
      <c r="C17" s="301"/>
      <c r="D17" s="38" t="s">
        <v>44</v>
      </c>
      <c r="E17" s="20">
        <v>1245</v>
      </c>
      <c r="F17" s="20"/>
      <c r="G17" s="20">
        <f>1238</f>
        <v>1238</v>
      </c>
      <c r="H17" s="20">
        <f t="shared" si="11"/>
        <v>-7</v>
      </c>
      <c r="I17" s="20"/>
      <c r="J17" s="20">
        <f>650+588</f>
        <v>1238</v>
      </c>
      <c r="K17" s="20">
        <f t="shared" si="12"/>
        <v>0</v>
      </c>
      <c r="L17" s="20">
        <f>933-892</f>
        <v>41</v>
      </c>
      <c r="M17" s="20">
        <f>300+99+125+110+98+101+59+41</f>
        <v>933</v>
      </c>
      <c r="N17" s="20">
        <f t="shared" si="13"/>
        <v>-305</v>
      </c>
      <c r="O17" s="20">
        <v>41</v>
      </c>
      <c r="P17" s="20">
        <f>36+128+235+125+208+101+59+41</f>
        <v>933</v>
      </c>
      <c r="Q17" s="20">
        <f t="shared" si="14"/>
        <v>0</v>
      </c>
      <c r="R17" s="20"/>
      <c r="S17" s="20">
        <f>20+300</f>
        <v>320</v>
      </c>
      <c r="T17" s="39">
        <f t="shared" si="15"/>
        <v>-613</v>
      </c>
      <c r="U17" s="20"/>
      <c r="V17" s="20">
        <f>20</f>
        <v>20</v>
      </c>
      <c r="W17" s="39">
        <f t="shared" si="16"/>
        <v>-300</v>
      </c>
      <c r="X17" s="20"/>
      <c r="Y17" s="20"/>
      <c r="Z17" s="20">
        <f t="shared" si="17"/>
        <v>-933</v>
      </c>
      <c r="AA17" s="20"/>
      <c r="AB17" s="20"/>
      <c r="AC17" s="37">
        <f t="shared" si="18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.75" customHeight="1" thickBot="1" x14ac:dyDescent="0.3">
      <c r="A18" s="265"/>
      <c r="B18" s="110" t="s">
        <v>45</v>
      </c>
      <c r="C18" s="302"/>
      <c r="D18" s="42" t="s">
        <v>46</v>
      </c>
      <c r="E18" s="25">
        <v>1300</v>
      </c>
      <c r="F18" s="25"/>
      <c r="G18" s="25">
        <f>1183</f>
        <v>1183</v>
      </c>
      <c r="H18" s="25">
        <f t="shared" si="11"/>
        <v>-117</v>
      </c>
      <c r="I18" s="25"/>
      <c r="J18" s="25">
        <f>520+663</f>
        <v>1183</v>
      </c>
      <c r="K18" s="25">
        <f t="shared" si="12"/>
        <v>0</v>
      </c>
      <c r="L18" s="25">
        <f>336-137</f>
        <v>199</v>
      </c>
      <c r="M18" s="25">
        <f>110+27+199</f>
        <v>336</v>
      </c>
      <c r="N18" s="25">
        <f t="shared" si="13"/>
        <v>-847</v>
      </c>
      <c r="O18" s="25">
        <v>199</v>
      </c>
      <c r="P18" s="25">
        <f>110+27+199</f>
        <v>336</v>
      </c>
      <c r="Q18" s="25">
        <f t="shared" si="14"/>
        <v>0</v>
      </c>
      <c r="R18" s="25"/>
      <c r="S18" s="25"/>
      <c r="T18" s="43">
        <f t="shared" si="15"/>
        <v>-336</v>
      </c>
      <c r="U18" s="25"/>
      <c r="V18" s="25"/>
      <c r="W18" s="43">
        <f t="shared" si="16"/>
        <v>0</v>
      </c>
      <c r="X18" s="25"/>
      <c r="Y18" s="25"/>
      <c r="Z18" s="25">
        <f t="shared" si="17"/>
        <v>-336</v>
      </c>
      <c r="AA18" s="25"/>
      <c r="AB18" s="25"/>
      <c r="AC18" s="44">
        <f t="shared" si="18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65"/>
      <c r="B19" s="253" t="s">
        <v>34</v>
      </c>
      <c r="C19" s="254"/>
      <c r="D19" s="255"/>
      <c r="E19" s="24">
        <f>+SUM(E16:E18)</f>
        <v>4190</v>
      </c>
      <c r="F19" s="24">
        <f t="shared" ref="F19:AC19" si="19">+SUM(F16:F18)</f>
        <v>0</v>
      </c>
      <c r="G19" s="24">
        <f t="shared" si="19"/>
        <v>3854</v>
      </c>
      <c r="H19" s="24">
        <f t="shared" si="19"/>
        <v>-336</v>
      </c>
      <c r="I19" s="24">
        <f t="shared" si="19"/>
        <v>0</v>
      </c>
      <c r="J19" s="24">
        <f t="shared" si="19"/>
        <v>3854</v>
      </c>
      <c r="K19" s="24">
        <f t="shared" si="19"/>
        <v>0</v>
      </c>
      <c r="L19" s="24">
        <f t="shared" si="19"/>
        <v>289</v>
      </c>
      <c r="M19" s="24">
        <f t="shared" si="19"/>
        <v>2200</v>
      </c>
      <c r="N19" s="24">
        <f t="shared" si="19"/>
        <v>-1654</v>
      </c>
      <c r="O19" s="24">
        <f t="shared" si="19"/>
        <v>289</v>
      </c>
      <c r="P19" s="24">
        <f t="shared" si="19"/>
        <v>2200</v>
      </c>
      <c r="Q19" s="24">
        <f t="shared" si="19"/>
        <v>0</v>
      </c>
      <c r="R19" s="24">
        <f t="shared" si="19"/>
        <v>0</v>
      </c>
      <c r="S19" s="24">
        <f t="shared" si="19"/>
        <v>670</v>
      </c>
      <c r="T19" s="24">
        <f t="shared" si="19"/>
        <v>-1530</v>
      </c>
      <c r="U19" s="24">
        <f t="shared" si="19"/>
        <v>0</v>
      </c>
      <c r="V19" s="24">
        <f t="shared" si="19"/>
        <v>370</v>
      </c>
      <c r="W19" s="24">
        <f t="shared" si="19"/>
        <v>-300</v>
      </c>
      <c r="X19" s="24">
        <f t="shared" si="19"/>
        <v>0</v>
      </c>
      <c r="Y19" s="24">
        <f t="shared" si="19"/>
        <v>0</v>
      </c>
      <c r="Z19" s="24">
        <f t="shared" si="19"/>
        <v>-2200</v>
      </c>
      <c r="AA19" s="24">
        <f t="shared" si="19"/>
        <v>0</v>
      </c>
      <c r="AB19" s="24">
        <f t="shared" si="19"/>
        <v>0</v>
      </c>
      <c r="AC19" s="24">
        <f t="shared" si="19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" customHeight="1" thickBot="1" x14ac:dyDescent="0.3">
      <c r="A20" s="266"/>
      <c r="B20" s="256" t="s">
        <v>40</v>
      </c>
      <c r="C20" s="256"/>
      <c r="D20" s="257"/>
      <c r="E20" s="26">
        <f>E19</f>
        <v>4190</v>
      </c>
      <c r="F20" s="26">
        <f t="shared" ref="F20:AC20" si="20">F19</f>
        <v>0</v>
      </c>
      <c r="G20" s="26">
        <f t="shared" si="20"/>
        <v>3854</v>
      </c>
      <c r="H20" s="26">
        <f t="shared" si="20"/>
        <v>-336</v>
      </c>
      <c r="I20" s="26">
        <f t="shared" si="20"/>
        <v>0</v>
      </c>
      <c r="J20" s="26">
        <f t="shared" si="20"/>
        <v>3854</v>
      </c>
      <c r="K20" s="26">
        <f t="shared" si="20"/>
        <v>0</v>
      </c>
      <c r="L20" s="26">
        <f t="shared" si="20"/>
        <v>289</v>
      </c>
      <c r="M20" s="26">
        <f t="shared" si="20"/>
        <v>2200</v>
      </c>
      <c r="N20" s="26">
        <f t="shared" si="20"/>
        <v>-1654</v>
      </c>
      <c r="O20" s="26">
        <f t="shared" si="20"/>
        <v>289</v>
      </c>
      <c r="P20" s="26">
        <f t="shared" si="20"/>
        <v>2200</v>
      </c>
      <c r="Q20" s="26">
        <f t="shared" si="20"/>
        <v>0</v>
      </c>
      <c r="R20" s="26">
        <f t="shared" si="20"/>
        <v>0</v>
      </c>
      <c r="S20" s="26">
        <f t="shared" si="20"/>
        <v>670</v>
      </c>
      <c r="T20" s="26">
        <f t="shared" si="20"/>
        <v>-1530</v>
      </c>
      <c r="U20" s="26">
        <f t="shared" si="20"/>
        <v>0</v>
      </c>
      <c r="V20" s="26">
        <f t="shared" si="20"/>
        <v>370</v>
      </c>
      <c r="W20" s="26">
        <f t="shared" si="20"/>
        <v>-300</v>
      </c>
      <c r="X20" s="26">
        <f t="shared" si="20"/>
        <v>0</v>
      </c>
      <c r="Y20" s="26">
        <f t="shared" si="20"/>
        <v>0</v>
      </c>
      <c r="Z20" s="26">
        <f t="shared" si="20"/>
        <v>-2200</v>
      </c>
      <c r="AA20" s="26">
        <f t="shared" si="20"/>
        <v>0</v>
      </c>
      <c r="AB20" s="26">
        <f t="shared" si="20"/>
        <v>0</v>
      </c>
      <c r="AC20" s="26">
        <f t="shared" si="20"/>
        <v>0</v>
      </c>
      <c r="AD20" s="45">
        <f t="shared" ref="AD20:AL20" si="21">SUM(AD16:AD19)</f>
        <v>289</v>
      </c>
      <c r="AE20" s="45">
        <f t="shared" si="21"/>
        <v>1244</v>
      </c>
      <c r="AF20" s="46">
        <f t="shared" si="21"/>
        <v>33.130000000000003</v>
      </c>
      <c r="AG20" s="45">
        <f t="shared" si="21"/>
        <v>10</v>
      </c>
      <c r="AH20" s="45">
        <f t="shared" si="21"/>
        <v>359</v>
      </c>
      <c r="AI20" s="45">
        <f t="shared" si="21"/>
        <v>0</v>
      </c>
      <c r="AJ20" s="45">
        <f t="shared" si="21"/>
        <v>92</v>
      </c>
      <c r="AK20" s="45">
        <f t="shared" si="21"/>
        <v>0</v>
      </c>
      <c r="AL20" s="45">
        <f t="shared" si="21"/>
        <v>28</v>
      </c>
      <c r="AM20" s="47">
        <f>L20*AF20/480/AG20</f>
        <v>1.9947020833333338</v>
      </c>
      <c r="AN20" s="48">
        <f>M20*AF20/480/AH20</f>
        <v>0.42296889507892294</v>
      </c>
      <c r="AO20" s="49"/>
    </row>
    <row r="21" spans="1:41" s="60" customFormat="1" ht="15.75" thickBot="1" x14ac:dyDescent="0.3">
      <c r="A21" s="50"/>
      <c r="B21" s="51"/>
      <c r="C21" s="51"/>
      <c r="D21" s="51"/>
      <c r="E21" s="51"/>
      <c r="F21" s="52"/>
      <c r="G21" s="51"/>
      <c r="H21" s="51"/>
      <c r="I21" s="104"/>
      <c r="J21" s="54"/>
      <c r="K21" s="51"/>
      <c r="L21" s="55"/>
      <c r="M21" s="51"/>
      <c r="N21" s="51"/>
      <c r="O21" s="56"/>
      <c r="P21" s="51"/>
      <c r="Q21" s="51"/>
      <c r="R21" s="55"/>
      <c r="S21" s="51"/>
      <c r="T21" s="51"/>
      <c r="U21" s="55"/>
      <c r="V21" s="51"/>
      <c r="W21" s="51"/>
      <c r="X21" s="55"/>
      <c r="Y21" s="51"/>
      <c r="Z21" s="51"/>
      <c r="AA21" s="55"/>
      <c r="AB21" s="51"/>
      <c r="AC21" s="51"/>
      <c r="AD21" s="103"/>
      <c r="AE21" s="58"/>
      <c r="AF21" s="51"/>
      <c r="AG21" s="103"/>
      <c r="AH21" s="58"/>
      <c r="AI21" s="103"/>
      <c r="AJ21" s="58"/>
      <c r="AK21" s="103"/>
      <c r="AL21" s="58"/>
      <c r="AM21" s="103"/>
      <c r="AN21" s="55"/>
      <c r="AO21" s="59"/>
    </row>
    <row r="22" spans="1:41" s="60" customFormat="1" ht="15.75" thickBot="1" x14ac:dyDescent="0.3">
      <c r="A22" s="258" t="s">
        <v>47</v>
      </c>
      <c r="B22" s="259"/>
      <c r="C22" s="259"/>
      <c r="D22" s="259"/>
      <c r="E22" s="260"/>
      <c r="F22" s="63">
        <f>F20+F15</f>
        <v>0</v>
      </c>
      <c r="G22" s="64"/>
      <c r="H22" s="64"/>
      <c r="I22" s="63">
        <f>I20+I15</f>
        <v>0</v>
      </c>
      <c r="J22" s="64"/>
      <c r="K22" s="65">
        <f>K20+K15</f>
        <v>0</v>
      </c>
      <c r="L22" s="66">
        <f>L20+L15</f>
        <v>336</v>
      </c>
      <c r="M22" s="64"/>
      <c r="N22" s="65">
        <f>N20+N15</f>
        <v>-3916</v>
      </c>
      <c r="O22" s="66">
        <f>O20+O15</f>
        <v>336</v>
      </c>
      <c r="P22" s="64"/>
      <c r="Q22" s="65">
        <f>Q20+Q15</f>
        <v>0</v>
      </c>
      <c r="R22" s="66">
        <f>R20+R15</f>
        <v>0</v>
      </c>
      <c r="S22" s="64"/>
      <c r="T22" s="65">
        <f>T20+T15</f>
        <v>-2193</v>
      </c>
      <c r="U22" s="66">
        <f>U20+U15</f>
        <v>0</v>
      </c>
      <c r="V22" s="64"/>
      <c r="W22" s="65">
        <f>W20+W15</f>
        <v>-300</v>
      </c>
      <c r="X22" s="66">
        <f>X20+X15</f>
        <v>0</v>
      </c>
      <c r="Y22" s="64"/>
      <c r="Z22" s="65">
        <f>Z20+Z15</f>
        <v>-2863</v>
      </c>
      <c r="AA22" s="66">
        <f>AA20+AA15</f>
        <v>0</v>
      </c>
      <c r="AB22" s="64"/>
      <c r="AC22" s="65">
        <f>AC20+AC15</f>
        <v>0</v>
      </c>
      <c r="AD22" s="67">
        <f>AD20+AD15</f>
        <v>336</v>
      </c>
      <c r="AE22" s="65">
        <f>AE20+AE15</f>
        <v>1907</v>
      </c>
      <c r="AF22" s="64"/>
      <c r="AG22" s="63">
        <f>AG20+AG15</f>
        <v>18</v>
      </c>
      <c r="AH22" s="68"/>
      <c r="AI22" s="63">
        <f>AI20+AI15</f>
        <v>11</v>
      </c>
      <c r="AJ22" s="68"/>
      <c r="AK22" s="63">
        <f>AK20+AK15</f>
        <v>1</v>
      </c>
      <c r="AL22" s="68"/>
      <c r="AM22" s="69">
        <f>SUM(AM20+AM15)/2</f>
        <v>1.1454010416666669</v>
      </c>
      <c r="AN22" s="69">
        <f>SUM(AN20+AN15)/2</f>
        <v>0.32997806456073808</v>
      </c>
      <c r="AO22" s="70"/>
    </row>
    <row r="23" spans="1:41" s="60" customFormat="1" ht="15" x14ac:dyDescent="0.25">
      <c r="O23" s="71"/>
    </row>
    <row r="24" spans="1:41" s="60" customFormat="1" ht="15" x14ac:dyDescent="0.25">
      <c r="O24" s="71"/>
      <c r="W24" s="60" t="s">
        <v>5</v>
      </c>
      <c r="Z24" s="60" t="s">
        <v>5</v>
      </c>
      <c r="AC24" s="60" t="s">
        <v>5</v>
      </c>
    </row>
  </sheetData>
  <mergeCells count="59"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  <mergeCell ref="AM4:AN4"/>
    <mergeCell ref="AO4:AO5"/>
    <mergeCell ref="A6:A15"/>
    <mergeCell ref="B6:B9"/>
    <mergeCell ref="C6:C13"/>
    <mergeCell ref="AD6:AD14"/>
    <mergeCell ref="AE6:AE14"/>
    <mergeCell ref="AF6:AF14"/>
    <mergeCell ref="AG6:AG14"/>
    <mergeCell ref="AH6:AH14"/>
    <mergeCell ref="X4:Z4"/>
    <mergeCell ref="AA4:AC4"/>
    <mergeCell ref="AD4:AE4"/>
    <mergeCell ref="AG4:AH4"/>
    <mergeCell ref="AI4:AJ4"/>
    <mergeCell ref="AK4:AL4"/>
    <mergeCell ref="AO6:AO14"/>
    <mergeCell ref="B10:B13"/>
    <mergeCell ref="B14:D14"/>
    <mergeCell ref="B15:D15"/>
    <mergeCell ref="A16:A20"/>
    <mergeCell ref="C16:C18"/>
    <mergeCell ref="AD16:AD19"/>
    <mergeCell ref="AE16:AE19"/>
    <mergeCell ref="AF16:AF19"/>
    <mergeCell ref="AG16:AG19"/>
    <mergeCell ref="AI6:AI14"/>
    <mergeCell ref="AJ6:AJ14"/>
    <mergeCell ref="AK6:AK14"/>
    <mergeCell ref="AL6:AL14"/>
    <mergeCell ref="AM6:AM14"/>
    <mergeCell ref="AN6:AN14"/>
    <mergeCell ref="AN16:AN19"/>
    <mergeCell ref="AO16:AO19"/>
    <mergeCell ref="B19:D19"/>
    <mergeCell ref="B20:D20"/>
    <mergeCell ref="A22:E22"/>
    <mergeCell ref="AH16:AH19"/>
    <mergeCell ref="AI16:AI19"/>
    <mergeCell ref="AJ16:AJ19"/>
    <mergeCell ref="AK16:AK19"/>
    <mergeCell ref="AL16:AL19"/>
    <mergeCell ref="AM16:AM19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22" max="5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P27" sqref="P27"/>
    </sheetView>
  </sheetViews>
  <sheetFormatPr defaultRowHeight="17.25" x14ac:dyDescent="0.25"/>
  <cols>
    <col min="1" max="1" width="7.7109375" style="1" customWidth="1"/>
    <col min="2" max="2" width="12.140625" style="1" bestFit="1" customWidth="1"/>
    <col min="3" max="3" width="15.85546875" style="1" customWidth="1"/>
    <col min="4" max="4" width="20.42578125" style="1" bestFit="1" customWidth="1"/>
    <col min="5" max="5" width="11.5703125" style="1" bestFit="1" customWidth="1"/>
    <col min="6" max="6" width="8.140625" style="1" bestFit="1" customWidth="1"/>
    <col min="7" max="7" width="6.42578125" style="1" bestFit="1" customWidth="1"/>
    <col min="8" max="8" width="6.140625" style="1" bestFit="1" customWidth="1"/>
    <col min="9" max="9" width="8.140625" style="1" bestFit="1" customWidth="1"/>
    <col min="10" max="10" width="6.42578125" style="1" bestFit="1" customWidth="1"/>
    <col min="11" max="11" width="4.85546875" style="1" bestFit="1" customWidth="1"/>
    <col min="12" max="12" width="8.140625" style="1" customWidth="1"/>
    <col min="13" max="13" width="6.42578125" style="1" bestFit="1" customWidth="1"/>
    <col min="14" max="14" width="7.42578125" style="1" customWidth="1"/>
    <col min="15" max="15" width="7.85546875" style="72" customWidth="1"/>
    <col min="16" max="16" width="6.42578125" style="1" bestFit="1" customWidth="1"/>
    <col min="17" max="17" width="5.42578125" style="1" bestFit="1" customWidth="1"/>
    <col min="18" max="18" width="7.85546875" style="1" customWidth="1"/>
    <col min="19" max="19" width="6.42578125" style="1" bestFit="1" customWidth="1"/>
    <col min="20" max="20" width="7.42578125" style="1" bestFit="1" customWidth="1"/>
    <col min="21" max="21" width="13.5703125" style="1" bestFit="1" customWidth="1"/>
    <col min="22" max="22" width="6.42578125" style="1" bestFit="1" customWidth="1"/>
    <col min="23" max="23" width="6.140625" style="1" bestFit="1" customWidth="1"/>
    <col min="24" max="24" width="7.85546875" style="1" bestFit="1" customWidth="1"/>
    <col min="25" max="25" width="6.42578125" style="1" bestFit="1" customWidth="1"/>
    <col min="26" max="26" width="7.42578125" style="1" bestFit="1" customWidth="1"/>
    <col min="27" max="27" width="8.140625" style="1" customWidth="1"/>
    <col min="28" max="28" width="6.42578125" style="1" bestFit="1" customWidth="1"/>
    <col min="29" max="29" width="5.42578125" style="1" bestFit="1" customWidth="1"/>
    <col min="30" max="30" width="8.140625" style="1" bestFit="1" customWidth="1"/>
    <col min="31" max="31" width="6.42578125" style="1" bestFit="1" customWidth="1"/>
    <col min="32" max="32" width="8.140625" style="1" bestFit="1" customWidth="1"/>
    <col min="33" max="33" width="7.85546875" style="1" bestFit="1" customWidth="1"/>
    <col min="34" max="34" width="6.42578125" style="1" customWidth="1"/>
    <col min="35" max="35" width="7.85546875" style="1" bestFit="1" customWidth="1"/>
    <col min="36" max="36" width="6.42578125" style="1" bestFit="1" customWidth="1"/>
    <col min="37" max="37" width="8.140625" style="1" customWidth="1"/>
    <col min="38" max="38" width="6.42578125" style="1" bestFit="1" customWidth="1"/>
    <col min="39" max="39" width="8.140625" style="1" bestFit="1" customWidth="1"/>
    <col min="40" max="40" width="6.42578125" style="1" bestFit="1" customWidth="1"/>
    <col min="41" max="41" width="11.7109375" style="1" bestFit="1" customWidth="1"/>
    <col min="42" max="42" width="3.5703125" style="1" bestFit="1" customWidth="1"/>
    <col min="43" max="43" width="11.7109375" style="1" hidden="1" customWidth="1"/>
    <col min="44" max="44" width="10.5703125" style="1" hidden="1" customWidth="1"/>
    <col min="45" max="45" width="10.7109375" style="1" hidden="1" customWidth="1"/>
    <col min="46" max="46" width="18" style="1" bestFit="1" customWidth="1"/>
    <col min="47" max="47" width="16.140625" style="1" bestFit="1" customWidth="1"/>
    <col min="48" max="49" width="11.7109375" style="1" bestFit="1" customWidth="1"/>
    <col min="50" max="50" width="9.140625" style="1"/>
    <col min="51" max="51" width="11.7109375" style="1" bestFit="1" customWidth="1"/>
    <col min="52" max="16384" width="9.140625" style="1"/>
  </cols>
  <sheetData>
    <row r="1" spans="1:41" ht="18" customHeight="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</row>
    <row r="2" spans="1:41" x14ac:dyDescent="0.25">
      <c r="A2" s="294" t="s">
        <v>1</v>
      </c>
      <c r="B2" s="294"/>
      <c r="C2" s="2">
        <v>45362</v>
      </c>
      <c r="D2" s="295"/>
      <c r="E2" s="295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296" t="s">
        <v>2</v>
      </c>
      <c r="AI2" s="296"/>
      <c r="AJ2" s="296"/>
      <c r="AK2" s="296" t="s">
        <v>51</v>
      </c>
      <c r="AL2" s="296"/>
      <c r="AM2" s="296"/>
      <c r="AN2" s="5"/>
      <c r="AO2" s="3"/>
    </row>
    <row r="3" spans="1:41" ht="18" thickBot="1" x14ac:dyDescent="0.3">
      <c r="A3" s="6"/>
      <c r="B3" s="3" t="s">
        <v>3</v>
      </c>
      <c r="C3" s="3" t="s">
        <v>4</v>
      </c>
      <c r="D3" s="3" t="s">
        <v>4</v>
      </c>
      <c r="E3" s="3"/>
      <c r="F3" s="3"/>
      <c r="G3" s="3" t="s">
        <v>5</v>
      </c>
      <c r="H3" s="3"/>
      <c r="I3" s="3"/>
      <c r="J3" s="3" t="s">
        <v>5</v>
      </c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5</v>
      </c>
      <c r="AL3" s="3"/>
      <c r="AM3" s="3"/>
      <c r="AN3" s="5"/>
      <c r="AO3" s="3"/>
    </row>
    <row r="4" spans="1:41" ht="18" customHeight="1" thickBot="1" x14ac:dyDescent="0.3">
      <c r="A4" s="288" t="s">
        <v>6</v>
      </c>
      <c r="B4" s="290" t="s">
        <v>7</v>
      </c>
      <c r="C4" s="290" t="s">
        <v>8</v>
      </c>
      <c r="D4" s="290" t="s">
        <v>9</v>
      </c>
      <c r="E4" s="291" t="s">
        <v>10</v>
      </c>
      <c r="F4" s="272" t="s">
        <v>11</v>
      </c>
      <c r="G4" s="273"/>
      <c r="H4" s="287"/>
      <c r="I4" s="272" t="s">
        <v>12</v>
      </c>
      <c r="J4" s="273"/>
      <c r="K4" s="287"/>
      <c r="L4" s="272" t="s">
        <v>13</v>
      </c>
      <c r="M4" s="273"/>
      <c r="N4" s="273"/>
      <c r="O4" s="272" t="s">
        <v>14</v>
      </c>
      <c r="P4" s="273"/>
      <c r="Q4" s="273"/>
      <c r="R4" s="272" t="s">
        <v>15</v>
      </c>
      <c r="S4" s="273"/>
      <c r="T4" s="273"/>
      <c r="U4" s="272" t="s">
        <v>16</v>
      </c>
      <c r="V4" s="273"/>
      <c r="W4" s="273"/>
      <c r="X4" s="272" t="s">
        <v>17</v>
      </c>
      <c r="Y4" s="273"/>
      <c r="Z4" s="273"/>
      <c r="AA4" s="272" t="s">
        <v>18</v>
      </c>
      <c r="AB4" s="273"/>
      <c r="AC4" s="273"/>
      <c r="AD4" s="272" t="s">
        <v>19</v>
      </c>
      <c r="AE4" s="285"/>
      <c r="AF4" s="113" t="s">
        <v>20</v>
      </c>
      <c r="AG4" s="286" t="s">
        <v>21</v>
      </c>
      <c r="AH4" s="285"/>
      <c r="AI4" s="286" t="s">
        <v>22</v>
      </c>
      <c r="AJ4" s="285"/>
      <c r="AK4" s="286" t="s">
        <v>23</v>
      </c>
      <c r="AL4" s="285"/>
      <c r="AM4" s="286" t="s">
        <v>24</v>
      </c>
      <c r="AN4" s="285"/>
      <c r="AO4" s="290" t="s">
        <v>25</v>
      </c>
    </row>
    <row r="5" spans="1:41" ht="45.75" thickBot="1" x14ac:dyDescent="0.3">
      <c r="A5" s="289"/>
      <c r="B5" s="266"/>
      <c r="C5" s="266"/>
      <c r="D5" s="266"/>
      <c r="E5" s="253"/>
      <c r="F5" s="111" t="s">
        <v>26</v>
      </c>
      <c r="G5" s="9" t="s">
        <v>27</v>
      </c>
      <c r="H5" s="10" t="s">
        <v>28</v>
      </c>
      <c r="I5" s="113" t="s">
        <v>26</v>
      </c>
      <c r="J5" s="9" t="s">
        <v>27</v>
      </c>
      <c r="K5" s="10" t="s">
        <v>28</v>
      </c>
      <c r="L5" s="10" t="s">
        <v>29</v>
      </c>
      <c r="M5" s="10" t="s">
        <v>30</v>
      </c>
      <c r="N5" s="10" t="s">
        <v>28</v>
      </c>
      <c r="O5" s="11" t="s">
        <v>29</v>
      </c>
      <c r="P5" s="112" t="s">
        <v>30</v>
      </c>
      <c r="Q5" s="13" t="s">
        <v>31</v>
      </c>
      <c r="R5" s="10" t="s">
        <v>29</v>
      </c>
      <c r="S5" s="10" t="s">
        <v>30</v>
      </c>
      <c r="T5" s="10" t="s">
        <v>28</v>
      </c>
      <c r="U5" s="10" t="s">
        <v>29</v>
      </c>
      <c r="V5" s="10" t="s">
        <v>30</v>
      </c>
      <c r="W5" s="14" t="s">
        <v>31</v>
      </c>
      <c r="X5" s="10" t="s">
        <v>29</v>
      </c>
      <c r="Y5" s="10" t="s">
        <v>30</v>
      </c>
      <c r="Z5" s="14" t="s">
        <v>31</v>
      </c>
      <c r="AA5" s="10" t="s">
        <v>29</v>
      </c>
      <c r="AB5" s="10" t="s">
        <v>30</v>
      </c>
      <c r="AC5" s="14" t="s">
        <v>31</v>
      </c>
      <c r="AD5" s="113" t="s">
        <v>26</v>
      </c>
      <c r="AE5" s="9" t="s">
        <v>27</v>
      </c>
      <c r="AF5" s="111" t="s">
        <v>26</v>
      </c>
      <c r="AG5" s="111" t="s">
        <v>26</v>
      </c>
      <c r="AH5" s="9" t="s">
        <v>27</v>
      </c>
      <c r="AI5" s="111" t="s">
        <v>26</v>
      </c>
      <c r="AJ5" s="15" t="s">
        <v>27</v>
      </c>
      <c r="AK5" s="111" t="s">
        <v>26</v>
      </c>
      <c r="AL5" s="9" t="s">
        <v>27</v>
      </c>
      <c r="AM5" s="113" t="s">
        <v>26</v>
      </c>
      <c r="AN5" s="9" t="s">
        <v>27</v>
      </c>
      <c r="AO5" s="266"/>
    </row>
    <row r="6" spans="1:41" ht="18.75" customHeight="1" x14ac:dyDescent="0.25">
      <c r="A6" s="283" t="s">
        <v>49</v>
      </c>
      <c r="B6" s="297" t="s">
        <v>36</v>
      </c>
      <c r="C6" s="280" t="s">
        <v>37</v>
      </c>
      <c r="D6" s="16" t="s">
        <v>38</v>
      </c>
      <c r="E6" s="115">
        <v>680</v>
      </c>
      <c r="F6" s="115"/>
      <c r="G6" s="115">
        <f>680</f>
        <v>680</v>
      </c>
      <c r="H6" s="115">
        <f t="shared" ref="H6:H13" si="0">G6-E6</f>
        <v>0</v>
      </c>
      <c r="I6" s="115"/>
      <c r="J6" s="115">
        <f>428+252</f>
        <v>680</v>
      </c>
      <c r="K6" s="115">
        <f t="shared" ref="K6:K13" si="1">J6-G6</f>
        <v>0</v>
      </c>
      <c r="L6" s="115">
        <f>245-219</f>
        <v>26</v>
      </c>
      <c r="M6" s="115">
        <f>62+144+4+9+26</f>
        <v>245</v>
      </c>
      <c r="N6" s="115">
        <f t="shared" ref="N6:N13" si="2">M6-J6</f>
        <v>-435</v>
      </c>
      <c r="O6" s="115">
        <v>26</v>
      </c>
      <c r="P6" s="119">
        <f>62+144+4+9+26</f>
        <v>245</v>
      </c>
      <c r="Q6" s="115">
        <f t="shared" ref="Q6:Q13" si="3">P6-M6</f>
        <v>0</v>
      </c>
      <c r="R6" s="18"/>
      <c r="S6" s="18"/>
      <c r="T6" s="18">
        <f t="shared" ref="T6:T13" si="4">S6-P6</f>
        <v>-245</v>
      </c>
      <c r="U6" s="18"/>
      <c r="V6" s="18"/>
      <c r="W6" s="18">
        <f t="shared" ref="W6:W13" si="5">V6-S6</f>
        <v>0</v>
      </c>
      <c r="X6" s="115"/>
      <c r="Y6" s="115"/>
      <c r="Z6" s="115">
        <f t="shared" ref="Z6:Z13" si="6">Y6-P6</f>
        <v>-245</v>
      </c>
      <c r="AA6" s="115"/>
      <c r="AB6" s="115"/>
      <c r="AC6" s="19">
        <f t="shared" ref="AC6:AC13" si="7">AB6-Y6</f>
        <v>0</v>
      </c>
      <c r="AD6" s="267">
        <f>L14</f>
        <v>175</v>
      </c>
      <c r="AE6" s="267">
        <f>62+144+4+20+190+196+47+175</f>
        <v>838</v>
      </c>
      <c r="AF6" s="282">
        <v>24.192</v>
      </c>
      <c r="AG6" s="267">
        <v>8</v>
      </c>
      <c r="AH6" s="277">
        <f>6+8+6+10+10+10+20+6+22+13+22+8</f>
        <v>141</v>
      </c>
      <c r="AI6" s="267">
        <v>11</v>
      </c>
      <c r="AJ6" s="277">
        <f>1+2+2+2+3+3+5+4+5+5+11+11</f>
        <v>54</v>
      </c>
      <c r="AK6" s="267">
        <v>1</v>
      </c>
      <c r="AL6" s="277">
        <f>1+1+1+1+1+1+1+1</f>
        <v>8</v>
      </c>
      <c r="AM6" s="270">
        <f>L14*AF6/480/AG6</f>
        <v>1.1025</v>
      </c>
      <c r="AN6" s="270">
        <f>M14*AF6/480/AH6</f>
        <v>0.2995404255319149</v>
      </c>
      <c r="AO6" s="271"/>
    </row>
    <row r="7" spans="1:41" x14ac:dyDescent="0.25">
      <c r="A7" s="283"/>
      <c r="B7" s="279"/>
      <c r="C7" s="281"/>
      <c r="D7" s="20" t="s">
        <v>39</v>
      </c>
      <c r="E7" s="20">
        <v>599</v>
      </c>
      <c r="F7" s="20"/>
      <c r="G7" s="20">
        <f>599</f>
        <v>599</v>
      </c>
      <c r="H7" s="20">
        <f t="shared" si="0"/>
        <v>0</v>
      </c>
      <c r="I7" s="20"/>
      <c r="J7" s="20">
        <f>425+174</f>
        <v>599</v>
      </c>
      <c r="K7" s="20">
        <f t="shared" si="1"/>
        <v>0</v>
      </c>
      <c r="L7" s="20">
        <f>207-159</f>
        <v>48</v>
      </c>
      <c r="M7" s="20">
        <f>20+117+9+13+48</f>
        <v>207</v>
      </c>
      <c r="N7" s="20">
        <f t="shared" si="2"/>
        <v>-392</v>
      </c>
      <c r="O7" s="20">
        <v>48</v>
      </c>
      <c r="P7" s="20">
        <f>20+117+9+13+48</f>
        <v>207</v>
      </c>
      <c r="Q7" s="20">
        <f t="shared" si="3"/>
        <v>0</v>
      </c>
      <c r="R7" s="20"/>
      <c r="S7" s="20"/>
      <c r="T7" s="20">
        <f t="shared" si="4"/>
        <v>-207</v>
      </c>
      <c r="U7" s="20"/>
      <c r="V7" s="20"/>
      <c r="W7" s="20">
        <f t="shared" si="5"/>
        <v>0</v>
      </c>
      <c r="X7" s="20"/>
      <c r="Y7" s="20"/>
      <c r="Z7" s="20">
        <f t="shared" si="6"/>
        <v>-207</v>
      </c>
      <c r="AA7" s="20"/>
      <c r="AB7" s="20"/>
      <c r="AC7" s="21">
        <f t="shared" si="7"/>
        <v>0</v>
      </c>
      <c r="AD7" s="263"/>
      <c r="AE7" s="263"/>
      <c r="AF7" s="268"/>
      <c r="AG7" s="263"/>
      <c r="AH7" s="261"/>
      <c r="AI7" s="263"/>
      <c r="AJ7" s="261"/>
      <c r="AK7" s="263"/>
      <c r="AL7" s="261"/>
      <c r="AM7" s="249"/>
      <c r="AN7" s="249"/>
      <c r="AO7" s="251"/>
    </row>
    <row r="8" spans="1:41" x14ac:dyDescent="0.25">
      <c r="A8" s="283"/>
      <c r="B8" s="279"/>
      <c r="C8" s="281"/>
      <c r="D8" s="20" t="s">
        <v>33</v>
      </c>
      <c r="E8" s="20">
        <v>677</v>
      </c>
      <c r="F8" s="20"/>
      <c r="G8" s="20">
        <f>677</f>
        <v>677</v>
      </c>
      <c r="H8" s="20">
        <f t="shared" si="0"/>
        <v>0</v>
      </c>
      <c r="I8" s="20"/>
      <c r="J8" s="20">
        <f>73+431+173</f>
        <v>677</v>
      </c>
      <c r="K8" s="20">
        <f t="shared" si="1"/>
        <v>0</v>
      </c>
      <c r="L8" s="20">
        <f>344-285</f>
        <v>59</v>
      </c>
      <c r="M8" s="20">
        <f>73+187+25+59</f>
        <v>344</v>
      </c>
      <c r="N8" s="20">
        <f t="shared" si="2"/>
        <v>-333</v>
      </c>
      <c r="O8" s="20">
        <v>59</v>
      </c>
      <c r="P8" s="20">
        <f>73+187+25+59</f>
        <v>344</v>
      </c>
      <c r="Q8" s="20">
        <f t="shared" si="3"/>
        <v>0</v>
      </c>
      <c r="R8" s="20"/>
      <c r="S8" s="20"/>
      <c r="T8" s="20">
        <f t="shared" si="4"/>
        <v>-344</v>
      </c>
      <c r="U8" s="20"/>
      <c r="V8" s="20"/>
      <c r="W8" s="20">
        <f t="shared" si="5"/>
        <v>0</v>
      </c>
      <c r="X8" s="20"/>
      <c r="Y8" s="20"/>
      <c r="Z8" s="20">
        <f t="shared" si="6"/>
        <v>-344</v>
      </c>
      <c r="AA8" s="20"/>
      <c r="AB8" s="20"/>
      <c r="AC8" s="21">
        <f t="shared" si="7"/>
        <v>0</v>
      </c>
      <c r="AD8" s="263"/>
      <c r="AE8" s="263"/>
      <c r="AF8" s="268"/>
      <c r="AG8" s="263"/>
      <c r="AH8" s="261"/>
      <c r="AI8" s="263"/>
      <c r="AJ8" s="261"/>
      <c r="AK8" s="263"/>
      <c r="AL8" s="261"/>
      <c r="AM8" s="249"/>
      <c r="AN8" s="249"/>
      <c r="AO8" s="251"/>
    </row>
    <row r="9" spans="1:41" x14ac:dyDescent="0.25">
      <c r="A9" s="283"/>
      <c r="B9" s="298"/>
      <c r="C9" s="281"/>
      <c r="D9" s="20" t="s">
        <v>35</v>
      </c>
      <c r="E9" s="20">
        <v>106</v>
      </c>
      <c r="F9" s="20"/>
      <c r="G9" s="20">
        <f>106</f>
        <v>106</v>
      </c>
      <c r="H9" s="20">
        <f t="shared" si="0"/>
        <v>0</v>
      </c>
      <c r="I9" s="20"/>
      <c r="J9" s="20">
        <f>106</f>
        <v>106</v>
      </c>
      <c r="K9" s="20">
        <f t="shared" si="1"/>
        <v>0</v>
      </c>
      <c r="L9" s="20">
        <v>42</v>
      </c>
      <c r="M9" s="20">
        <f>42</f>
        <v>42</v>
      </c>
      <c r="N9" s="20">
        <f t="shared" si="2"/>
        <v>-64</v>
      </c>
      <c r="O9" s="20">
        <v>42</v>
      </c>
      <c r="P9" s="20">
        <f>42</f>
        <v>42</v>
      </c>
      <c r="Q9" s="20">
        <f t="shared" si="3"/>
        <v>0</v>
      </c>
      <c r="R9" s="20"/>
      <c r="S9" s="20"/>
      <c r="T9" s="20">
        <f t="shared" si="4"/>
        <v>-42</v>
      </c>
      <c r="U9" s="20"/>
      <c r="V9" s="20"/>
      <c r="W9" s="20">
        <f t="shared" si="5"/>
        <v>0</v>
      </c>
      <c r="X9" s="20"/>
      <c r="Y9" s="20"/>
      <c r="Z9" s="20">
        <f t="shared" si="6"/>
        <v>-42</v>
      </c>
      <c r="AA9" s="20"/>
      <c r="AB9" s="20"/>
      <c r="AC9" s="21">
        <f t="shared" si="7"/>
        <v>0</v>
      </c>
      <c r="AD9" s="263"/>
      <c r="AE9" s="263"/>
      <c r="AF9" s="268"/>
      <c r="AG9" s="263"/>
      <c r="AH9" s="261"/>
      <c r="AI9" s="263"/>
      <c r="AJ9" s="261"/>
      <c r="AK9" s="263"/>
      <c r="AL9" s="261"/>
      <c r="AM9" s="249"/>
      <c r="AN9" s="249"/>
      <c r="AO9" s="251"/>
    </row>
    <row r="10" spans="1:41" x14ac:dyDescent="0.25">
      <c r="A10" s="283"/>
      <c r="B10" s="279" t="s">
        <v>55</v>
      </c>
      <c r="C10" s="281"/>
      <c r="D10" s="20" t="s">
        <v>53</v>
      </c>
      <c r="E10" s="20">
        <v>225</v>
      </c>
      <c r="F10" s="20"/>
      <c r="G10" s="20">
        <f>223</f>
        <v>223</v>
      </c>
      <c r="H10" s="20">
        <f t="shared" si="0"/>
        <v>-2</v>
      </c>
      <c r="I10" s="20"/>
      <c r="J10" s="20">
        <f>223</f>
        <v>223</v>
      </c>
      <c r="K10" s="20">
        <f t="shared" si="1"/>
        <v>0</v>
      </c>
      <c r="L10" s="20"/>
      <c r="M10" s="20"/>
      <c r="N10" s="20">
        <f t="shared" si="2"/>
        <v>-223</v>
      </c>
      <c r="O10" s="20"/>
      <c r="P10" s="20"/>
      <c r="Q10" s="20">
        <f t="shared" si="3"/>
        <v>0</v>
      </c>
      <c r="R10" s="20"/>
      <c r="S10" s="20"/>
      <c r="T10" s="20">
        <f t="shared" si="4"/>
        <v>0</v>
      </c>
      <c r="U10" s="20"/>
      <c r="V10" s="20"/>
      <c r="W10" s="20">
        <f t="shared" si="5"/>
        <v>0</v>
      </c>
      <c r="X10" s="20"/>
      <c r="Y10" s="20"/>
      <c r="Z10" s="20">
        <f t="shared" si="6"/>
        <v>0</v>
      </c>
      <c r="AA10" s="20"/>
      <c r="AB10" s="20"/>
      <c r="AC10" s="21">
        <f t="shared" si="7"/>
        <v>0</v>
      </c>
      <c r="AD10" s="263"/>
      <c r="AE10" s="263"/>
      <c r="AF10" s="268"/>
      <c r="AG10" s="263"/>
      <c r="AH10" s="261"/>
      <c r="AI10" s="263"/>
      <c r="AJ10" s="261"/>
      <c r="AK10" s="263"/>
      <c r="AL10" s="261"/>
      <c r="AM10" s="249"/>
      <c r="AN10" s="249"/>
      <c r="AO10" s="251"/>
    </row>
    <row r="11" spans="1:41" x14ac:dyDescent="0.25">
      <c r="A11" s="283"/>
      <c r="B11" s="279"/>
      <c r="C11" s="281"/>
      <c r="D11" s="20" t="s">
        <v>33</v>
      </c>
      <c r="E11" s="20">
        <v>325</v>
      </c>
      <c r="F11" s="20"/>
      <c r="G11" s="20">
        <f>227</f>
        <v>227</v>
      </c>
      <c r="H11" s="20">
        <f t="shared" si="0"/>
        <v>-98</v>
      </c>
      <c r="I11" s="20"/>
      <c r="J11" s="20">
        <f>227</f>
        <v>227</v>
      </c>
      <c r="K11" s="20">
        <f t="shared" si="1"/>
        <v>0</v>
      </c>
      <c r="L11" s="20"/>
      <c r="M11" s="20"/>
      <c r="N11" s="20">
        <f t="shared" si="2"/>
        <v>-227</v>
      </c>
      <c r="O11" s="20"/>
      <c r="P11" s="20"/>
      <c r="Q11" s="20">
        <f t="shared" si="3"/>
        <v>0</v>
      </c>
      <c r="R11" s="20"/>
      <c r="S11" s="20"/>
      <c r="T11" s="20">
        <f t="shared" si="4"/>
        <v>0</v>
      </c>
      <c r="U11" s="20"/>
      <c r="V11" s="20"/>
      <c r="W11" s="20">
        <f t="shared" si="5"/>
        <v>0</v>
      </c>
      <c r="X11" s="20"/>
      <c r="Y11" s="20"/>
      <c r="Z11" s="20">
        <f t="shared" si="6"/>
        <v>0</v>
      </c>
      <c r="AA11" s="20"/>
      <c r="AB11" s="20"/>
      <c r="AC11" s="21">
        <f t="shared" si="7"/>
        <v>0</v>
      </c>
      <c r="AD11" s="263"/>
      <c r="AE11" s="263"/>
      <c r="AF11" s="268"/>
      <c r="AG11" s="263"/>
      <c r="AH11" s="261"/>
      <c r="AI11" s="263"/>
      <c r="AJ11" s="261"/>
      <c r="AK11" s="263"/>
      <c r="AL11" s="261"/>
      <c r="AM11" s="249"/>
      <c r="AN11" s="249"/>
      <c r="AO11" s="251"/>
    </row>
    <row r="12" spans="1:41" x14ac:dyDescent="0.25">
      <c r="A12" s="283"/>
      <c r="B12" s="279"/>
      <c r="C12" s="281"/>
      <c r="D12" s="20" t="s">
        <v>38</v>
      </c>
      <c r="E12" s="20">
        <v>275</v>
      </c>
      <c r="F12" s="20"/>
      <c r="G12" s="20">
        <f>242</f>
        <v>242</v>
      </c>
      <c r="H12" s="20">
        <f t="shared" si="0"/>
        <v>-33</v>
      </c>
      <c r="I12" s="20"/>
      <c r="J12" s="20">
        <f>242</f>
        <v>242</v>
      </c>
      <c r="K12" s="20">
        <f t="shared" si="1"/>
        <v>0</v>
      </c>
      <c r="L12" s="20"/>
      <c r="M12" s="20"/>
      <c r="N12" s="20">
        <f t="shared" si="2"/>
        <v>-242</v>
      </c>
      <c r="O12" s="20"/>
      <c r="P12" s="20"/>
      <c r="Q12" s="20">
        <f t="shared" si="3"/>
        <v>0</v>
      </c>
      <c r="R12" s="20"/>
      <c r="S12" s="20"/>
      <c r="T12" s="20">
        <f t="shared" si="4"/>
        <v>0</v>
      </c>
      <c r="U12" s="20"/>
      <c r="V12" s="20"/>
      <c r="W12" s="20">
        <f t="shared" si="5"/>
        <v>0</v>
      </c>
      <c r="X12" s="20"/>
      <c r="Y12" s="20"/>
      <c r="Z12" s="20">
        <f t="shared" si="6"/>
        <v>0</v>
      </c>
      <c r="AA12" s="20"/>
      <c r="AB12" s="20"/>
      <c r="AC12" s="21">
        <f t="shared" si="7"/>
        <v>0</v>
      </c>
      <c r="AD12" s="263"/>
      <c r="AE12" s="263"/>
      <c r="AF12" s="268"/>
      <c r="AG12" s="263"/>
      <c r="AH12" s="261"/>
      <c r="AI12" s="263"/>
      <c r="AJ12" s="261"/>
      <c r="AK12" s="263"/>
      <c r="AL12" s="261"/>
      <c r="AM12" s="249"/>
      <c r="AN12" s="249"/>
      <c r="AO12" s="251"/>
    </row>
    <row r="13" spans="1:41" ht="18" thickBot="1" x14ac:dyDescent="0.3">
      <c r="A13" s="283"/>
      <c r="B13" s="299"/>
      <c r="C13" s="281"/>
      <c r="D13" s="20" t="s">
        <v>39</v>
      </c>
      <c r="E13" s="20">
        <v>275</v>
      </c>
      <c r="F13" s="20"/>
      <c r="G13" s="20">
        <f>171</f>
        <v>171</v>
      </c>
      <c r="H13" s="20">
        <f t="shared" si="0"/>
        <v>-104</v>
      </c>
      <c r="I13" s="20"/>
      <c r="J13" s="20">
        <f>171</f>
        <v>171</v>
      </c>
      <c r="K13" s="20">
        <f t="shared" si="1"/>
        <v>0</v>
      </c>
      <c r="L13" s="20"/>
      <c r="M13" s="20"/>
      <c r="N13" s="20">
        <f t="shared" si="2"/>
        <v>-171</v>
      </c>
      <c r="O13" s="20"/>
      <c r="P13" s="20"/>
      <c r="Q13" s="20">
        <f t="shared" si="3"/>
        <v>0</v>
      </c>
      <c r="R13" s="25"/>
      <c r="S13" s="25"/>
      <c r="T13" s="25">
        <f t="shared" si="4"/>
        <v>0</v>
      </c>
      <c r="U13" s="25"/>
      <c r="V13" s="25"/>
      <c r="W13" s="25">
        <f t="shared" si="5"/>
        <v>0</v>
      </c>
      <c r="X13" s="20"/>
      <c r="Y13" s="20"/>
      <c r="Z13" s="20">
        <f t="shared" si="6"/>
        <v>0</v>
      </c>
      <c r="AA13" s="20"/>
      <c r="AB13" s="20"/>
      <c r="AC13" s="21">
        <f t="shared" si="7"/>
        <v>0</v>
      </c>
      <c r="AD13" s="263"/>
      <c r="AE13" s="263"/>
      <c r="AF13" s="268"/>
      <c r="AG13" s="263"/>
      <c r="AH13" s="261"/>
      <c r="AI13" s="263"/>
      <c r="AJ13" s="261"/>
      <c r="AK13" s="263"/>
      <c r="AL13" s="261"/>
      <c r="AM13" s="249"/>
      <c r="AN13" s="249"/>
      <c r="AO13" s="251"/>
    </row>
    <row r="14" spans="1:41" ht="18" thickBot="1" x14ac:dyDescent="0.3">
      <c r="A14" s="283"/>
      <c r="B14" s="272" t="s">
        <v>34</v>
      </c>
      <c r="C14" s="273"/>
      <c r="D14" s="274"/>
      <c r="E14" s="23">
        <f>+SUM(E6:E13)</f>
        <v>3162</v>
      </c>
      <c r="F14" s="23">
        <f>+SUM(F6:F13)</f>
        <v>0</v>
      </c>
      <c r="G14" s="23">
        <f>SUM(G6:G13)</f>
        <v>2925</v>
      </c>
      <c r="H14" s="23">
        <f t="shared" ref="H14:AC14" si="8">+SUM(H6:H13)</f>
        <v>-237</v>
      </c>
      <c r="I14" s="23">
        <f t="shared" si="8"/>
        <v>0</v>
      </c>
      <c r="J14" s="23">
        <f t="shared" si="8"/>
        <v>2925</v>
      </c>
      <c r="K14" s="23">
        <f t="shared" si="8"/>
        <v>0</v>
      </c>
      <c r="L14" s="23">
        <f t="shared" si="8"/>
        <v>175</v>
      </c>
      <c r="M14" s="23">
        <f t="shared" si="8"/>
        <v>838</v>
      </c>
      <c r="N14" s="23">
        <f t="shared" si="8"/>
        <v>-2087</v>
      </c>
      <c r="O14" s="23">
        <f t="shared" si="8"/>
        <v>175</v>
      </c>
      <c r="P14" s="23">
        <f t="shared" si="8"/>
        <v>838</v>
      </c>
      <c r="Q14" s="23">
        <f t="shared" si="8"/>
        <v>0</v>
      </c>
      <c r="R14" s="24">
        <f t="shared" si="8"/>
        <v>0</v>
      </c>
      <c r="S14" s="24">
        <f t="shared" si="8"/>
        <v>0</v>
      </c>
      <c r="T14" s="24">
        <f t="shared" si="8"/>
        <v>-838</v>
      </c>
      <c r="U14" s="24">
        <f t="shared" si="8"/>
        <v>0</v>
      </c>
      <c r="V14" s="24">
        <f t="shared" si="8"/>
        <v>0</v>
      </c>
      <c r="W14" s="24">
        <f t="shared" si="8"/>
        <v>0</v>
      </c>
      <c r="X14" s="23">
        <f t="shared" si="8"/>
        <v>0</v>
      </c>
      <c r="Y14" s="23">
        <f t="shared" si="8"/>
        <v>0</v>
      </c>
      <c r="Z14" s="23">
        <f t="shared" si="8"/>
        <v>-838</v>
      </c>
      <c r="AA14" s="23">
        <f t="shared" si="8"/>
        <v>0</v>
      </c>
      <c r="AB14" s="23">
        <f t="shared" si="8"/>
        <v>0</v>
      </c>
      <c r="AC14" s="15">
        <f t="shared" si="8"/>
        <v>0</v>
      </c>
      <c r="AD14" s="264"/>
      <c r="AE14" s="264"/>
      <c r="AF14" s="269"/>
      <c r="AG14" s="264"/>
      <c r="AH14" s="262"/>
      <c r="AI14" s="264"/>
      <c r="AJ14" s="262"/>
      <c r="AK14" s="264"/>
      <c r="AL14" s="262"/>
      <c r="AM14" s="250"/>
      <c r="AN14" s="250"/>
      <c r="AO14" s="252"/>
    </row>
    <row r="15" spans="1:41" ht="18" thickBot="1" x14ac:dyDescent="0.3">
      <c r="A15" s="284"/>
      <c r="B15" s="275" t="s">
        <v>40</v>
      </c>
      <c r="C15" s="275"/>
      <c r="D15" s="276"/>
      <c r="E15" s="26">
        <f>E14</f>
        <v>3162</v>
      </c>
      <c r="F15" s="26">
        <f t="shared" ref="F15:AC15" si="9">F14</f>
        <v>0</v>
      </c>
      <c r="G15" s="26">
        <f t="shared" si="9"/>
        <v>2925</v>
      </c>
      <c r="H15" s="26">
        <f t="shared" si="9"/>
        <v>-237</v>
      </c>
      <c r="I15" s="26">
        <f t="shared" si="9"/>
        <v>0</v>
      </c>
      <c r="J15" s="26">
        <f t="shared" si="9"/>
        <v>2925</v>
      </c>
      <c r="K15" s="26">
        <f t="shared" si="9"/>
        <v>0</v>
      </c>
      <c r="L15" s="26">
        <f t="shared" si="9"/>
        <v>175</v>
      </c>
      <c r="M15" s="26">
        <f t="shared" si="9"/>
        <v>838</v>
      </c>
      <c r="N15" s="26">
        <f t="shared" si="9"/>
        <v>-2087</v>
      </c>
      <c r="O15" s="26">
        <f t="shared" si="9"/>
        <v>175</v>
      </c>
      <c r="P15" s="26">
        <f t="shared" si="9"/>
        <v>838</v>
      </c>
      <c r="Q15" s="26">
        <f t="shared" si="9"/>
        <v>0</v>
      </c>
      <c r="R15" s="26">
        <f t="shared" si="9"/>
        <v>0</v>
      </c>
      <c r="S15" s="26">
        <f t="shared" si="9"/>
        <v>0</v>
      </c>
      <c r="T15" s="26">
        <f t="shared" si="9"/>
        <v>-838</v>
      </c>
      <c r="U15" s="26">
        <f t="shared" si="9"/>
        <v>0</v>
      </c>
      <c r="V15" s="26">
        <f t="shared" si="9"/>
        <v>0</v>
      </c>
      <c r="W15" s="26">
        <f t="shared" si="9"/>
        <v>0</v>
      </c>
      <c r="X15" s="26">
        <f t="shared" si="9"/>
        <v>0</v>
      </c>
      <c r="Y15" s="26">
        <f t="shared" si="9"/>
        <v>0</v>
      </c>
      <c r="Z15" s="26">
        <f t="shared" si="9"/>
        <v>-838</v>
      </c>
      <c r="AA15" s="26">
        <f t="shared" si="9"/>
        <v>0</v>
      </c>
      <c r="AB15" s="26">
        <f t="shared" si="9"/>
        <v>0</v>
      </c>
      <c r="AC15" s="26">
        <f t="shared" si="9"/>
        <v>0</v>
      </c>
      <c r="AD15" s="27">
        <f t="shared" ref="AD15:AL15" si="10">SUM(AD6:AD14)</f>
        <v>175</v>
      </c>
      <c r="AE15" s="27">
        <f t="shared" si="10"/>
        <v>838</v>
      </c>
      <c r="AF15" s="28">
        <f t="shared" si="10"/>
        <v>24.192</v>
      </c>
      <c r="AG15" s="27">
        <f t="shared" si="10"/>
        <v>8</v>
      </c>
      <c r="AH15" s="27">
        <f t="shared" si="10"/>
        <v>141</v>
      </c>
      <c r="AI15" s="27">
        <f t="shared" si="10"/>
        <v>11</v>
      </c>
      <c r="AJ15" s="27">
        <f t="shared" si="10"/>
        <v>54</v>
      </c>
      <c r="AK15" s="27">
        <f t="shared" si="10"/>
        <v>1</v>
      </c>
      <c r="AL15" s="27">
        <f t="shared" si="10"/>
        <v>8</v>
      </c>
      <c r="AM15" s="29">
        <f>L15*AF15/480/AG15</f>
        <v>1.1025</v>
      </c>
      <c r="AN15" s="30">
        <f>M15*AF15/480/AH15</f>
        <v>0.2995404255319149</v>
      </c>
      <c r="AO15" s="31"/>
    </row>
    <row r="16" spans="1:41" ht="18.75" customHeight="1" x14ac:dyDescent="0.25">
      <c r="A16" s="265" t="s">
        <v>32</v>
      </c>
      <c r="B16" s="114" t="s">
        <v>41</v>
      </c>
      <c r="C16" s="300" t="s">
        <v>37</v>
      </c>
      <c r="D16" s="34" t="s">
        <v>42</v>
      </c>
      <c r="E16" s="115">
        <v>1645</v>
      </c>
      <c r="F16" s="115"/>
      <c r="G16" s="115">
        <f>1433</f>
        <v>1433</v>
      </c>
      <c r="H16" s="115">
        <f t="shared" ref="H16:H18" si="11">G16-E16</f>
        <v>-212</v>
      </c>
      <c r="I16" s="115"/>
      <c r="J16" s="115">
        <f>100+200+300+350+400+83</f>
        <v>1433</v>
      </c>
      <c r="K16" s="115">
        <f t="shared" ref="K16:K18" si="12">J16-G16</f>
        <v>0</v>
      </c>
      <c r="L16" s="115">
        <f>1051-931</f>
        <v>120</v>
      </c>
      <c r="M16" s="115">
        <f>102+201+302+351-99-125-110+133+127+49+120</f>
        <v>1051</v>
      </c>
      <c r="N16" s="115">
        <f t="shared" ref="N16:N18" si="13">M16-J16</f>
        <v>-382</v>
      </c>
      <c r="O16" s="115">
        <v>120</v>
      </c>
      <c r="P16" s="115">
        <f>108+163+112+27+116+96+133+127+49+120</f>
        <v>1051</v>
      </c>
      <c r="Q16" s="115">
        <f t="shared" ref="Q16:Q18" si="14">P16-M16</f>
        <v>0</v>
      </c>
      <c r="R16" s="115"/>
      <c r="S16" s="115">
        <f>20+130+200</f>
        <v>350</v>
      </c>
      <c r="T16" s="35">
        <f t="shared" ref="T16:T18" si="15">S16-P16</f>
        <v>-701</v>
      </c>
      <c r="U16" s="115"/>
      <c r="V16" s="115">
        <f>20+330</f>
        <v>350</v>
      </c>
      <c r="W16" s="35">
        <f t="shared" ref="W16:W18" si="16">V16-S16</f>
        <v>0</v>
      </c>
      <c r="X16" s="115"/>
      <c r="Y16" s="115"/>
      <c r="Z16" s="115">
        <f t="shared" ref="Z16:Z18" si="17">Y16-P16</f>
        <v>-1051</v>
      </c>
      <c r="AA16" s="115"/>
      <c r="AB16" s="115"/>
      <c r="AC16" s="33">
        <f t="shared" ref="AC16:AC18" si="18">AB16-Y16</f>
        <v>0</v>
      </c>
      <c r="AD16" s="267">
        <f>L19</f>
        <v>412</v>
      </c>
      <c r="AE16" s="263">
        <f>300+98+344+213+289+412</f>
        <v>1656</v>
      </c>
      <c r="AF16" s="268">
        <v>33.130000000000003</v>
      </c>
      <c r="AG16" s="263">
        <v>10</v>
      </c>
      <c r="AH16" s="261">
        <f>2+10+8+8+8+6+6+6+9+5+6+8+7+7+6+6+6+6+6+6+7+7+7+7+6+7+17+16+16+22+21+21+10+20+20+13+10</f>
        <v>359</v>
      </c>
      <c r="AI16" s="263"/>
      <c r="AJ16" s="261">
        <f>1+1+1+1+1+1+1+2+2+2+2+2+2+2+2+2+2+1+1+1+1+1+1+1+1+4+3+4+5+8+8+6+7+6+6</f>
        <v>92</v>
      </c>
      <c r="AK16" s="263"/>
      <c r="AL16" s="261">
        <f>1+1+1+1+1+1+1+1+1+1+1+1+1+1+1+1+2+2+2+2+2+1+1</f>
        <v>28</v>
      </c>
      <c r="AM16" s="249">
        <f>L19*AF16/480/AG16</f>
        <v>2.8436583333333334</v>
      </c>
      <c r="AN16" s="249">
        <f>M19*AF16/480/AH16</f>
        <v>0.502179433611885</v>
      </c>
      <c r="AO16" s="251"/>
    </row>
    <row r="17" spans="1:41" ht="18.75" customHeight="1" x14ac:dyDescent="0.25">
      <c r="A17" s="265"/>
      <c r="B17" s="36" t="s">
        <v>43</v>
      </c>
      <c r="C17" s="301"/>
      <c r="D17" s="38" t="s">
        <v>44</v>
      </c>
      <c r="E17" s="20">
        <v>1245</v>
      </c>
      <c r="F17" s="20"/>
      <c r="G17" s="20">
        <f>1238</f>
        <v>1238</v>
      </c>
      <c r="H17" s="20">
        <f t="shared" si="11"/>
        <v>-7</v>
      </c>
      <c r="I17" s="20"/>
      <c r="J17" s="20">
        <f>650+588</f>
        <v>1238</v>
      </c>
      <c r="K17" s="20">
        <f t="shared" si="12"/>
        <v>0</v>
      </c>
      <c r="L17" s="20">
        <f>12</f>
        <v>12</v>
      </c>
      <c r="M17" s="20">
        <f>300+99+125+110+98+101+59+41+12</f>
        <v>945</v>
      </c>
      <c r="N17" s="20">
        <f t="shared" si="13"/>
        <v>-293</v>
      </c>
      <c r="O17" s="20">
        <v>12</v>
      </c>
      <c r="P17" s="20">
        <f>36+128+235+125+208+101+59+41+12</f>
        <v>945</v>
      </c>
      <c r="Q17" s="20">
        <f t="shared" si="14"/>
        <v>0</v>
      </c>
      <c r="R17" s="20"/>
      <c r="S17" s="20">
        <f>20+300</f>
        <v>320</v>
      </c>
      <c r="T17" s="39">
        <f t="shared" si="15"/>
        <v>-625</v>
      </c>
      <c r="U17" s="20"/>
      <c r="V17" s="20">
        <f>20</f>
        <v>20</v>
      </c>
      <c r="W17" s="39">
        <f t="shared" si="16"/>
        <v>-300</v>
      </c>
      <c r="X17" s="20"/>
      <c r="Y17" s="20"/>
      <c r="Z17" s="20">
        <f t="shared" si="17"/>
        <v>-945</v>
      </c>
      <c r="AA17" s="20"/>
      <c r="AB17" s="20"/>
      <c r="AC17" s="37">
        <f t="shared" si="18"/>
        <v>0</v>
      </c>
      <c r="AD17" s="263"/>
      <c r="AE17" s="263"/>
      <c r="AF17" s="268"/>
      <c r="AG17" s="263"/>
      <c r="AH17" s="261"/>
      <c r="AI17" s="263"/>
      <c r="AJ17" s="261"/>
      <c r="AK17" s="263"/>
      <c r="AL17" s="261"/>
      <c r="AM17" s="249"/>
      <c r="AN17" s="249"/>
      <c r="AO17" s="251"/>
    </row>
    <row r="18" spans="1:41" ht="18.75" customHeight="1" thickBot="1" x14ac:dyDescent="0.3">
      <c r="A18" s="265"/>
      <c r="B18" s="118" t="s">
        <v>45</v>
      </c>
      <c r="C18" s="302"/>
      <c r="D18" s="42" t="s">
        <v>46</v>
      </c>
      <c r="E18" s="25">
        <v>1300</v>
      </c>
      <c r="F18" s="25"/>
      <c r="G18" s="25">
        <f>1183</f>
        <v>1183</v>
      </c>
      <c r="H18" s="25">
        <f t="shared" si="11"/>
        <v>-117</v>
      </c>
      <c r="I18" s="25"/>
      <c r="J18" s="25">
        <f>520+663</f>
        <v>1183</v>
      </c>
      <c r="K18" s="25">
        <f t="shared" si="12"/>
        <v>0</v>
      </c>
      <c r="L18" s="25">
        <f>616-336</f>
        <v>280</v>
      </c>
      <c r="M18" s="25">
        <f>110+27+199+280</f>
        <v>616</v>
      </c>
      <c r="N18" s="25">
        <f t="shared" si="13"/>
        <v>-567</v>
      </c>
      <c r="O18" s="25">
        <v>280</v>
      </c>
      <c r="P18" s="25">
        <f>110+27+199+280</f>
        <v>616</v>
      </c>
      <c r="Q18" s="25">
        <f t="shared" si="14"/>
        <v>0</v>
      </c>
      <c r="R18" s="25"/>
      <c r="S18" s="25"/>
      <c r="T18" s="43">
        <f t="shared" si="15"/>
        <v>-616</v>
      </c>
      <c r="U18" s="25"/>
      <c r="V18" s="25"/>
      <c r="W18" s="43">
        <f t="shared" si="16"/>
        <v>0</v>
      </c>
      <c r="X18" s="25"/>
      <c r="Y18" s="25"/>
      <c r="Z18" s="25">
        <f t="shared" si="17"/>
        <v>-616</v>
      </c>
      <c r="AA18" s="25"/>
      <c r="AB18" s="25"/>
      <c r="AC18" s="44">
        <f t="shared" si="18"/>
        <v>0</v>
      </c>
      <c r="AD18" s="263"/>
      <c r="AE18" s="263"/>
      <c r="AF18" s="268"/>
      <c r="AG18" s="263"/>
      <c r="AH18" s="261"/>
      <c r="AI18" s="263"/>
      <c r="AJ18" s="261"/>
      <c r="AK18" s="263"/>
      <c r="AL18" s="261"/>
      <c r="AM18" s="249"/>
      <c r="AN18" s="249"/>
      <c r="AO18" s="251"/>
    </row>
    <row r="19" spans="1:41" ht="18" thickBot="1" x14ac:dyDescent="0.3">
      <c r="A19" s="265"/>
      <c r="B19" s="253" t="s">
        <v>34</v>
      </c>
      <c r="C19" s="254"/>
      <c r="D19" s="255"/>
      <c r="E19" s="24">
        <f>+SUM(E16:E18)</f>
        <v>4190</v>
      </c>
      <c r="F19" s="24">
        <f t="shared" ref="F19:AC19" si="19">+SUM(F16:F18)</f>
        <v>0</v>
      </c>
      <c r="G19" s="24">
        <f t="shared" si="19"/>
        <v>3854</v>
      </c>
      <c r="H19" s="24">
        <f t="shared" si="19"/>
        <v>-336</v>
      </c>
      <c r="I19" s="24">
        <f t="shared" si="19"/>
        <v>0</v>
      </c>
      <c r="J19" s="24">
        <f t="shared" si="19"/>
        <v>3854</v>
      </c>
      <c r="K19" s="24">
        <f t="shared" si="19"/>
        <v>0</v>
      </c>
      <c r="L19" s="24">
        <f t="shared" si="19"/>
        <v>412</v>
      </c>
      <c r="M19" s="24">
        <f t="shared" si="19"/>
        <v>2612</v>
      </c>
      <c r="N19" s="24">
        <f t="shared" si="19"/>
        <v>-1242</v>
      </c>
      <c r="O19" s="24">
        <f t="shared" si="19"/>
        <v>412</v>
      </c>
      <c r="P19" s="24">
        <f t="shared" si="19"/>
        <v>2612</v>
      </c>
      <c r="Q19" s="24">
        <f t="shared" si="19"/>
        <v>0</v>
      </c>
      <c r="R19" s="24">
        <f t="shared" si="19"/>
        <v>0</v>
      </c>
      <c r="S19" s="24">
        <f t="shared" si="19"/>
        <v>670</v>
      </c>
      <c r="T19" s="24">
        <f t="shared" si="19"/>
        <v>-1942</v>
      </c>
      <c r="U19" s="24">
        <f t="shared" si="19"/>
        <v>0</v>
      </c>
      <c r="V19" s="24">
        <f t="shared" si="19"/>
        <v>370</v>
      </c>
      <c r="W19" s="24">
        <f t="shared" si="19"/>
        <v>-300</v>
      </c>
      <c r="X19" s="24">
        <f t="shared" si="19"/>
        <v>0</v>
      </c>
      <c r="Y19" s="24">
        <f t="shared" si="19"/>
        <v>0</v>
      </c>
      <c r="Z19" s="24">
        <f t="shared" si="19"/>
        <v>-2612</v>
      </c>
      <c r="AA19" s="24">
        <f t="shared" si="19"/>
        <v>0</v>
      </c>
      <c r="AB19" s="24">
        <f t="shared" si="19"/>
        <v>0</v>
      </c>
      <c r="AC19" s="24">
        <f t="shared" si="19"/>
        <v>0</v>
      </c>
      <c r="AD19" s="264"/>
      <c r="AE19" s="264"/>
      <c r="AF19" s="269"/>
      <c r="AG19" s="264"/>
      <c r="AH19" s="262"/>
      <c r="AI19" s="264"/>
      <c r="AJ19" s="262"/>
      <c r="AK19" s="264"/>
      <c r="AL19" s="262"/>
      <c r="AM19" s="250"/>
      <c r="AN19" s="250"/>
      <c r="AO19" s="252"/>
    </row>
    <row r="20" spans="1:41" ht="18" customHeight="1" thickBot="1" x14ac:dyDescent="0.3">
      <c r="A20" s="266"/>
      <c r="B20" s="256" t="s">
        <v>40</v>
      </c>
      <c r="C20" s="256"/>
      <c r="D20" s="257"/>
      <c r="E20" s="26">
        <f>E19</f>
        <v>4190</v>
      </c>
      <c r="F20" s="26">
        <f t="shared" ref="F20:AC20" si="20">F19</f>
        <v>0</v>
      </c>
      <c r="G20" s="26">
        <f t="shared" si="20"/>
        <v>3854</v>
      </c>
      <c r="H20" s="26">
        <f t="shared" si="20"/>
        <v>-336</v>
      </c>
      <c r="I20" s="26">
        <f t="shared" si="20"/>
        <v>0</v>
      </c>
      <c r="J20" s="26">
        <f t="shared" si="20"/>
        <v>3854</v>
      </c>
      <c r="K20" s="26">
        <f t="shared" si="20"/>
        <v>0</v>
      </c>
      <c r="L20" s="26">
        <f t="shared" si="20"/>
        <v>412</v>
      </c>
      <c r="M20" s="26">
        <f t="shared" si="20"/>
        <v>2612</v>
      </c>
      <c r="N20" s="26">
        <f t="shared" si="20"/>
        <v>-1242</v>
      </c>
      <c r="O20" s="26">
        <f t="shared" si="20"/>
        <v>412</v>
      </c>
      <c r="P20" s="26">
        <f t="shared" si="20"/>
        <v>2612</v>
      </c>
      <c r="Q20" s="26">
        <f t="shared" si="20"/>
        <v>0</v>
      </c>
      <c r="R20" s="26">
        <f t="shared" si="20"/>
        <v>0</v>
      </c>
      <c r="S20" s="26">
        <f t="shared" si="20"/>
        <v>670</v>
      </c>
      <c r="T20" s="26">
        <f t="shared" si="20"/>
        <v>-1942</v>
      </c>
      <c r="U20" s="26">
        <f t="shared" si="20"/>
        <v>0</v>
      </c>
      <c r="V20" s="26">
        <f t="shared" si="20"/>
        <v>370</v>
      </c>
      <c r="W20" s="26">
        <f t="shared" si="20"/>
        <v>-300</v>
      </c>
      <c r="X20" s="26">
        <f t="shared" si="20"/>
        <v>0</v>
      </c>
      <c r="Y20" s="26">
        <f t="shared" si="20"/>
        <v>0</v>
      </c>
      <c r="Z20" s="26">
        <f t="shared" si="20"/>
        <v>-2612</v>
      </c>
      <c r="AA20" s="26">
        <f t="shared" si="20"/>
        <v>0</v>
      </c>
      <c r="AB20" s="26">
        <f t="shared" si="20"/>
        <v>0</v>
      </c>
      <c r="AC20" s="26">
        <f t="shared" si="20"/>
        <v>0</v>
      </c>
      <c r="AD20" s="45">
        <f t="shared" ref="AD20:AL20" si="21">SUM(AD16:AD19)</f>
        <v>412</v>
      </c>
      <c r="AE20" s="45">
        <f t="shared" si="21"/>
        <v>1656</v>
      </c>
      <c r="AF20" s="46">
        <f t="shared" si="21"/>
        <v>33.130000000000003</v>
      </c>
      <c r="AG20" s="45">
        <f t="shared" si="21"/>
        <v>10</v>
      </c>
      <c r="AH20" s="45">
        <f t="shared" si="21"/>
        <v>359</v>
      </c>
      <c r="AI20" s="45">
        <f t="shared" si="21"/>
        <v>0</v>
      </c>
      <c r="AJ20" s="45">
        <f t="shared" si="21"/>
        <v>92</v>
      </c>
      <c r="AK20" s="45">
        <f t="shared" si="21"/>
        <v>0</v>
      </c>
      <c r="AL20" s="45">
        <f t="shared" si="21"/>
        <v>28</v>
      </c>
      <c r="AM20" s="47">
        <f>L20*AF20/480/AG20</f>
        <v>2.8436583333333334</v>
      </c>
      <c r="AN20" s="48">
        <f>M20*AF20/480/AH20</f>
        <v>0.502179433611885</v>
      </c>
      <c r="AO20" s="49"/>
    </row>
    <row r="21" spans="1:41" s="60" customFormat="1" ht="15.75" thickBot="1" x14ac:dyDescent="0.3">
      <c r="A21" s="50"/>
      <c r="B21" s="51"/>
      <c r="C21" s="51"/>
      <c r="D21" s="51"/>
      <c r="E21" s="51"/>
      <c r="F21" s="52"/>
      <c r="G21" s="51"/>
      <c r="H21" s="51"/>
      <c r="I21" s="117"/>
      <c r="J21" s="54"/>
      <c r="K21" s="51"/>
      <c r="L21" s="55"/>
      <c r="M21" s="51"/>
      <c r="N21" s="51"/>
      <c r="O21" s="56"/>
      <c r="P21" s="51"/>
      <c r="Q21" s="51"/>
      <c r="R21" s="55"/>
      <c r="S21" s="51"/>
      <c r="T21" s="51"/>
      <c r="U21" s="55"/>
      <c r="V21" s="51"/>
      <c r="W21" s="51"/>
      <c r="X21" s="55"/>
      <c r="Y21" s="51"/>
      <c r="Z21" s="51"/>
      <c r="AA21" s="55"/>
      <c r="AB21" s="51"/>
      <c r="AC21" s="51"/>
      <c r="AD21" s="116"/>
      <c r="AE21" s="58"/>
      <c r="AF21" s="51"/>
      <c r="AG21" s="116"/>
      <c r="AH21" s="58"/>
      <c r="AI21" s="116"/>
      <c r="AJ21" s="58"/>
      <c r="AK21" s="116"/>
      <c r="AL21" s="58"/>
      <c r="AM21" s="116"/>
      <c r="AN21" s="55"/>
      <c r="AO21" s="59"/>
    </row>
    <row r="22" spans="1:41" s="60" customFormat="1" ht="15.75" thickBot="1" x14ac:dyDescent="0.3">
      <c r="A22" s="258" t="s">
        <v>47</v>
      </c>
      <c r="B22" s="259"/>
      <c r="C22" s="259"/>
      <c r="D22" s="259"/>
      <c r="E22" s="260"/>
      <c r="F22" s="63">
        <f>F20+F15</f>
        <v>0</v>
      </c>
      <c r="G22" s="64"/>
      <c r="H22" s="64"/>
      <c r="I22" s="63">
        <f>I20+I15</f>
        <v>0</v>
      </c>
      <c r="J22" s="64"/>
      <c r="K22" s="65">
        <f>K20+K15</f>
        <v>0</v>
      </c>
      <c r="L22" s="66">
        <f>L20+L15</f>
        <v>587</v>
      </c>
      <c r="M22" s="64"/>
      <c r="N22" s="65">
        <f>N20+N15</f>
        <v>-3329</v>
      </c>
      <c r="O22" s="66">
        <f>O20+O15</f>
        <v>587</v>
      </c>
      <c r="P22" s="64"/>
      <c r="Q22" s="65">
        <f>Q20+Q15</f>
        <v>0</v>
      </c>
      <c r="R22" s="66">
        <f>R20+R15</f>
        <v>0</v>
      </c>
      <c r="S22" s="64"/>
      <c r="T22" s="65">
        <f>T20+T15</f>
        <v>-2780</v>
      </c>
      <c r="U22" s="66">
        <f>U20+U15</f>
        <v>0</v>
      </c>
      <c r="V22" s="64"/>
      <c r="W22" s="65">
        <f>W20+W15</f>
        <v>-300</v>
      </c>
      <c r="X22" s="66">
        <f>X20+X15</f>
        <v>0</v>
      </c>
      <c r="Y22" s="64"/>
      <c r="Z22" s="65">
        <f>Z20+Z15</f>
        <v>-3450</v>
      </c>
      <c r="AA22" s="66">
        <f>AA20+AA15</f>
        <v>0</v>
      </c>
      <c r="AB22" s="64"/>
      <c r="AC22" s="65">
        <f>AC20+AC15</f>
        <v>0</v>
      </c>
      <c r="AD22" s="67">
        <f>AD20+AD15</f>
        <v>587</v>
      </c>
      <c r="AE22" s="65">
        <f>AE20+AE15</f>
        <v>2494</v>
      </c>
      <c r="AF22" s="64"/>
      <c r="AG22" s="63">
        <f>AG20+AG15</f>
        <v>18</v>
      </c>
      <c r="AH22" s="68"/>
      <c r="AI22" s="63">
        <f>AI20+AI15</f>
        <v>11</v>
      </c>
      <c r="AJ22" s="68"/>
      <c r="AK22" s="63">
        <f>AK20+AK15</f>
        <v>1</v>
      </c>
      <c r="AL22" s="68"/>
      <c r="AM22" s="69">
        <f>SUM(AM20+AM15)/2</f>
        <v>1.9730791666666667</v>
      </c>
      <c r="AN22" s="69">
        <f>SUM(AN20+AN15)/2</f>
        <v>0.40085992957189998</v>
      </c>
      <c r="AO22" s="70"/>
    </row>
    <row r="23" spans="1:41" s="60" customFormat="1" ht="15" x14ac:dyDescent="0.25">
      <c r="O23" s="71"/>
    </row>
    <row r="24" spans="1:41" s="60" customFormat="1" ht="15" x14ac:dyDescent="0.25">
      <c r="O24" s="71"/>
      <c r="W24" s="60" t="s">
        <v>5</v>
      </c>
      <c r="Z24" s="60" t="s">
        <v>5</v>
      </c>
      <c r="AC24" s="60" t="s">
        <v>5</v>
      </c>
    </row>
  </sheetData>
  <mergeCells count="59">
    <mergeCell ref="AN16:AN19"/>
    <mergeCell ref="AO16:AO19"/>
    <mergeCell ref="B19:D19"/>
    <mergeCell ref="B20:D20"/>
    <mergeCell ref="A22:E22"/>
    <mergeCell ref="AH16:AH19"/>
    <mergeCell ref="AI16:AI19"/>
    <mergeCell ref="AJ16:AJ19"/>
    <mergeCell ref="AK16:AK19"/>
    <mergeCell ref="AL16:AL19"/>
    <mergeCell ref="AM16:AM19"/>
    <mergeCell ref="AO6:AO14"/>
    <mergeCell ref="B10:B13"/>
    <mergeCell ref="B14:D14"/>
    <mergeCell ref="B15:D15"/>
    <mergeCell ref="A16:A20"/>
    <mergeCell ref="C16:C18"/>
    <mergeCell ref="AD16:AD19"/>
    <mergeCell ref="AE16:AE19"/>
    <mergeCell ref="AF16:AF19"/>
    <mergeCell ref="AG16:AG19"/>
    <mergeCell ref="AI6:AI14"/>
    <mergeCell ref="AJ6:AJ14"/>
    <mergeCell ref="AK6:AK14"/>
    <mergeCell ref="AL6:AL14"/>
    <mergeCell ref="AM6:AM14"/>
    <mergeCell ref="AN6:AN14"/>
    <mergeCell ref="AM4:AN4"/>
    <mergeCell ref="AO4:AO5"/>
    <mergeCell ref="A6:A15"/>
    <mergeCell ref="B6:B9"/>
    <mergeCell ref="C6:C13"/>
    <mergeCell ref="AD6:AD14"/>
    <mergeCell ref="AE6:AE14"/>
    <mergeCell ref="AF6:AF14"/>
    <mergeCell ref="AG6:AG14"/>
    <mergeCell ref="AH6:AH14"/>
    <mergeCell ref="X4:Z4"/>
    <mergeCell ref="AA4:AC4"/>
    <mergeCell ref="AD4:AE4"/>
    <mergeCell ref="AG4:AH4"/>
    <mergeCell ref="AI4:AJ4"/>
    <mergeCell ref="AK4:AL4"/>
    <mergeCell ref="U4:W4"/>
    <mergeCell ref="A1:AO1"/>
    <mergeCell ref="A2:B2"/>
    <mergeCell ref="D2:E2"/>
    <mergeCell ref="AH2:AJ2"/>
    <mergeCell ref="AK2:AM2"/>
    <mergeCell ref="A4:A5"/>
    <mergeCell ref="B4:B5"/>
    <mergeCell ref="C4:C5"/>
    <mergeCell ref="D4:D5"/>
    <mergeCell ref="E4:E5"/>
    <mergeCell ref="F4:H4"/>
    <mergeCell ref="I4:K4"/>
    <mergeCell ref="L4:N4"/>
    <mergeCell ref="O4:Q4"/>
    <mergeCell ref="R4:T4"/>
  </mergeCells>
  <pageMargins left="0.23" right="0.06" top="0.4" bottom="0.44" header="0.3" footer="0.3"/>
  <pageSetup paperSize="9" scale="38" orientation="landscape" horizontalDpi="300" verticalDpi="300" r:id="rId1"/>
  <rowBreaks count="1" manualBreakCount="1">
    <brk id="22" max="5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26</vt:i4>
      </vt:variant>
    </vt:vector>
  </HeadingPairs>
  <TitlesOfParts>
    <vt:vector size="53" baseType="lpstr">
      <vt:lpstr>01</vt:lpstr>
      <vt:lpstr>02</vt:lpstr>
      <vt:lpstr>04</vt:lpstr>
      <vt:lpstr>05</vt:lpstr>
      <vt:lpstr>06</vt:lpstr>
      <vt:lpstr>07</vt:lpstr>
      <vt:lpstr>08</vt:lpstr>
      <vt:lpstr>09</vt:lpstr>
      <vt:lpstr>11</vt:lpstr>
      <vt:lpstr>12</vt:lpstr>
      <vt:lpstr>13</vt:lpstr>
      <vt:lpstr>14</vt:lpstr>
      <vt:lpstr>15</vt:lpstr>
      <vt:lpstr>16</vt:lpstr>
      <vt:lpstr>18</vt:lpstr>
      <vt:lpstr>19</vt:lpstr>
      <vt:lpstr>20</vt:lpstr>
      <vt:lpstr>21</vt:lpstr>
      <vt:lpstr>22</vt:lpstr>
      <vt:lpstr>23</vt:lpstr>
      <vt:lpstr>25</vt:lpstr>
      <vt:lpstr>26</vt:lpstr>
      <vt:lpstr>27</vt:lpstr>
      <vt:lpstr>28</vt:lpstr>
      <vt:lpstr>29</vt:lpstr>
      <vt:lpstr>30</vt:lpstr>
      <vt:lpstr>Sheet2</vt:lpstr>
      <vt:lpstr>'01'!Print_Area</vt:lpstr>
      <vt:lpstr>'02'!Print_Area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'18'!Print_Area</vt:lpstr>
      <vt:lpstr>'19'!Print_Area</vt:lpstr>
      <vt:lpstr>'20'!Print_Area</vt:lpstr>
      <vt:lpstr>'21'!Print_Area</vt:lpstr>
      <vt:lpstr>'22'!Print_Area</vt:lpstr>
      <vt:lpstr>'23'!Print_Area</vt:lpstr>
      <vt:lpstr>'25'!Print_Area</vt:lpstr>
      <vt:lpstr>'26'!Print_Area</vt:lpstr>
      <vt:lpstr>'27'!Print_Area</vt:lpstr>
      <vt:lpstr>'28'!Print_Area</vt:lpstr>
      <vt:lpstr>'29'!Print_Area</vt:lpstr>
      <vt:lpstr>'30'!Print_Area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</dc:creator>
  <cp:lastModifiedBy>IL</cp:lastModifiedBy>
  <dcterms:created xsi:type="dcterms:W3CDTF">2024-03-02T05:40:47Z</dcterms:created>
  <dcterms:modified xsi:type="dcterms:W3CDTF">2024-04-02T04:44:59Z</dcterms:modified>
</cp:coreProperties>
</file>